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390" yWindow="540" windowWidth="25440" windowHeight="11700" tabRatio="852" activeTab="31"/>
  </bookViews>
  <sheets>
    <sheet name="Титульный" sheetId="2" r:id="rId1"/>
    <sheet name="Список территорий" sheetId="3" r:id="rId2"/>
    <sheet name="Дифференциация" sheetId="4" r:id="rId3"/>
    <sheet name="Перечень тарифов" sheetId="5" state="hidden" r:id="rId4"/>
    <sheet name="Дифференциация тариф показатель" sheetId="6" state="hidden" r:id="rId5"/>
    <sheet name="Общая информация об организации" sheetId="7" state="hidden" r:id="rId6"/>
    <sheet name="Общая информация по ВД" sheetId="8" state="hidden" r:id="rId7"/>
    <sheet name="Виды объектов" sheetId="9" state="hidden" r:id="rId8"/>
    <sheet name="Сведения по территориям" sheetId="10" state="hidden" r:id="rId9"/>
    <sheet name="ТС. Т-ТЭ | &gt;=25МВт" sheetId="11" state="hidden" r:id="rId10"/>
    <sheet name="ТС. Т-ТЭ | ТСО" sheetId="12" state="hidden" r:id="rId11"/>
    <sheet name="ТС. Т-ТЭ | предел" sheetId="13" state="hidden" r:id="rId12"/>
    <sheet name="ТС. Т-ТЭ | индикат" sheetId="14" state="hidden" r:id="rId13"/>
    <sheet name="ТС. Резерв мощности" sheetId="15" state="hidden" r:id="rId14"/>
    <sheet name="ТС. Т-ТН" sheetId="16" state="hidden" r:id="rId15"/>
    <sheet name="ТС. Т-передача ТЭ" sheetId="17" state="hidden" r:id="rId16"/>
    <sheet name="ТС. Т-передача ТН" sheetId="18" state="hidden" r:id="rId17"/>
    <sheet name="ТС. Т-гор.вода" sheetId="19" state="hidden" r:id="rId18"/>
    <sheet name="ТС. Т-подкл" sheetId="20" state="hidden" r:id="rId19"/>
    <sheet name="ХВС. Т-пит" sheetId="21" state="hidden" r:id="rId20"/>
    <sheet name="ХВС. Т-тех" sheetId="22" state="hidden" r:id="rId21"/>
    <sheet name="ХВС. Т-транс" sheetId="23" state="hidden" r:id="rId22"/>
    <sheet name="ХВС. Т-подвоз" sheetId="24" state="hidden" r:id="rId23"/>
    <sheet name="ТС. Т-подкл(инд)" sheetId="25" state="hidden" r:id="rId24"/>
    <sheet name="ХВС. Т-подкл" sheetId="26" state="hidden" r:id="rId25"/>
    <sheet name="ВО. Т-во" sheetId="27" state="hidden" r:id="rId26"/>
    <sheet name="ВО. Т-транс" sheetId="28" state="hidden" r:id="rId27"/>
    <sheet name="ВО. Т-подкл" sheetId="29" state="hidden" r:id="rId28"/>
    <sheet name="ГВС. Т-гор.вода" sheetId="30" state="hidden" r:id="rId29"/>
    <sheet name="ГВС. Т-транс" sheetId="31" state="hidden" r:id="rId30"/>
    <sheet name="ГВС. Т-подкл" sheetId="32" state="hidden" r:id="rId31"/>
    <sheet name="Показатели ФХД" sheetId="33" r:id="rId32"/>
    <sheet name="Показатели ФХД &gt;20%" sheetId="34" state="hidden" r:id="rId33"/>
    <sheet name="Показатели ОТЭП" sheetId="35" state="hidden" r:id="rId34"/>
    <sheet name="Стандарты качества" sheetId="36" state="hidden" r:id="rId35"/>
    <sheet name="ТКО. Показатели ФХД" sheetId="37" state="hidden" r:id="rId36"/>
    <sheet name="ТКО. Транс. Показатели ФХД" sheetId="38" state="hidden" r:id="rId37"/>
    <sheet name="Ограничения" sheetId="40" state="hidden" r:id="rId38"/>
    <sheet name="ИП. Финансовый план" sheetId="43" state="hidden" r:id="rId39"/>
    <sheet name="ТП" sheetId="45" state="hidden" r:id="rId40"/>
    <sheet name="Договоры" sheetId="46" state="hidden" r:id="rId41"/>
    <sheet name="Порядок ТП" sheetId="47" state="hidden" r:id="rId42"/>
    <sheet name="Предложение" sheetId="48" state="hidden" r:id="rId43"/>
    <sheet name="Сведения о закупках" sheetId="49" state="hidden" r:id="rId44"/>
    <sheet name="Потребительские характеристики" sheetId="50" state="hidden" r:id="rId45"/>
    <sheet name="TEHSHEET" sheetId="51" state="hidden" r:id="rId46"/>
    <sheet name="Орган регулирования" sheetId="52" state="hidden" r:id="rId47"/>
    <sheet name="Перечень организаций" sheetId="53" state="hidden" r:id="rId48"/>
    <sheet name="Дела об установлении тарифов" sheetId="54" state="hidden" r:id="rId49"/>
    <sheet name="Дела об утверждении ПУЦ" sheetId="55" state="hidden" r:id="rId50"/>
    <sheet name="Привлечение к ответственности" sheetId="56" state="hidden" r:id="rId51"/>
    <sheet name="ЭД" sheetId="57" state="hidden" r:id="rId52"/>
    <sheet name="Сведения об изменении" sheetId="58" state="hidden" r:id="rId53"/>
    <sheet name="Проверка" sheetId="60" state="hidden" r:id="rId54"/>
    <sheet name="et_union_hor" sheetId="61" state="hidden" r:id="rId55"/>
    <sheet name="DATA_FORMS" sheetId="62" state="hidden" r:id="rId56"/>
    <sheet name="DATA_NPA" sheetId="63" state="hidden" r:id="rId57"/>
    <sheet name="Т-ТЭ | потр" sheetId="64" state="hidden" r:id="rId58"/>
    <sheet name="modMainProcedures" sheetId="65" state="hidden" r:id="rId59"/>
    <sheet name="modB_FHD" sheetId="66" state="hidden" r:id="rId60"/>
    <sheet name="modB_FHD20" sheetId="67" state="hidden" r:id="rId61"/>
    <sheet name="modB_KNE" sheetId="68" state="hidden" r:id="rId62"/>
    <sheet name="modIP_MAIN" sheetId="69" state="hidden" r:id="rId63"/>
    <sheet name="modIP_QRE" sheetId="70" state="hidden" r:id="rId64"/>
    <sheet name="modIP_DETAILED" sheetId="71" state="hidden" r:id="rId65"/>
    <sheet name="et_union_vert" sheetId="72" state="hidden" r:id="rId66"/>
    <sheet name="Легенда" sheetId="73" state="hidden" r:id="rId67"/>
    <sheet name="modfrmListIP" sheetId="74" state="hidden" r:id="rId68"/>
    <sheet name="modfrmActivity" sheetId="75" state="hidden" r:id="rId69"/>
    <sheet name="REESTR_ORG" sheetId="76" state="hidden" r:id="rId70"/>
    <sheet name="REESTR_MO" sheetId="77" state="hidden" r:id="rId71"/>
    <sheet name="REESTR_IP" sheetId="78" state="hidden" r:id="rId72"/>
    <sheet name="REESTR_OBJ_INFR" sheetId="79" state="hidden" r:id="rId73"/>
    <sheet name="REESTR_DS" sheetId="80" state="hidden" r:id="rId74"/>
    <sheet name="REESTR_VT" sheetId="81" state="hidden" r:id="rId75"/>
    <sheet name="REESTR_VED" sheetId="82" state="hidden" r:id="rId76"/>
    <sheet name="REESTR_MO_FILTER" sheetId="83" state="hidden" r:id="rId77"/>
    <sheet name="REESTR_LINK" sheetId="84" state="hidden" r:id="rId78"/>
    <sheet name="modSheetMain" sheetId="85" state="hidden" r:id="rId79"/>
    <sheet name="modfrmReportMode" sheetId="86" state="hidden" r:id="rId80"/>
    <sheet name="modfrmReestrObj" sheetId="87" state="hidden" r:id="rId81"/>
    <sheet name="AllSheetsInThisWorkbook" sheetId="88" state="hidden" r:id="rId82"/>
    <sheet name="modInfo" sheetId="89" state="hidden" r:id="rId83"/>
  </sheets>
  <definedNames>
    <definedName name="_xlnm._FilterDatabase" localSheetId="53">Проверка!$B$4:$E$5</definedName>
    <definedName name="anscount">1</definedName>
    <definedName name="B_FHD_CHECK_INDEX_1">'Показатели ФХД'!$AF$84</definedName>
    <definedName name="B_FHD_CHECK_INDEX_2">'Показатели ФХД'!$AF$86</definedName>
    <definedName name="B_FHD_COSTS_INDEX_1">'Показатели ФХД'!$H$83:$AD$83</definedName>
    <definedName name="B_FHD_COSTS_INDEX_2">'Показатели ФХД'!$H$85:$AD$85</definedName>
    <definedName name="B_FHD_DATA_TOP80_ACTIVITY">'Показатели ФХД'!$H$104:$AD$104</definedName>
    <definedName name="B_FHD_diff_1">'Показатели ФХД'!$I$25:$I$27</definedName>
    <definedName name="B_FHD_diff_5">'Показатели ФХД'!$J$25:$J$27</definedName>
    <definedName name="B_FHD_diff_51">'Показатели ФХД'!$K$25:$K$27</definedName>
    <definedName name="B_FHD_diff_511">'Показатели ФХД'!$L$25:$L$27</definedName>
    <definedName name="B_FHD_diff_5111">'Показатели ФХД'!$M$25:$M$27</definedName>
    <definedName name="B_FHD_diff_51111">'Показатели ФХД'!$N$25:$N$27</definedName>
    <definedName name="B_FHD_diff_511111">'Показатели ФХД'!$O$25:$O$27</definedName>
    <definedName name="B_FHD_diff_5111111">'Показатели ФХД'!$P$25:$P$27</definedName>
    <definedName name="B_FHD_diff_51111111">'Показатели ФХД'!$Q$25:$Q$27</definedName>
    <definedName name="B_FHD_diff_511111111">'Показатели ФХД'!$R$25:$R$27</definedName>
    <definedName name="B_FHD_diff_5111111111">'Показатели ФХД'!$S$25:$S$27</definedName>
    <definedName name="B_FHD_diff_51111111111">'Показатели ФХД'!$T$25:$T$27</definedName>
    <definedName name="B_FHD_diff_511111111111">'Показатели ФХД'!$U$25:$U$27</definedName>
    <definedName name="B_FHD_diff_5111111111111">'Показатели ФХД'!$V$25:$V$27</definedName>
    <definedName name="B_FHD_diff_51111111111111">'Показатели ФХД'!$W$25:$W$27</definedName>
    <definedName name="B_FHD_diff_511111111111111">'Показатели ФХД'!$X$25:$X$27</definedName>
    <definedName name="B_FHD_diff_5111111111111111">'Показатели ФХД'!$Y$25:$Y$27</definedName>
    <definedName name="B_FHD_diff_51111111111111111">'Показатели ФХД'!$Z$25:$Z$27</definedName>
    <definedName name="B_FHD_diff_511111111111111111">'Показатели ФХД'!$AA$25:$AA$27</definedName>
    <definedName name="B_FHD_diff_5111111111111111111">'Показатели ФХД'!$AB$25:$AB$27</definedName>
    <definedName name="B_FHD_diff_51111111111111111111">'Показатели ФХД'!$AC$25:$AC$27</definedName>
    <definedName name="B_FHD_FLAG_DIFFERENTIATION">'Показатели ФХД'!$H$24:$AD$24</definedName>
    <definedName name="B_FHD_FLAG_INDEX_1">'Показатели ФХД'!$H$84:$AD$84</definedName>
    <definedName name="B_FHD_FLAG_INDEX_2">'Показатели ФХД'!$H$86:$AD$86</definedName>
    <definedName name="B_FHD_TKO_DATA_TOP80_ACTIVITY">'ТКО. Показатели ФХД'!$H$45:$AD$45</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diff_5111">'ТКО. Показатели ФХД'!$M$10:$M$12</definedName>
    <definedName name="B_FHD_TKO_diff_51111">'ТКО. Показатели ФХД'!$N$10:$N$12</definedName>
    <definedName name="B_FHD_TKO_diff_511111">'ТКО. Показатели ФХД'!$O$10:$O$12</definedName>
    <definedName name="B_FHD_TKO_diff_5111111">'ТКО. Показатели ФХД'!$P$10:$P$12</definedName>
    <definedName name="B_FHD_TKO_diff_51111111">'ТКО. Показатели ФХД'!$Q$10:$Q$12</definedName>
    <definedName name="B_FHD_TKO_diff_511111111">'ТКО. Показатели ФХД'!$R$10:$R$12</definedName>
    <definedName name="B_FHD_TKO_diff_5111111111">'ТКО. Показатели ФХД'!$S$10:$S$12</definedName>
    <definedName name="B_FHD_TKO_diff_51111111111">'ТКО. Показатели ФХД'!$T$10:$T$12</definedName>
    <definedName name="B_FHD_TKO_diff_511111111111">'ТКО. Показатели ФХД'!$U$10:$U$12</definedName>
    <definedName name="B_FHD_TKO_diff_5111111111111">'ТКО. Показатели ФХД'!$V$10:$V$12</definedName>
    <definedName name="B_FHD_TKO_diff_51111111111111">'ТКО. Показатели ФХД'!$W$10:$W$12</definedName>
    <definedName name="B_FHD_TKO_diff_511111111111111">'ТКО. Показатели ФХД'!$X$10:$X$12</definedName>
    <definedName name="B_FHD_TKO_diff_5111111111111111">'ТКО. Показатели ФХД'!$Y$10:$Y$12</definedName>
    <definedName name="B_FHD_TKO_diff_51111111111111111">'ТКО. Показатели ФХД'!$Z$10:$Z$12</definedName>
    <definedName name="B_FHD_TKO_diff_511111111111111111">'ТКО. Показатели ФХД'!$AA$10:$AA$12</definedName>
    <definedName name="B_FHD_TKO_diff_5111111111111111111">'ТКО. Показатели ФХД'!$AB$10:$AB$12</definedName>
    <definedName name="B_FHD_TKO_diff_51111111111111111111">'ТКО. Показатели ФХД'!$AC$10:$AC$12</definedName>
    <definedName name="B_FHD_TKO_FLAG_DIFFERENTIATION">'ТКО. Показатели ФХД'!$H$9:$AD$9</definedName>
    <definedName name="B_FHD_TKO_TRANS_DATA_TOP80_ACTIVITY">'ТКО. Транс. Показатели ФХД'!$H$36:$AD$36</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diff_5111">'ТКО. Транс. Показатели ФХД'!$M$10:$M$12</definedName>
    <definedName name="B_FHD_TKO_TRANS_diff_51111">'ТКО. Транс. Показатели ФХД'!$N$10:$N$12</definedName>
    <definedName name="B_FHD_TKO_TRANS_diff_511111">'ТКО. Транс. Показатели ФХД'!$O$10:$O$12</definedName>
    <definedName name="B_FHD_TKO_TRANS_diff_5111111">'ТКО. Транс. Показатели ФХД'!$P$10:$P$12</definedName>
    <definedName name="B_FHD_TKO_TRANS_diff_51111111">'ТКО. Транс. Показатели ФХД'!$Q$10:$Q$12</definedName>
    <definedName name="B_FHD_TKO_TRANS_diff_511111111">'ТКО. Транс. Показатели ФХД'!$R$10:$R$12</definedName>
    <definedName name="B_FHD_TKO_TRANS_diff_5111111111">'ТКО. Транс. Показатели ФХД'!$S$10:$S$12</definedName>
    <definedName name="B_FHD_TKO_TRANS_diff_51111111111">'ТКО. Транс. Показатели ФХД'!$T$10:$T$12</definedName>
    <definedName name="B_FHD_TKO_TRANS_diff_511111111111">'ТКО. Транс. Показатели ФХД'!$U$10:$U$12</definedName>
    <definedName name="B_FHD_TKO_TRANS_diff_5111111111111">'ТКО. Транс. Показатели ФХД'!$V$10:$V$12</definedName>
    <definedName name="B_FHD_TKO_TRANS_diff_51111111111111">'ТКО. Транс. Показатели ФХД'!$W$10:$W$12</definedName>
    <definedName name="B_FHD_TKO_TRANS_diff_511111111111111">'ТКО. Транс. Показатели ФХД'!$X$10:$X$12</definedName>
    <definedName name="B_FHD_TKO_TRANS_diff_5111111111111111">'ТКО. Транс. Показатели ФХД'!$Y$10:$Y$12</definedName>
    <definedName name="B_FHD_TKO_TRANS_diff_51111111111111111">'ТКО. Транс. Показатели ФХД'!$Z$10:$Z$12</definedName>
    <definedName name="B_FHD_TKO_TRANS_diff_511111111111111111">'ТКО. Транс. Показатели ФХД'!$AA$10:$AA$12</definedName>
    <definedName name="B_FHD_TKO_TRANS_diff_5111111111111111111">'ТКО. Транс. Показатели ФХД'!$AB$10:$AB$12</definedName>
    <definedName name="B_FHD_TKO_TRANS_diff_51111111111111111111">'ТКО. Транс. Показатели ФХД'!$AC$10:$AC$12</definedName>
    <definedName name="B_FHD_TKO_TRANS_FLAG_DIFFERENTIATION">'ТКО. Транс. Показатели ФХД'!$H$9:$AD$9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&gt;20%'!$D$13:$S$203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diff_5111">'Показатели ФХД &gt;20%'!$H$50:$R$52</definedName>
    <definedName name="B_FHD20_diff_51111">'Показатели ФХД &gt;20%'!$H$59:$R$61</definedName>
    <definedName name="B_FHD20_diff_511111">'Показатели ФХД &gt;20%'!$H$68:$R$70</definedName>
    <definedName name="B_FHD20_diff_5111111">'Показатели ФХД &gt;20%'!$H$77:$R$79</definedName>
    <definedName name="B_FHD20_diff_51111111">'Показатели ФХД &gt;20%'!$H$86:$R$88</definedName>
    <definedName name="B_FHD20_diff_511111111">'Показатели ФХД &gt;20%'!$H$95:$R$97</definedName>
    <definedName name="B_FHD20_diff_5111111111">'Показатели ФХД &gt;20%'!$H$104:$R$106</definedName>
    <definedName name="B_FHD20_diff_51111111111">'Показатели ФХД &gt;20%'!$H$113:$R$115</definedName>
    <definedName name="B_FHD20_diff_511111111111">'Показатели ФХД &gt;20%'!$H$122:$R$124</definedName>
    <definedName name="B_FHD20_diff_5111111111111">'Показатели ФХД &gt;20%'!$H$131:$R$133</definedName>
    <definedName name="B_FHD20_diff_51111111111111">'Показатели ФХД &gt;20%'!$H$140:$R$142</definedName>
    <definedName name="B_FHD20_diff_511111111111111">'Показатели ФХД &gt;20%'!$H$149:$R$151</definedName>
    <definedName name="B_FHD20_diff_5111111111111111">'Показатели ФХД &gt;20%'!$H$158:$R$160</definedName>
    <definedName name="B_FHD20_diff_51111111111111111">'Показатели ФХД &gt;20%'!$H$167:$R$169</definedName>
    <definedName name="B_FHD20_diff_511111111111111111">'Показатели ФХД &gt;20%'!$H$176:$R$178</definedName>
    <definedName name="B_FHD20_diff_5111111111111111111">'Показатели ФХД &gt;20%'!$H$185:$R$187</definedName>
    <definedName name="B_FHD20_diff_51111111111111111111">'Показатели ФХД &gt;20%'!$H$194:$R$196</definedName>
    <definedName name="B_FHD20_FLAG_FHD">'Показатели ФХД &gt;20%'!$V$11:$V$203</definedName>
    <definedName name="B_FHD20_NUMBER_COLUMN_MARKER">'Показатели ФХД &gt;20%'!$D$8</definedName>
    <definedName name="B_FHD20_PART_COLUMN_MARKER">'Показатели ФХД &gt;20%'!$R$8</definedName>
    <definedName name="B_KNE_diff_1">#REF!</definedName>
    <definedName name="B_KNE_diff_5">#REF!</definedName>
    <definedName name="B_KNE_diff_51">#REF!</definedName>
    <definedName name="B_KNE_diff_511">#REF!</definedName>
    <definedName name="B_KNE_diff_5111">#REF!</definedName>
    <definedName name="B_KNE_diff_51111">#REF!</definedName>
    <definedName name="B_KNE_diff_511111">#REF!</definedName>
    <definedName name="B_KNE_diff_5111111">#REF!</definedName>
    <definedName name="B_KNE_diff_51111111">#REF!</definedName>
    <definedName name="B_KNE_diff_511111111">#REF!</definedName>
    <definedName name="B_KNE_diff_5111111111">#REF!</definedName>
    <definedName name="B_KNE_diff_51111111111">#REF!</definedName>
    <definedName name="B_KNE_diff_511111111111">#REF!</definedName>
    <definedName name="B_KNE_diff_5111111111111">#REF!</definedName>
    <definedName name="B_KNE_diff_51111111111111">#REF!</definedName>
    <definedName name="B_KNE_diff_511111111111111">#REF!</definedName>
    <definedName name="B_KNE_diff_5111111111111111">#REF!</definedName>
    <definedName name="B_KNE_diff_51111111111111111">#REF!</definedName>
    <definedName name="B_KNE_diff_511111111111111111">#REF!</definedName>
    <definedName name="B_KNE_diff_5111111111111111111">#REF!</definedName>
    <definedName name="B_KNE_diff_51111111111111111111">#REF!</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diff_5111">'Показатели ОТЭП'!$Q$10:$Q$12</definedName>
    <definedName name="B_OTEP_diff_51111">'Показатели ОТЭП'!$R$10:$R$12</definedName>
    <definedName name="B_OTEP_diff_511111">'Показатели ОТЭП'!$S$10:$S$12</definedName>
    <definedName name="B_OTEP_diff_5111111">'Показатели ОТЭП'!$T$10:$T$12</definedName>
    <definedName name="B_OTEP_diff_51111111">'Показатели ОТЭП'!$U$10:$U$12</definedName>
    <definedName name="B_OTEP_diff_511111111">'Показатели ОТЭП'!$V$10:$V$12</definedName>
    <definedName name="B_OTEP_diff_5111111111">'Показатели ОТЭП'!$W$10:$W$12</definedName>
    <definedName name="B_OTEP_diff_51111111111">'Показатели ОТЭП'!$X$10:$X$12</definedName>
    <definedName name="B_OTEP_diff_511111111111">'Показатели ОТЭП'!$Y$10:$Y$12</definedName>
    <definedName name="B_OTEP_diff_5111111111111">'Показатели ОТЭП'!$Z$10:$Z$12</definedName>
    <definedName name="B_OTEP_diff_51111111111111">'Показатели ОТЭП'!$AA$10:$AA$12</definedName>
    <definedName name="B_OTEP_diff_511111111111111">'Показатели ОТЭП'!$AB$10:$AB$12</definedName>
    <definedName name="B_OTEP_diff_5111111111111111">'Показатели ОТЭП'!$AC$10:$AC$12</definedName>
    <definedName name="B_OTEP_diff_51111111111111111">'Показатели ОТЭП'!$AD$10:$AD$12</definedName>
    <definedName name="B_OTEP_diff_511111111111111111">'Показатели ОТЭП'!$AE$10:$AE$12</definedName>
    <definedName name="B_OTEP_diff_5111111111111111111">'Показатели ОТЭП'!$AF$10:$AF$12</definedName>
    <definedName name="B_OTEP_diff_51111111111111111111">'Показатели ОТЭП'!$AG$10:$AG$12</definedName>
    <definedName name="B_OTEP_FLAG_DIFFERENTIATION">'Показатели ОТЭП'!$L$9:$AI$9</definedName>
    <definedName name="B_OTEP_HEAT_DATA_TOP80_ACTIVITY">'Показатели ОТЭП'!$L$15:$AI$15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#REF!</definedName>
    <definedName name="BLOCK_IP_DETAILED_FACT_PERIOD_EVENT">#REF!</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ФХД'!$105:$113</definedName>
    <definedName name="BLOCK_POK_FHD_COLDVSNA_P2">'Показатели ФХД'!$138:$142</definedName>
    <definedName name="BLOCK_POK_FHD_HEAT_ONLY_REG_ORG_P1">'Показатели ФХД'!$74:$75</definedName>
    <definedName name="BLOCK_POK_FHD_HEAT_ONLY_REG_ORG_P2">'Показатели ФХД'!$103:$154</definedName>
    <definedName name="BLOCK_POK_FHD_HEAT_P1">'Показатели ФХД'!$33:$58</definedName>
    <definedName name="BLOCK_POK_FHD_HEAT_P2">'Показатели ФХД'!$95:$95</definedName>
    <definedName name="BLOCK_POK_FHD_HEAT_P3">'Показатели ФХД'!$122:$134</definedName>
    <definedName name="BLOCK_POK_FHD_HEAT_P4">'Показатели ФХД'!$136:$136</definedName>
    <definedName name="BLOCK_POK_FHD_HEAT_P5">'Показатели ФХД'!$143:$153</definedName>
    <definedName name="BLOCK_POK_FHD_HEAT_P6">'Показатели ФХД'!$65:$65</definedName>
    <definedName name="BLOCK_POK_FHD_HOTVSNA_P1">'Показатели ФХД'!$59:$61</definedName>
    <definedName name="BLOCK_POK_FHD_HOTVSNA_P2">'Показатели ФХД'!$114:$118</definedName>
    <definedName name="BLOCK_POK_FHD_NOT_HEAT_P1">'Показатели ФХД'!$85:$86</definedName>
    <definedName name="BLOCK_POK_FHD_NOT_HEAT_P2">'Показатели ФХД'!$103:$103</definedName>
    <definedName name="BLOCK_POK_FHD_NOT_HOTVSNA">'Показатели ФХД'!$66:$66</definedName>
    <definedName name="BLOCK_POK_FHD_VOTV_P1">'Показатели ФХД'!$119:$121</definedName>
    <definedName name="BLOCK_POK_FHD_VSNA">'Показатели ФХД'!$137:$137</definedName>
    <definedName name="BLOCK_POK_FHD20_NOT_HEAT">'Показатели ФХД &gt;20%'!$20:$22</definedName>
    <definedName name="BLOCK_POK_KNE_COLDVSNA">#REF!</definedName>
    <definedName name="BLOCK_POK_KNE_HEAT">#REF!</definedName>
    <definedName name="BLOCK_POK_KNE_HOTVSNA">#REF!</definedName>
    <definedName name="BLOCK_POK_KNE_VOTV">#REF!</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территорий'!$E$60:$I$60</definedName>
    <definedName name="checkCell_List07">'Сведения об изменении'!$D$11:$E$13</definedName>
    <definedName name="CLASS_TKO_LIST">TEHSHEET!$AZ$90:$AZ$94</definedName>
    <definedName name="code">#REF!</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REESTR_DS!$B$2:$B$14</definedName>
    <definedName name="DIFFERENTIATION_AREA">Дифференциация!$I$12:$I$48</definedName>
    <definedName name="DIFFERENTIATION_AREA_ID">Дифференциация!$U$11:$U$49</definedName>
    <definedName name="DIFFERENTIATION_CheckC">Дифференциация!$D$12:$M$48</definedName>
    <definedName name="DIFFERENTIATION_fieldMarker">Дифференциация!$W$12:$W$48</definedName>
    <definedName name="DIFFERENTIATION_ID">TEHSHEET!$E$57</definedName>
    <definedName name="DIFFERENTIATION_ID_DIFF">Дифференциация!$O$12:$O$48</definedName>
    <definedName name="DIFFERENTIATION_SYSTEM">Дифференциация!$M$12:$M$48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Дифференциация!$Q$12:$Q$48</definedName>
    <definedName name="DIFFERENTIATION_UNMERGE_SYSTEM">Дифференциация!$R$12:$R$48</definedName>
    <definedName name="DIFFERENTIATION_UNMERGE_VD">Дифференциация!$P$12:$P$48</definedName>
    <definedName name="DIFFERENTIATION_VD">Дифференциация!$E$12:$E$48</definedName>
    <definedName name="DIFFERENTIATION_VD_ID">Дифференциация!$V$11:$V$49</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#REF!</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Ограничения!$F$36:$AY$36</definedName>
    <definedName name="flag_Q_LIMIT_p4">Ограничения!$F$38:$AY$38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#REF!</definedName>
    <definedName name="IP_DETAILED_ADD_HL_IST_FIN_COLUMN_MARKER">#REF!</definedName>
    <definedName name="IP_DETAILED_ADD_HL_OBJECT_COLUMN_MARKER">#REF!</definedName>
    <definedName name="IP_DETAILED_DATA_KS">#REF!</definedName>
    <definedName name="IP_DETAILED_EVENT_MARKER">#REF!</definedName>
    <definedName name="IP_DETAILED_EVENT_SUBGROUP_COLUMN_MARKER">#REF!</definedName>
    <definedName name="IP_DETAILED_EVENT_SUBGROUP_RANGE_COLUMN_MARKER">#REF!</definedName>
    <definedName name="IP_DETAILED_FLAG_KS">#REF!</definedName>
    <definedName name="IP_DETAILED_FLAG_OBJECT">#REF!</definedName>
    <definedName name="IP_DETAILED_GROUP_MARKER">#REF!</definedName>
    <definedName name="IP_DETAILED_ip_5">#REF!</definedName>
    <definedName name="IP_DETAILED_ip_51">#REF!</definedName>
    <definedName name="IP_DETAILED_ip_511">#REF!</definedName>
    <definedName name="IP_DETAILED_ip_5111">#REF!</definedName>
    <definedName name="IP_DETAILED_ip_51111">#REF!</definedName>
    <definedName name="IP_DETAILED_ip_511111">#REF!</definedName>
    <definedName name="IP_DETAILED_ip_5111111">#REF!</definedName>
    <definedName name="IP_DETAILED_ip_51111111">#REF!</definedName>
    <definedName name="IP_DETAILED_ip_511111111">#REF!</definedName>
    <definedName name="IP_DETAILED_ip_5111111111">#REF!</definedName>
    <definedName name="IP_DETAILED_ip_51111111111">#REF!</definedName>
    <definedName name="IP_DETAILED_ip_511111111111">#REF!</definedName>
    <definedName name="IP_DETAILED_ip_5111111111111">#REF!</definedName>
    <definedName name="IP_DETAILED_ip_51111111111111">#REF!</definedName>
    <definedName name="IP_DETAILED_ip_511111111111111">#REF!</definedName>
    <definedName name="IP_DETAILED_ip_5111111111111111">#REF!</definedName>
    <definedName name="IP_DETAILED_ip_51111111111111111">#REF!</definedName>
    <definedName name="IP_DETAILED_ip_511111111111111111">#REF!</definedName>
    <definedName name="IP_DETAILED_ip_5111111111111111111">#REF!</definedName>
    <definedName name="IP_DETAILED_ip_51111111111111111111">#REF!</definedName>
    <definedName name="IP_DETAILED_ip_511111111111111111111">#REF!</definedName>
    <definedName name="IP_DETAILED_ip_5111111111111111111111">#REF!</definedName>
    <definedName name="IP_DETAILED_ip_51111111111111111111111">#REF!</definedName>
    <definedName name="IP_DETAILED_ip_511111111111111111111111">#REF!</definedName>
    <definedName name="IP_DETAILED_IST_FIN_FACT_COLUMN_MARKER">#REF!</definedName>
    <definedName name="IP_DETAILED_LIST_IP_ID">#REF!</definedName>
    <definedName name="IP_DETAILED_MONTH_FACT_COLUMN_MARKER">#REF!</definedName>
    <definedName name="IP_DETAILED_MONTH_PLAN_COLUMN_MARKER">#REF!</definedName>
    <definedName name="IP_DETAILED_NAME_EVENT_COLUMN_MARKER">#REF!</definedName>
    <definedName name="IP_DETAILED_YEAR_FACT_COLUMN_MARKER">#REF!</definedName>
    <definedName name="IP_DETAILED_YEAR_PLAN_COLUMN_MARKER">#REF!</definedName>
    <definedName name="IP_FIN_PLAN_ip_5">'ИП. Финансовый план'!#REF!</definedName>
    <definedName name="IP_FIN_PLAN_ip_51">'ИП. Финансовый план'!#REF!</definedName>
    <definedName name="IP_FIN_PLAN_ip_511">'ИП. Финансовый план'!#REF!</definedName>
    <definedName name="IP_FIN_PLAN_ip_5111">'ИП. Финансовый план'!#REF!</definedName>
    <definedName name="IP_FIN_PLAN_ip_51111">'ИП. Финансовый план'!#REF!</definedName>
    <definedName name="IP_FIN_PLAN_ip_511111">'ИП. Финансовый план'!#REF!</definedName>
    <definedName name="IP_FIN_PLAN_ip_5111111">'ИП. Финансовый план'!#REF!</definedName>
    <definedName name="IP_FIN_PLAN_ip_51111111">'ИП. Финансовый план'!#REF!</definedName>
    <definedName name="IP_FIN_PLAN_ip_511111111">'ИП. Финансовый план'!#REF!</definedName>
    <definedName name="IP_FIN_PLAN_ip_5111111111">'ИП. Финансовый план'!#REF!</definedName>
    <definedName name="IP_FIN_PLAN_ip_51111111111">'ИП. Финансовый план'!#REF!</definedName>
    <definedName name="IP_FIN_PLAN_ip_511111111111">'ИП. Финансовый план'!#REF!</definedName>
    <definedName name="IP_FIN_PLAN_ip_5111111111111">'ИП. Финансовый план'!#REF!</definedName>
    <definedName name="IP_FIN_PLAN_ip_51111111111111">'ИП. Финансовый план'!$K$11:$S$11</definedName>
    <definedName name="IP_FIN_PLAN_ip_511111111111111">'ИП. Финансовый план'!$T$11:$X$11</definedName>
    <definedName name="IP_FIN_PLAN_ip_5111111111111111">'ИП. Финансовый план'!$Y$11:$AH$11</definedName>
    <definedName name="IP_FIN_PLAN_ip_51111111111111111">'ИП. Финансовый план'!$AI$11:$AU$11</definedName>
    <definedName name="IP_FIN_PLAN_ip_511111111111111111">'ИП. Финансовый план'!$AV$11:$BA$11</definedName>
    <definedName name="IP_FIN_PLAN_ip_5111111111111111111">'ИП. Финансовый план'!#REF!</definedName>
    <definedName name="IP_FIN_PLAN_ip_51111111111111111111">'ИП. Финансовый план'!#REF!</definedName>
    <definedName name="IP_FIN_PLAN_ip_511111111111111111111">'ИП. Финансовый план'!$BB$11:$BK$11</definedName>
    <definedName name="IP_FIN_PLAN_ip_5111111111111111111111">'ИП. Финансовый план'!$BL$11:$CB$11</definedName>
    <definedName name="IP_FIN_PLAN_ip_51111111111111111111111">'ИП. Финансовый план'!$CC$11:$CI$11</definedName>
    <definedName name="IP_FIN_PLAN_ip_511111111111111111111111">'ИП. Финансовый план'!$CJ$11:$CN$11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#REF!</definedName>
    <definedName name="IP_MAIN_APPROVAL_DATE">#REF!</definedName>
    <definedName name="IP_MAIN_CHANGE_DATE">#REF!</definedName>
    <definedName name="IP_MAIN_CLAIM">#REF!</definedName>
    <definedName name="IP_MAIN_DATE_PARKING">#REF!</definedName>
    <definedName name="IP_MAIN_DELETE_HL_COLUMN_MARKER">#REF!</definedName>
    <definedName name="IP_MAIN_DIFFERENTIATION_EVENTS_FLAG">#REF!</definedName>
    <definedName name="IP_MAIN_END_DATE">#REF!</definedName>
    <definedName name="IP_MAIN_FLAG_KS">#REF!</definedName>
    <definedName name="IP_MAIN_FLAG_KS_COLUMN_MARKER">#REF!</definedName>
    <definedName name="IP_MAIN_ip_5">#REF!</definedName>
    <definedName name="IP_MAIN_ip_51">#REF!</definedName>
    <definedName name="IP_MAIN_ip_511">#REF!</definedName>
    <definedName name="IP_MAIN_ip_5111">#REF!</definedName>
    <definedName name="IP_MAIN_ip_51111">#REF!</definedName>
    <definedName name="IP_MAIN_ip_511111">#REF!</definedName>
    <definedName name="IP_MAIN_ip_5111111">#REF!</definedName>
    <definedName name="IP_MAIN_ip_51111111">#REF!</definedName>
    <definedName name="IP_MAIN_ip_511111111">#REF!</definedName>
    <definedName name="IP_MAIN_ip_5111111111">#REF!</definedName>
    <definedName name="IP_MAIN_ip_51111111111">#REF!</definedName>
    <definedName name="IP_MAIN_ip_511111111111">#REF!</definedName>
    <definedName name="IP_MAIN_ip_5111111111111">#REF!</definedName>
    <definedName name="IP_MAIN_ip_51111111111111">#REF!</definedName>
    <definedName name="IP_MAIN_ip_511111111111111">#REF!</definedName>
    <definedName name="IP_MAIN_ip_5111111111111111">#REF!</definedName>
    <definedName name="IP_MAIN_ip_51111111111111111">#REF!</definedName>
    <definedName name="IP_MAIN_ip_511111111111111111">#REF!</definedName>
    <definedName name="IP_MAIN_ip_5111111111111111111">#REF!</definedName>
    <definedName name="IP_MAIN_ip_51111111111111111111">#REF!</definedName>
    <definedName name="IP_MAIN_ip_511111111111111111111">#REF!</definedName>
    <definedName name="IP_MAIN_ip_5111111111111111111111">#REF!</definedName>
    <definedName name="IP_MAIN_ip_51111111111111111111111">#REF!</definedName>
    <definedName name="IP_MAIN_ip_511111111111111111111111">#REF!</definedName>
    <definedName name="IP_MAIN_IP_FIN_PLAN_VISIBLE_FLAG">#REF!</definedName>
    <definedName name="IP_MAIN_LIST_IP_ID">#REF!</definedName>
    <definedName name="IP_MAIN_LIST_NAME_IP">#REF!</definedName>
    <definedName name="IP_MAIN_PERIOD_REALIZ_DATE">#REF!</definedName>
    <definedName name="IP_MAIN_PR_IP_CHANGE_DATE">#REF!</definedName>
    <definedName name="IP_MAIN_PR_IP_DATE">#REF!</definedName>
    <definedName name="IP_MAIN_PR_IP_NAME">#REF!</definedName>
    <definedName name="IP_MAIN_PR_IP_NUMBER">#REF!</definedName>
    <definedName name="IP_MAIN_PR_IP_TYPE">#REF!</definedName>
    <definedName name="IP_MAIN_START_DATE">#REF!</definedName>
    <definedName name="IP_NAME_FORM">DATA_FORMS!$C$32</definedName>
    <definedName name="IP_QRE_ADD_HL_CLAIM_COLUMN_MARKER">#REF!</definedName>
    <definedName name="IP_QRE_ADD_HL_COLUMN_MARKER">#REF!</definedName>
    <definedName name="IP_QRE_DELETE_HL_COLUMN_MARKER">#REF!</definedName>
    <definedName name="IP_QRE_ip_5">#REF!</definedName>
    <definedName name="IP_QRE_ip_51">#REF!</definedName>
    <definedName name="IP_QRE_ip_511">#REF!</definedName>
    <definedName name="IP_QRE_ip_5111">#REF!</definedName>
    <definedName name="IP_QRE_ip_51111">#REF!</definedName>
    <definedName name="IP_QRE_ip_511111">#REF!</definedName>
    <definedName name="IP_QRE_ip_5111111">#REF!</definedName>
    <definedName name="IP_QRE_ip_51111111">#REF!</definedName>
    <definedName name="IP_QRE_ip_511111111">#REF!</definedName>
    <definedName name="IP_QRE_ip_5111111111">#REF!</definedName>
    <definedName name="IP_QRE_ip_51111111111">#REF!</definedName>
    <definedName name="IP_QRE_ip_511111111111">#REF!</definedName>
    <definedName name="IP_QRE_ip_5111111111111">#REF!</definedName>
    <definedName name="IP_QRE_ip_51111111111111">#REF!</definedName>
    <definedName name="IP_QRE_ip_511111111111111">#REF!</definedName>
    <definedName name="IP_QRE_ip_5111111111111111">#REF!</definedName>
    <definedName name="IP_QRE_ip_51111111111111111">#REF!</definedName>
    <definedName name="IP_QRE_ip_511111111111111111">#REF!</definedName>
    <definedName name="IP_QRE_ip_5111111111111111111">#REF!</definedName>
    <definedName name="IP_QRE_ip_51111111111111111111">#REF!</definedName>
    <definedName name="IP_QRE_ip_511111111111111111111">#REF!</definedName>
    <definedName name="IP_QRE_ip_5111111111111111111111">#REF!</definedName>
    <definedName name="IP_QRE_ip_51111111111111111111111">#REF!</definedName>
    <definedName name="IP_QRE_ip_511111111111111111111111">#REF!</definedName>
    <definedName name="IP_QRE_LIST_IP_ID">#REF!</definedName>
    <definedName name="IP_QRE_NUM_COLUMN_MARKER">#REF!</definedName>
    <definedName name="IP_QRE_OTKO_FEATURES_BLOCK">#REF!</definedName>
    <definedName name="IP_QRE_VOTV_FEATURES_BLOCK">#REF!</definedName>
    <definedName name="IP_QRE_VSNA_FEATURES_BLOCK">#REF!</definedName>
    <definedName name="IP_QRE_WARM_FEATURES_BLOCK">#REF!</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#REF!</definedName>
    <definedName name="pDel_DIFFERENTIATION_AREA">Дифференциация!$G$12:$G$48</definedName>
    <definedName name="pDel_DIFFERENTIATION_SYSTEM">Дифференциация!$K$12:$K$48</definedName>
    <definedName name="pDel_DIFFERENTIATION_VD">Дифференциация!$C$12:$C$48</definedName>
    <definedName name="pDel_ED">ЭД!$C$12:$C$13</definedName>
    <definedName name="pDel_IP_DETAILED_EVENT">#REF!</definedName>
    <definedName name="pDel_IP_DETAILED_IST_FIN">#REF!</definedName>
    <definedName name="pDel_IP_DETAILED_OBJECT">#REF!</definedName>
    <definedName name="pDel_IP_MAIN">#REF!</definedName>
    <definedName name="pDel_IP_MAIN_PROPERTY">#REF!</definedName>
    <definedName name="pDel_IP_QRE_CLAIM">#REF!</definedName>
    <definedName name="pDel_List07">'Сведения об изменении'!$C$11:$C$13</definedName>
    <definedName name="pDel_LT_AREA">'Список территорий'!$C$12:$C$60</definedName>
    <definedName name="pDel_LT_MO">'Список территорий'!$D$11:$D$60</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#REF!</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#REF!</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ФХД'!$F$58</definedName>
    <definedName name="pIns_B_FHD_2">'Показатели ФХД'!$F$94</definedName>
    <definedName name="pIns_B_FHD_3">'Показатели ФХД'!$F$124</definedName>
    <definedName name="pIns_B_FHD_4">'Показатели ФХД'!$F$142</definedName>
    <definedName name="pIns_B_FHD_5">'Показатели ФХД'!$F$145</definedName>
    <definedName name="pIns_B_FHD_6">'Показатели ФХД'!$F$148</definedName>
    <definedName name="pIns_B_FHD_DIFFERENTIATION">'Показатели ФХД'!$AD$24</definedName>
    <definedName name="pIns_B_FHD_TKO_2">'ТКО. Показатели ФХД'!$F$34</definedName>
    <definedName name="pIns_B_FHD_TKO_DIFFERENTIATION">'ТКО. Показатели ФХД'!$AD$9</definedName>
    <definedName name="pIns_B_FHD_TKO_TRANS_2">'ТКО. Транс. Показатели ФХД'!$F$29</definedName>
    <definedName name="pIns_B_FHD_TKO_TRANS_DIFFERENTIATION">'ТКО. Транс. Показатели ФХД'!$AD$9</definedName>
    <definedName name="pIns_B_FHD20_DIFFERENTIATION">'Показатели ФХД &gt;20%'!$D$203</definedName>
    <definedName name="pIns_B_KNE_DIFFERENTIATION">#REF!</definedName>
    <definedName name="pIns_B_OTEP_2">'Показатели ОТЭП'!$J$18</definedName>
    <definedName name="pIns_B_OTEP_DIFFERENTIATION">'Показатели ОТЭП'!$AH$9</definedName>
    <definedName name="pIns_B_STANDARTS">'Стандарты качества'!$J$13</definedName>
    <definedName name="pIns_CHANGE_INFO">'Сведения об изменении'!$E$13</definedName>
    <definedName name="pIns_Comm">#REF!</definedName>
    <definedName name="pIns_ED">ЭД!$E$13</definedName>
    <definedName name="pIns_IP_DETAILED">#REF!</definedName>
    <definedName name="pIns_IP_FIN_PLAN">'ИП. Финансовый план'!$CO$8</definedName>
    <definedName name="pIns_IP_MAIN">#REF!</definedName>
    <definedName name="pIns_IP_QRE">#REF!</definedName>
    <definedName name="pIns_List07">'Сведения об изменении'!$E$13</definedName>
    <definedName name="pIns_LT_AREA">'Список территорий'!$G$60</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Ограничения!$AY$25</definedName>
    <definedName name="pIns_Q_PH_DIFFERENTIATION">'Потребительские характеристики'!$AY$8</definedName>
    <definedName name="pIns_Q_TP_1">ТП!$E$22</definedName>
    <definedName name="pIns_Q_TP_DIFFERENTIATION">ТП!$AC$8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Ограничения!$AY$26</definedName>
    <definedName name="pNote_Q_PH">'Потребительские характеристики'!$AY$9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Ограничения!$E$32:$AY$39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diff_5111">Ограничения!$Q$26:$R$28</definedName>
    <definedName name="Q_Limit_diff_51111">Ограничения!$S$26:$T$28</definedName>
    <definedName name="Q_Limit_diff_511111">Ограничения!$U$26:$V$28</definedName>
    <definedName name="Q_Limit_diff_5111111">Ограничения!$W$26:$X$28</definedName>
    <definedName name="Q_Limit_diff_51111111">Ограничения!$Y$26:$Z$28</definedName>
    <definedName name="Q_Limit_diff_511111111">Ограничения!$AA$26:$AB$28</definedName>
    <definedName name="Q_Limit_diff_5111111111">Ограничения!$AC$26:$AD$28</definedName>
    <definedName name="Q_Limit_diff_51111111111">Ограничения!$AE$26:$AF$28</definedName>
    <definedName name="Q_Limit_diff_511111111111">Ограничения!$AG$26:$AH$28</definedName>
    <definedName name="Q_Limit_diff_5111111111111">Ограничения!$AI$26:$AJ$28</definedName>
    <definedName name="Q_Limit_diff_51111111111111">Ограничения!$AK$26:$AL$28</definedName>
    <definedName name="Q_Limit_diff_511111111111111">Ограничения!$AM$26:$AN$28</definedName>
    <definedName name="Q_Limit_diff_5111111111111111">Ограничения!$AO$26:$AP$28</definedName>
    <definedName name="Q_Limit_diff_51111111111111111">Ограничения!$AQ$26:$AR$28</definedName>
    <definedName name="Q_Limit_diff_511111111111111111">Ограничения!$AS$26:$AT$28</definedName>
    <definedName name="Q_Limit_diff_5111111111111111111">Ограничения!$AU$26:$AV$28</definedName>
    <definedName name="Q_Limit_diff_51111111111111111111">Ограничения!$AW$26:$AX$28</definedName>
    <definedName name="Q_LIMIT_p3">Ограничения!$F$36:$AY$37</definedName>
    <definedName name="Q_LIMIT_p4">Ограничения!$F$38:$AY$39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PH_diff_5111">'Потребительские характеристики'!$Q$9:$R$11</definedName>
    <definedName name="Q_PH_diff_51111">'Потребительские характеристики'!$S$9:$T$11</definedName>
    <definedName name="Q_PH_diff_511111">'Потребительские характеристики'!$U$9:$V$11</definedName>
    <definedName name="Q_PH_diff_5111111">'Потребительские характеристики'!$W$9:$X$11</definedName>
    <definedName name="Q_PH_diff_51111111">'Потребительские характеристики'!$Y$9:$Z$11</definedName>
    <definedName name="Q_PH_diff_511111111">'Потребительские характеристики'!$AA$9:$AB$11</definedName>
    <definedName name="Q_PH_diff_5111111111">'Потребительские характеристики'!$AC$9:$AD$11</definedName>
    <definedName name="Q_PH_diff_51111111111">'Потребительские характеристики'!$AE$9:$AF$11</definedName>
    <definedName name="Q_PH_diff_511111111111">'Потребительские характеристики'!$AG$9:$AH$11</definedName>
    <definedName name="Q_PH_diff_5111111111111">'Потребительские характеристики'!$AI$9:$AJ$11</definedName>
    <definedName name="Q_PH_diff_51111111111111">'Потребительские характеристики'!$AK$9:$AL$11</definedName>
    <definedName name="Q_PH_diff_511111111111111">'Потребительские характеристики'!$AM$9:$AN$11</definedName>
    <definedName name="Q_PH_diff_5111111111111111">'Потребительские характеристики'!$AO$9:$AP$11</definedName>
    <definedName name="Q_PH_diff_51111111111111111">'Потребительские характеристики'!$AQ$9:$AR$11</definedName>
    <definedName name="Q_PH_diff_511111111111111111">'Потребительские характеристики'!$AS$9:$AT$11</definedName>
    <definedName name="Q_PH_diff_5111111111111111111">'Потребительские характеристики'!$AU$9:$AV$11</definedName>
    <definedName name="Q_PH_diff_51111111111111111111">'Потребительские характеристики'!$AW$9:$AX$11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_TP_diff_5111">ТП!$L$9:$L$11</definedName>
    <definedName name="Q_TP_diff_51111">ТП!$M$9:$M$11</definedName>
    <definedName name="Q_TP_diff_511111">ТП!$N$9:$N$11</definedName>
    <definedName name="Q_TP_diff_5111111">ТП!$O$9:$O$11</definedName>
    <definedName name="Q_TP_diff_51111111">ТП!$P$9:$P$11</definedName>
    <definedName name="Q_TP_diff_511111111">ТП!$Q$9:$Q$11</definedName>
    <definedName name="Q_TP_diff_5111111111">ТП!$R$9:$R$11</definedName>
    <definedName name="Q_TP_diff_51111111111">ТП!$S$9:$S$11</definedName>
    <definedName name="Q_TP_diff_511111111111">ТП!$T$9:$T$11</definedName>
    <definedName name="Q_TP_diff_5111111111111">ТП!$U$9:$U$11</definedName>
    <definedName name="Q_TP_diff_51111111111111">ТП!$V$9:$V$11</definedName>
    <definedName name="Q_TP_diff_511111111111111">ТП!$W$9:$W$11</definedName>
    <definedName name="Q_TP_diff_5111111111111111">ТП!$X$9:$X$11</definedName>
    <definedName name="Q_TP_diff_51111111111111111">ТП!$Y$9:$Y$11</definedName>
    <definedName name="Q_TP_diff_511111111111111111">ТП!$Z$9:$Z$11</definedName>
    <definedName name="Q_TP_diff_5111111111111111111">ТП!$AA$9:$AA$11</definedName>
    <definedName name="Q_TP_diff_51111111111111111111">ТП!$AB$9:$AB$11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REESTR_OBJ_INFR!$A$2:$AL$196</definedName>
    <definedName name="REESTR_IP_RANGE">REESTR_IP!$A$2:$I$13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ФХД'!$AD$154</definedName>
    <definedName name="tblEnd_1_B_FHD_TKO">'ТКО. Показатели ФХД'!$AD$49</definedName>
    <definedName name="tblEnd_1_B_FHD_TKO_TRANS">'ТКО. Транс. Показатели ФХД'!$AD$43</definedName>
    <definedName name="tblEnd_1_B_KNE">#REF!</definedName>
    <definedName name="tblEnd_1_B_OTEP">'Показатели ОТЭП'!$AH$34</definedName>
    <definedName name="tblEnd_1_B_STANDARTS">'Стандарты качества'!$L$13</definedName>
    <definedName name="tblEnd_1_CHANGE_INFO">'Сведения об изменении'!$E$14</definedName>
    <definedName name="tblEnd_1_DIFFERENTIATION">Дифференциация!$M$49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#REF!</definedName>
    <definedName name="tblEnd_1_IP_FIN_PLAN">'ИП. Финансовый план'!$CO$58</definedName>
    <definedName name="tblEnd_1_IP_MAIN">#REF!</definedName>
    <definedName name="tblEnd_1_IP_QRE">#REF!</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Ограничения!$AY$40</definedName>
    <definedName name="tblEnd_1_Q_PH">'Потребительские характеристики'!$AY$21</definedName>
    <definedName name="tblEnd_1_Q_TP">ТП!$AC$23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территорий'!$I$61</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#REF!</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#REF!</definedName>
    <definedName name="tblStart_1_IP_FIN_PLAN">'ИП. Финансовый план'!$J$14</definedName>
    <definedName name="tblStart_1_IP_MAIN">#REF!</definedName>
    <definedName name="tblStart_1_IP_QRE">#REF!</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_LIST_KS">#REF!</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территорий'!$G$16:$I$19</definedName>
    <definedName name="ter_51">'Список территорий'!$G$22:$I$22</definedName>
    <definedName name="ter_511">'Список территорий'!$G$25:$I$28</definedName>
    <definedName name="ter_5111">'Список территорий'!$G$31:$I$31</definedName>
    <definedName name="ter_51111">'Список территорий'!$G$34:$I$34</definedName>
    <definedName name="ter_511111">'Список территорий'!$G$37:$I$40</definedName>
    <definedName name="ter_5111111">'Список территорий'!$G$43:$I$43</definedName>
    <definedName name="ter_51111111">'Список территорий'!$G$46:$I$46</definedName>
    <definedName name="ter_511111111">'Список территорий'!$G$49:$I$49</definedName>
    <definedName name="ter_5111111111">'Список территорий'!$G$52:$I$52</definedName>
    <definedName name="ter_51111111111">'Список территорий'!$G$55:$I$55</definedName>
    <definedName name="ter_511111111111">'Список территорий'!$G$58:$I$58</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территорий'!$E$11:$I$60</definedName>
    <definedName name="TERRITORY_ID">TEHSHEET!$E$56</definedName>
    <definedName name="TERRITORY_LIST_ID">'Список территорий'!$F$11:$F$60</definedName>
    <definedName name="TERRITORY_MO_LIST">'Список территорий'!$H$11:$H$60</definedName>
    <definedName name="TERRITORY_MR_LIST">'Список территорий'!$G$11:$G$60</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#REF!</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Дифференциация!$F$12:$F$48</definedName>
    <definedName name="Y_N_DIFFERENTIATION_SYSTEM">Дифференциация!$J$12:$J$48</definedName>
    <definedName name="YEAR_IP_LIST">TEHSHEET!$BE$2:$BE$74</definedName>
    <definedName name="year_list">TEHSHEET!$C$2:$C$6</definedName>
    <definedName name="year_list1">TEHSHEET!$B$2:$B$27</definedName>
  </definedNames>
  <calcPr calcId="144525"/>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M100" i="63"/>
  <c r="K100" i="63"/>
  <c r="N100" i="63" s="1"/>
  <c r="J100" i="63"/>
  <c r="I100" i="63"/>
  <c r="L100" i="63" s="1"/>
  <c r="K99" i="63"/>
  <c r="N99" i="63" s="1"/>
  <c r="J99" i="63"/>
  <c r="M99" i="63" s="1"/>
  <c r="I99" i="63"/>
  <c r="L99" i="63" s="1"/>
  <c r="M98" i="63"/>
  <c r="K98" i="63"/>
  <c r="N98" i="63" s="1"/>
  <c r="J98" i="63"/>
  <c r="I98" i="63"/>
  <c r="L98" i="63" s="1"/>
  <c r="K97" i="63"/>
  <c r="N97" i="63" s="1"/>
  <c r="J97" i="63"/>
  <c r="M97" i="63" s="1"/>
  <c r="I97" i="63"/>
  <c r="L97" i="63" s="1"/>
  <c r="M96" i="63"/>
  <c r="K96" i="63"/>
  <c r="N96" i="63" s="1"/>
  <c r="J96" i="63"/>
  <c r="I96" i="63"/>
  <c r="L96" i="63" s="1"/>
  <c r="K95" i="63"/>
  <c r="N95" i="63" s="1"/>
  <c r="J95" i="63"/>
  <c r="M95" i="63" s="1"/>
  <c r="I95" i="63"/>
  <c r="L95" i="63" s="1"/>
  <c r="M94" i="63"/>
  <c r="K94" i="63"/>
  <c r="N94" i="63" s="1"/>
  <c r="J94" i="63"/>
  <c r="I94" i="63"/>
  <c r="L94" i="63" s="1"/>
  <c r="K93" i="63"/>
  <c r="N93" i="63" s="1"/>
  <c r="J93" i="63"/>
  <c r="M93" i="63" s="1"/>
  <c r="I93" i="63"/>
  <c r="L93" i="63" s="1"/>
  <c r="M92" i="63"/>
  <c r="K92" i="63"/>
  <c r="N92" i="63" s="1"/>
  <c r="J92" i="63"/>
  <c r="I92" i="63"/>
  <c r="L92" i="63" s="1"/>
  <c r="K91" i="63"/>
  <c r="N91" i="63" s="1"/>
  <c r="J91" i="63"/>
  <c r="M91" i="63" s="1"/>
  <c r="I91" i="63"/>
  <c r="L91" i="63" s="1"/>
  <c r="M90" i="63"/>
  <c r="K90" i="63"/>
  <c r="N90" i="63" s="1"/>
  <c r="J90" i="63"/>
  <c r="I90" i="63"/>
  <c r="L90" i="63" s="1"/>
  <c r="K89" i="63"/>
  <c r="N89" i="63" s="1"/>
  <c r="J89" i="63"/>
  <c r="M89" i="63" s="1"/>
  <c r="I89" i="63"/>
  <c r="L89" i="63" s="1"/>
  <c r="M88" i="63"/>
  <c r="K88" i="63"/>
  <c r="N88" i="63" s="1"/>
  <c r="J88" i="63"/>
  <c r="I88" i="63"/>
  <c r="L88" i="63" s="1"/>
  <c r="K87" i="63"/>
  <c r="N87" i="63" s="1"/>
  <c r="J87" i="63"/>
  <c r="M87" i="63" s="1"/>
  <c r="I87" i="63"/>
  <c r="L87" i="63" s="1"/>
  <c r="M86" i="63"/>
  <c r="K86" i="63"/>
  <c r="N86" i="63" s="1"/>
  <c r="J86" i="63"/>
  <c r="I86" i="63"/>
  <c r="L86" i="63" s="1"/>
  <c r="K85" i="63"/>
  <c r="N85" i="63" s="1"/>
  <c r="J85" i="63"/>
  <c r="M85" i="63" s="1"/>
  <c r="I85" i="63"/>
  <c r="L85" i="63" s="1"/>
  <c r="M84" i="63"/>
  <c r="K84" i="63"/>
  <c r="N84" i="63" s="1"/>
  <c r="J84" i="63"/>
  <c r="I84" i="63"/>
  <c r="L84" i="63" s="1"/>
  <c r="K83" i="63"/>
  <c r="N83" i="63" s="1"/>
  <c r="J83" i="63"/>
  <c r="M83" i="63" s="1"/>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c r="K35" i="63"/>
  <c r="N35" i="63" s="1"/>
  <c r="I35" i="63"/>
  <c r="L35" i="63" s="1"/>
  <c r="M34" i="63"/>
  <c r="K34" i="63"/>
  <c r="N34" i="63" s="1"/>
  <c r="J34" i="63"/>
  <c r="I34" i="63"/>
  <c r="L34" i="63" s="1"/>
  <c r="T33" i="63"/>
  <c r="N33" i="63"/>
  <c r="L33" i="63"/>
  <c r="K33" i="63"/>
  <c r="J33" i="63"/>
  <c r="M33" i="63" s="1"/>
  <c r="I33" i="63"/>
  <c r="T32" i="63"/>
  <c r="J32" i="63" s="1"/>
  <c r="M32" i="63" s="1"/>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s="1"/>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V130" i="61"/>
  <c r="Q130" i="61"/>
  <c r="H129" i="61"/>
  <c r="H128" i="61"/>
  <c r="H127" i="61"/>
  <c r="V121" i="61"/>
  <c r="Q121" i="61"/>
  <c r="V118" i="61"/>
  <c r="Q118" i="61"/>
  <c r="H117" i="61"/>
  <c r="H116" i="61"/>
  <c r="H115" i="61"/>
  <c r="F109" i="61"/>
  <c r="AD103" i="61"/>
  <c r="AD97" i="61"/>
  <c r="AD92" i="61"/>
  <c r="F81" i="61"/>
  <c r="P72" i="61"/>
  <c r="D49" i="61"/>
  <c r="D48" i="61"/>
  <c r="D47" i="61"/>
  <c r="D50" i="61" s="1"/>
  <c r="I29" i="61"/>
  <c r="I23" i="61"/>
  <c r="O19" i="61"/>
  <c r="M19" i="61" a="1"/>
  <c r="M19" i="61" s="1"/>
  <c r="F19" i="61"/>
  <c r="O14" i="61"/>
  <c r="M14" i="61" a="1"/>
  <c r="M14" i="61" s="1"/>
  <c r="F14" i="61"/>
  <c r="E14" i="61"/>
  <c r="G13" i="61"/>
  <c r="E13" i="61"/>
  <c r="F13" i="56"/>
  <c r="E7" i="56"/>
  <c r="F2" i="56"/>
  <c r="P10" i="55" a="1"/>
  <c r="P10" i="55" s="1"/>
  <c r="F10" i="55"/>
  <c r="K8" i="55"/>
  <c r="L10" i="55" s="1"/>
  <c r="R10" i="55" s="1"/>
  <c r="R2" i="55"/>
  <c r="P2" i="55" a="1"/>
  <c r="P2" i="55" s="1"/>
  <c r="P10" i="54" a="1"/>
  <c r="P10" i="54"/>
  <c r="L10" i="54"/>
  <c r="R10" i="54" s="1"/>
  <c r="F10" i="54"/>
  <c r="K8" i="54"/>
  <c r="J8" i="54"/>
  <c r="G8" i="54"/>
  <c r="F8" i="54"/>
  <c r="R2" i="54"/>
  <c r="P2" i="54" a="1"/>
  <c r="P2" i="54" s="1"/>
  <c r="P9" i="53"/>
  <c r="N9" i="53" a="1"/>
  <c r="N9" i="53" s="1"/>
  <c r="J9" i="53"/>
  <c r="E5" i="53"/>
  <c r="P2" i="53"/>
  <c r="N2" i="53" a="1"/>
  <c r="N2" i="53" s="1"/>
  <c r="G24" i="52"/>
  <c r="G12" i="52"/>
  <c r="F12" i="52"/>
  <c r="F2" i="55" s="1"/>
  <c r="E12" i="52"/>
  <c r="D6" i="52"/>
  <c r="D5" i="52"/>
  <c r="BA115" i="51"/>
  <c r="BA114" i="51"/>
  <c r="BA113" i="51"/>
  <c r="BA102" i="51"/>
  <c r="BA100" i="51"/>
  <c r="BA99" i="51"/>
  <c r="I53" i="51"/>
  <c r="H53" i="51"/>
  <c r="G53" i="51"/>
  <c r="I52" i="51"/>
  <c r="I51" i="51"/>
  <c r="J50" i="51"/>
  <c r="I50" i="51"/>
  <c r="H50" i="51"/>
  <c r="G50" i="51"/>
  <c r="J49" i="51"/>
  <c r="I49" i="51"/>
  <c r="H49" i="51"/>
  <c r="G49" i="51"/>
  <c r="I48" i="51"/>
  <c r="H48" i="51"/>
  <c r="F29" i="51" s="1"/>
  <c r="G48" i="51"/>
  <c r="E29" i="51" s="1"/>
  <c r="I47" i="51"/>
  <c r="H47" i="51"/>
  <c r="G47" i="51"/>
  <c r="I46" i="51"/>
  <c r="K45" i="51"/>
  <c r="J45" i="51"/>
  <c r="I45" i="51"/>
  <c r="G44" i="51"/>
  <c r="H51" i="51" s="1"/>
  <c r="G36" i="51"/>
  <c r="E31" i="62" s="1"/>
  <c r="F36" i="51"/>
  <c r="E24" i="52" s="1"/>
  <c r="F32" i="51"/>
  <c r="E32" i="51"/>
  <c r="L5" i="51"/>
  <c r="L6" i="51" s="1"/>
  <c r="L4" i="51"/>
  <c r="L3" i="51"/>
  <c r="AW14" i="50"/>
  <c r="AU14" i="50"/>
  <c r="AS14" i="50"/>
  <c r="AQ14" i="50"/>
  <c r="AO14" i="50"/>
  <c r="AM14" i="50"/>
  <c r="AK14" i="50"/>
  <c r="AI14" i="50"/>
  <c r="AG14" i="50"/>
  <c r="AE14" i="50"/>
  <c r="AC14" i="50"/>
  <c r="AA14" i="50"/>
  <c r="Y14" i="50"/>
  <c r="W14" i="50"/>
  <c r="U14" i="50"/>
  <c r="S14" i="50"/>
  <c r="Q14" i="50"/>
  <c r="O14" i="50"/>
  <c r="M14" i="50"/>
  <c r="K14" i="50"/>
  <c r="I14" i="50"/>
  <c r="G14" i="50"/>
  <c r="G11" i="50"/>
  <c r="G10" i="50"/>
  <c r="G9" i="50"/>
  <c r="D6" i="50"/>
  <c r="E13" i="49"/>
  <c r="H12" i="49"/>
  <c r="E12" i="49"/>
  <c r="E11" i="49"/>
  <c r="E10" i="49"/>
  <c r="D6" i="49"/>
  <c r="D5" i="49"/>
  <c r="F269" i="48"/>
  <c r="M209" i="48"/>
  <c r="F20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AC21" i="45"/>
  <c r="F21" i="45"/>
  <c r="AC19" i="45"/>
  <c r="AB19" i="45"/>
  <c r="AA19" i="45"/>
  <c r="Z19" i="45"/>
  <c r="Y19" i="45"/>
  <c r="X19" i="45"/>
  <c r="W19" i="45"/>
  <c r="V19" i="45"/>
  <c r="U19" i="45"/>
  <c r="T19" i="45"/>
  <c r="S19" i="45"/>
  <c r="R19" i="45"/>
  <c r="Q19" i="45"/>
  <c r="P19" i="45"/>
  <c r="O19" i="45"/>
  <c r="N19" i="45"/>
  <c r="M19" i="45"/>
  <c r="L19" i="45"/>
  <c r="K19" i="45"/>
  <c r="J19" i="45"/>
  <c r="I19" i="45"/>
  <c r="H19" i="45"/>
  <c r="G19" i="45"/>
  <c r="F19" i="45"/>
  <c r="E19" i="45"/>
  <c r="AC18" i="45"/>
  <c r="E18" i="45"/>
  <c r="AC17" i="45"/>
  <c r="E17" i="45"/>
  <c r="AC16" i="45"/>
  <c r="E16" i="45"/>
  <c r="AC15" i="45"/>
  <c r="E15" i="45"/>
  <c r="AB14" i="45"/>
  <c r="AA14" i="45"/>
  <c r="Z14" i="45"/>
  <c r="Y14" i="45"/>
  <c r="X14" i="45"/>
  <c r="W14" i="45"/>
  <c r="V14" i="45"/>
  <c r="U14" i="45"/>
  <c r="T14" i="45"/>
  <c r="S14" i="45"/>
  <c r="R14" i="45"/>
  <c r="Q14" i="45"/>
  <c r="P14" i="45"/>
  <c r="O14" i="45"/>
  <c r="N14" i="45"/>
  <c r="M14" i="45"/>
  <c r="L14" i="45"/>
  <c r="K14" i="45"/>
  <c r="J14" i="45"/>
  <c r="I14" i="45"/>
  <c r="H14" i="45"/>
  <c r="G14" i="45"/>
  <c r="G11" i="45"/>
  <c r="G10" i="45"/>
  <c r="G9" i="45"/>
  <c r="D6" i="45"/>
  <c r="D5" i="45"/>
  <c r="F2" i="45"/>
  <c r="CJ57" i="43"/>
  <c r="CC57" i="43"/>
  <c r="BL57" i="43"/>
  <c r="BB57" i="43"/>
  <c r="AV57" i="43"/>
  <c r="AI57" i="43"/>
  <c r="Y57" i="43"/>
  <c r="T57" i="43"/>
  <c r="K57" i="43"/>
  <c r="H57" i="43"/>
  <c r="CJ56" i="43"/>
  <c r="CC56" i="43"/>
  <c r="BL56" i="43"/>
  <c r="BB56" i="43"/>
  <c r="AV56" i="43"/>
  <c r="AI56" i="43"/>
  <c r="Y56" i="43"/>
  <c r="T56" i="43"/>
  <c r="K56" i="43"/>
  <c r="H56" i="43"/>
  <c r="CJ55" i="43"/>
  <c r="CC55" i="43"/>
  <c r="BL55" i="43"/>
  <c r="BB55" i="43"/>
  <c r="AV55" i="43"/>
  <c r="AI55" i="43"/>
  <c r="Y55" i="43"/>
  <c r="T55" i="43"/>
  <c r="K55" i="43"/>
  <c r="H55" i="43"/>
  <c r="CM54" i="43"/>
  <c r="CL54" i="43"/>
  <c r="CJ54" i="43" s="1"/>
  <c r="CK54" i="43"/>
  <c r="CH54" i="43"/>
  <c r="CG54" i="43"/>
  <c r="CF54" i="43"/>
  <c r="CE54" i="43"/>
  <c r="CD54" i="43"/>
  <c r="CC54" i="43"/>
  <c r="CA54" i="43"/>
  <c r="BZ54" i="43"/>
  <c r="BY54" i="43"/>
  <c r="BX54" i="43"/>
  <c r="BW54" i="43"/>
  <c r="BV54" i="43"/>
  <c r="BU54" i="43"/>
  <c r="BT54" i="43"/>
  <c r="BS54" i="43"/>
  <c r="BR54" i="43"/>
  <c r="BQ54" i="43"/>
  <c r="BP54" i="43"/>
  <c r="BO54" i="43"/>
  <c r="BN54" i="43"/>
  <c r="BM54" i="43"/>
  <c r="BL54" i="43"/>
  <c r="BJ54" i="43"/>
  <c r="BI54" i="43"/>
  <c r="BH54" i="43"/>
  <c r="BG54" i="43"/>
  <c r="BF54" i="43"/>
  <c r="BE54" i="43"/>
  <c r="BD54" i="43"/>
  <c r="BC54" i="43"/>
  <c r="BB54" i="43" s="1"/>
  <c r="AZ54" i="43"/>
  <c r="AY54" i="43"/>
  <c r="AX54" i="43"/>
  <c r="AV54" i="43" s="1"/>
  <c r="AW54" i="43"/>
  <c r="AT54" i="43"/>
  <c r="AS54" i="43"/>
  <c r="AR54" i="43"/>
  <c r="AQ54" i="43"/>
  <c r="AP54" i="43"/>
  <c r="AO54" i="43"/>
  <c r="AN54" i="43"/>
  <c r="AM54" i="43"/>
  <c r="AL54" i="43"/>
  <c r="AK54" i="43"/>
  <c r="AJ54" i="43"/>
  <c r="AG54" i="43"/>
  <c r="AF54" i="43"/>
  <c r="AE54" i="43"/>
  <c r="AD54" i="43"/>
  <c r="AC54" i="43"/>
  <c r="AB54" i="43"/>
  <c r="AA54" i="43"/>
  <c r="Z54" i="43"/>
  <c r="Y54" i="43"/>
  <c r="W54" i="43"/>
  <c r="V54" i="43"/>
  <c r="U54" i="43"/>
  <c r="T54" i="43"/>
  <c r="R54" i="43"/>
  <c r="Q54" i="43"/>
  <c r="P54" i="43"/>
  <c r="O54" i="43"/>
  <c r="N54" i="43"/>
  <c r="M54" i="43"/>
  <c r="L54" i="43"/>
  <c r="K54" i="43"/>
  <c r="I54" i="43"/>
  <c r="H54" i="43" s="1"/>
  <c r="CJ53" i="43"/>
  <c r="CC53" i="43"/>
  <c r="BL53" i="43"/>
  <c r="BB53" i="43"/>
  <c r="AV53" i="43"/>
  <c r="AI53" i="43"/>
  <c r="Y53" i="43"/>
  <c r="T53" i="43"/>
  <c r="K53" i="43"/>
  <c r="H53" i="43"/>
  <c r="CJ52" i="43"/>
  <c r="CC52" i="43"/>
  <c r="BL52" i="43"/>
  <c r="BB52" i="43"/>
  <c r="AV52" i="43"/>
  <c r="AI52" i="43"/>
  <c r="Y52" i="43"/>
  <c r="T52" i="43"/>
  <c r="K52" i="43"/>
  <c r="H52" i="43"/>
  <c r="CJ51" i="43"/>
  <c r="CC51" i="43"/>
  <c r="BL51" i="43"/>
  <c r="BB51" i="43"/>
  <c r="AV51" i="43"/>
  <c r="AI51" i="43"/>
  <c r="Y51" i="43"/>
  <c r="T51" i="43"/>
  <c r="K51" i="43"/>
  <c r="H51" i="43"/>
  <c r="CJ50" i="43"/>
  <c r="CC50" i="43"/>
  <c r="BL50" i="43"/>
  <c r="BB50" i="43"/>
  <c r="AV50" i="43"/>
  <c r="AI50" i="43"/>
  <c r="Y50" i="43"/>
  <c r="T50" i="43"/>
  <c r="K50" i="43"/>
  <c r="H50" i="43"/>
  <c r="CM49" i="43"/>
  <c r="CL49" i="43"/>
  <c r="CK49" i="43"/>
  <c r="CJ49" i="43" s="1"/>
  <c r="CH49" i="43"/>
  <c r="CH48" i="43" s="1"/>
  <c r="CG49" i="43"/>
  <c r="CF49" i="43"/>
  <c r="CC49" i="43" s="1"/>
  <c r="CE49" i="43"/>
  <c r="CD49" i="43"/>
  <c r="CD48" i="43" s="1"/>
  <c r="CA49" i="43"/>
  <c r="BZ49" i="43"/>
  <c r="BY49" i="43"/>
  <c r="BY48" i="43" s="1"/>
  <c r="BX49" i="43"/>
  <c r="BW49" i="43"/>
  <c r="BV49" i="43"/>
  <c r="BU49" i="43"/>
  <c r="BU48" i="43" s="1"/>
  <c r="BT49" i="43"/>
  <c r="BS49" i="43"/>
  <c r="BR49" i="43"/>
  <c r="BQ49" i="43"/>
  <c r="BQ48" i="43" s="1"/>
  <c r="BP49" i="43"/>
  <c r="BO49" i="43"/>
  <c r="BL49" i="43" s="1"/>
  <c r="BN49" i="43"/>
  <c r="BM49" i="43"/>
  <c r="BM48" i="43" s="1"/>
  <c r="BJ49" i="43"/>
  <c r="BI49" i="43"/>
  <c r="BH49" i="43"/>
  <c r="BH48" i="43" s="1"/>
  <c r="BG49" i="43"/>
  <c r="BF49" i="43"/>
  <c r="BE49" i="43"/>
  <c r="BD49" i="43"/>
  <c r="BD48" i="43" s="1"/>
  <c r="BC49" i="43"/>
  <c r="BB49" i="43"/>
  <c r="AZ49" i="43"/>
  <c r="AY49" i="43"/>
  <c r="AY48" i="43" s="1"/>
  <c r="AX49" i="43"/>
  <c r="AW49" i="43"/>
  <c r="AV49" i="43" s="1"/>
  <c r="AT49" i="43"/>
  <c r="AT48" i="43" s="1"/>
  <c r="AS49" i="43"/>
  <c r="AS48" i="43" s="1"/>
  <c r="AR49" i="43"/>
  <c r="AQ49" i="43"/>
  <c r="AP49" i="43"/>
  <c r="AP48" i="43" s="1"/>
  <c r="AO49" i="43"/>
  <c r="AO48" i="43" s="1"/>
  <c r="AN49" i="43"/>
  <c r="AM49" i="43"/>
  <c r="AL49" i="43"/>
  <c r="AL48" i="43" s="1"/>
  <c r="AK49" i="43"/>
  <c r="AK48" i="43" s="1"/>
  <c r="AJ49" i="43"/>
  <c r="AG49" i="43"/>
  <c r="AF49" i="43"/>
  <c r="AF48" i="43" s="1"/>
  <c r="AE49" i="43"/>
  <c r="AD49" i="43"/>
  <c r="AC49" i="43"/>
  <c r="AB49" i="43"/>
  <c r="AB48" i="43" s="1"/>
  <c r="AA49" i="43"/>
  <c r="Y49" i="43" s="1"/>
  <c r="Z49" i="43"/>
  <c r="W49" i="43"/>
  <c r="V49" i="43"/>
  <c r="T49" i="43" s="1"/>
  <c r="U49" i="43"/>
  <c r="R49" i="43"/>
  <c r="Q49" i="43"/>
  <c r="P49" i="43"/>
  <c r="O49" i="43"/>
  <c r="O48" i="43" s="1"/>
  <c r="N49" i="43"/>
  <c r="M49" i="43"/>
  <c r="K49" i="43" s="1"/>
  <c r="L49" i="43"/>
  <c r="I49" i="43"/>
  <c r="I48" i="43" s="1"/>
  <c r="H48" i="43" s="1"/>
  <c r="CF48" i="43"/>
  <c r="CE48" i="43"/>
  <c r="CA48" i="43"/>
  <c r="BZ48" i="43"/>
  <c r="BW48" i="43"/>
  <c r="BV48" i="43"/>
  <c r="BS48" i="43"/>
  <c r="BR48" i="43"/>
  <c r="BO48" i="43"/>
  <c r="BN48" i="43"/>
  <c r="BJ48" i="43"/>
  <c r="BI48" i="43"/>
  <c r="BF48" i="43"/>
  <c r="BE48" i="43"/>
  <c r="AZ48" i="43"/>
  <c r="AW48" i="43"/>
  <c r="AR48" i="43"/>
  <c r="AQ48" i="43"/>
  <c r="AN48" i="43"/>
  <c r="AI48" i="43" s="1"/>
  <c r="AM48" i="43"/>
  <c r="AJ48" i="43"/>
  <c r="AE48" i="43"/>
  <c r="AD48" i="43"/>
  <c r="Z48" i="43"/>
  <c r="V48" i="43"/>
  <c r="U48" i="43"/>
  <c r="Q48" i="43"/>
  <c r="P48" i="43"/>
  <c r="M48" i="43"/>
  <c r="L48" i="43"/>
  <c r="CJ47" i="43"/>
  <c r="CC47" i="43"/>
  <c r="BL47" i="43"/>
  <c r="BB47" i="43"/>
  <c r="AV47" i="43"/>
  <c r="AI47" i="43"/>
  <c r="Y47" i="43"/>
  <c r="T47" i="43"/>
  <c r="K47" i="43"/>
  <c r="H47" i="43"/>
  <c r="CJ46" i="43"/>
  <c r="CC46" i="43"/>
  <c r="BL46" i="43"/>
  <c r="BB46" i="43"/>
  <c r="AV46" i="43"/>
  <c r="AI46" i="43"/>
  <c r="Y46" i="43"/>
  <c r="T46" i="43"/>
  <c r="K46" i="43"/>
  <c r="H46" i="43"/>
  <c r="CJ45" i="43"/>
  <c r="CC45" i="43"/>
  <c r="BL45" i="43"/>
  <c r="BB45" i="43"/>
  <c r="AV45" i="43"/>
  <c r="AI45" i="43"/>
  <c r="Y45" i="43"/>
  <c r="T45" i="43"/>
  <c r="K45" i="43"/>
  <c r="H45" i="43"/>
  <c r="CM44" i="43"/>
  <c r="CL44" i="43"/>
  <c r="CK44" i="43"/>
  <c r="CJ44" i="43" s="1"/>
  <c r="CH44" i="43"/>
  <c r="CG44" i="43"/>
  <c r="CF44" i="43"/>
  <c r="CC44" i="43" s="1"/>
  <c r="CE44" i="43"/>
  <c r="CD44" i="43"/>
  <c r="CA44" i="43"/>
  <c r="BZ44" i="43"/>
  <c r="BY44" i="43"/>
  <c r="BX44" i="43"/>
  <c r="BW44" i="43"/>
  <c r="BV44" i="43"/>
  <c r="BU44" i="43"/>
  <c r="BT44" i="43"/>
  <c r="BS44" i="43"/>
  <c r="BR44" i="43"/>
  <c r="BQ44" i="43"/>
  <c r="BP44" i="43"/>
  <c r="BO44" i="43"/>
  <c r="BL44" i="43" s="1"/>
  <c r="BN44" i="43"/>
  <c r="BM44" i="43"/>
  <c r="BJ44" i="43"/>
  <c r="BI44" i="43"/>
  <c r="BH44" i="43"/>
  <c r="BG44" i="43"/>
  <c r="BF44" i="43"/>
  <c r="BE44" i="43"/>
  <c r="BD44" i="43"/>
  <c r="BC44" i="43"/>
  <c r="BB44" i="43"/>
  <c r="AZ44" i="43"/>
  <c r="AY44" i="43"/>
  <c r="AX44" i="43"/>
  <c r="AW44" i="43"/>
  <c r="AV44" i="43" s="1"/>
  <c r="AT44" i="43"/>
  <c r="AS44" i="43"/>
  <c r="AS38" i="43" s="1"/>
  <c r="AS58" i="43" s="1"/>
  <c r="AR44" i="43"/>
  <c r="AQ44" i="43"/>
  <c r="AP44" i="43"/>
  <c r="AO44" i="43"/>
  <c r="AO38" i="43" s="1"/>
  <c r="AO58" i="43" s="1"/>
  <c r="AN44" i="43"/>
  <c r="AM44" i="43"/>
  <c r="AL44" i="43"/>
  <c r="AK44" i="43"/>
  <c r="AK38" i="43" s="1"/>
  <c r="AJ44" i="43"/>
  <c r="AG44" i="43"/>
  <c r="AF44" i="43"/>
  <c r="AF38" i="43" s="1"/>
  <c r="AF58" i="43" s="1"/>
  <c r="AE44" i="43"/>
  <c r="AD44" i="43"/>
  <c r="AC44" i="43"/>
  <c r="AB44" i="43"/>
  <c r="AB38" i="43" s="1"/>
  <c r="AB58" i="43" s="1"/>
  <c r="AA44" i="43"/>
  <c r="Z44" i="43"/>
  <c r="W44" i="43"/>
  <c r="V44" i="43"/>
  <c r="T44" i="43" s="1"/>
  <c r="U44" i="43"/>
  <c r="R44" i="43"/>
  <c r="Q44" i="43"/>
  <c r="P44" i="43"/>
  <c r="O44" i="43"/>
  <c r="N44" i="43"/>
  <c r="M44" i="43"/>
  <c r="K44" i="43" s="1"/>
  <c r="L44" i="43"/>
  <c r="I44" i="43"/>
  <c r="H44" i="43" s="1"/>
  <c r="CJ43" i="43"/>
  <c r="CC43" i="43"/>
  <c r="BL43" i="43"/>
  <c r="BB43" i="43"/>
  <c r="AV43" i="43"/>
  <c r="AI43" i="43"/>
  <c r="Y43" i="43"/>
  <c r="T43" i="43"/>
  <c r="K43" i="43"/>
  <c r="H43" i="43"/>
  <c r="CJ42" i="43"/>
  <c r="CC42" i="43"/>
  <c r="BL42" i="43"/>
  <c r="BB42" i="43"/>
  <c r="AV42" i="43"/>
  <c r="AI42" i="43"/>
  <c r="Y42" i="43"/>
  <c r="T42" i="43"/>
  <c r="K42" i="43"/>
  <c r="H42" i="43"/>
  <c r="CJ41" i="43"/>
  <c r="CC41" i="43"/>
  <c r="BL41" i="43"/>
  <c r="BB41" i="43"/>
  <c r="AV41" i="43"/>
  <c r="AI41" i="43"/>
  <c r="Y41" i="43"/>
  <c r="T41" i="43"/>
  <c r="K41" i="43"/>
  <c r="H41" i="43"/>
  <c r="CJ40" i="43"/>
  <c r="CC40" i="43"/>
  <c r="BL40" i="43"/>
  <c r="BB40" i="43"/>
  <c r="AV40" i="43"/>
  <c r="AI40" i="43"/>
  <c r="Y40" i="43"/>
  <c r="T40" i="43"/>
  <c r="K40" i="43"/>
  <c r="H40" i="43"/>
  <c r="CM39" i="43"/>
  <c r="CL39" i="43"/>
  <c r="CL38" i="43" s="1"/>
  <c r="CK39" i="43"/>
  <c r="CJ39" i="43" s="1"/>
  <c r="CH39" i="43"/>
  <c r="CG39" i="43"/>
  <c r="CG38" i="43" s="1"/>
  <c r="CF39" i="43"/>
  <c r="CE39" i="43"/>
  <c r="CD39" i="43"/>
  <c r="CA39" i="43"/>
  <c r="BZ39" i="43"/>
  <c r="BY39" i="43"/>
  <c r="BX39" i="43"/>
  <c r="BX38" i="43" s="1"/>
  <c r="BW39" i="43"/>
  <c r="BW38" i="43" s="1"/>
  <c r="BW58" i="43" s="1"/>
  <c r="BV39" i="43"/>
  <c r="BU39" i="43"/>
  <c r="BT39" i="43"/>
  <c r="BT38" i="43" s="1"/>
  <c r="BS39" i="43"/>
  <c r="BS38" i="43" s="1"/>
  <c r="BS58" i="43" s="1"/>
  <c r="BR39" i="43"/>
  <c r="BR38" i="43" s="1"/>
  <c r="BR58" i="43" s="1"/>
  <c r="BQ39" i="43"/>
  <c r="BP39" i="43"/>
  <c r="BP38" i="43" s="1"/>
  <c r="BO39" i="43"/>
  <c r="BN39" i="43"/>
  <c r="BL39" i="43" s="1"/>
  <c r="BM39" i="43"/>
  <c r="BJ39" i="43"/>
  <c r="BI39" i="43"/>
  <c r="BH39" i="43"/>
  <c r="BG39" i="43"/>
  <c r="BG38" i="43" s="1"/>
  <c r="BF39" i="43"/>
  <c r="BE39" i="43"/>
  <c r="BB39" i="43" s="1"/>
  <c r="BD39" i="43"/>
  <c r="BC39" i="43"/>
  <c r="AZ39" i="43"/>
  <c r="AY39" i="43"/>
  <c r="AX39" i="43"/>
  <c r="AW39" i="43"/>
  <c r="AV39" i="43"/>
  <c r="AT39" i="43"/>
  <c r="AS39" i="43"/>
  <c r="AR39" i="43"/>
  <c r="AQ39" i="43"/>
  <c r="AP39" i="43"/>
  <c r="AO39" i="43"/>
  <c r="AN39" i="43"/>
  <c r="AM39" i="43"/>
  <c r="AL39" i="43"/>
  <c r="AK39" i="43"/>
  <c r="AJ39" i="43"/>
  <c r="AI39" i="43"/>
  <c r="AG39" i="43"/>
  <c r="AF39" i="43"/>
  <c r="AE39" i="43"/>
  <c r="AD39" i="43"/>
  <c r="AC39" i="43"/>
  <c r="AB39" i="43"/>
  <c r="AA39" i="43"/>
  <c r="Z39" i="43"/>
  <c r="Y39" i="43" s="1"/>
  <c r="W39" i="43"/>
  <c r="W38" i="43" s="1"/>
  <c r="V39" i="43"/>
  <c r="U39" i="43"/>
  <c r="R39" i="43"/>
  <c r="R38" i="43" s="1"/>
  <c r="Q39" i="43"/>
  <c r="Q38" i="43" s="1"/>
  <c r="Q58" i="43" s="1"/>
  <c r="P39" i="43"/>
  <c r="O39" i="43"/>
  <c r="N39" i="43"/>
  <c r="N38" i="43" s="1"/>
  <c r="M39" i="43"/>
  <c r="M38" i="43" s="1"/>
  <c r="M58" i="43" s="1"/>
  <c r="L39" i="43"/>
  <c r="I39" i="43"/>
  <c r="I38" i="43" s="1"/>
  <c r="H39" i="43"/>
  <c r="CM38" i="43"/>
  <c r="CH38" i="43"/>
  <c r="CH58" i="43" s="1"/>
  <c r="CF38" i="43"/>
  <c r="CF58" i="43" s="1"/>
  <c r="CE38" i="43"/>
  <c r="CE58" i="43" s="1"/>
  <c r="CD38" i="43"/>
  <c r="CA38" i="43"/>
  <c r="CA58" i="43" s="1"/>
  <c r="BZ38" i="43"/>
  <c r="BZ58" i="43" s="1"/>
  <c r="BY38" i="43"/>
  <c r="BV38" i="43"/>
  <c r="BV58" i="43" s="1"/>
  <c r="BU38" i="43"/>
  <c r="BU58" i="43" s="1"/>
  <c r="BQ38" i="43"/>
  <c r="BQ58" i="43" s="1"/>
  <c r="BO38" i="43"/>
  <c r="BO58" i="43" s="1"/>
  <c r="BM38" i="43"/>
  <c r="BJ38" i="43"/>
  <c r="BJ58" i="43" s="1"/>
  <c r="BI38" i="43"/>
  <c r="BI58" i="43" s="1"/>
  <c r="BH38" i="43"/>
  <c r="BF38" i="43"/>
  <c r="BF58" i="43" s="1"/>
  <c r="BE38" i="43"/>
  <c r="BE58" i="43" s="1"/>
  <c r="BD38" i="43"/>
  <c r="BD58" i="43" s="1"/>
  <c r="BC38" i="43"/>
  <c r="AZ38" i="43"/>
  <c r="AZ58" i="43" s="1"/>
  <c r="AY38" i="43"/>
  <c r="AY58" i="43" s="1"/>
  <c r="AX38" i="43"/>
  <c r="AW38" i="43"/>
  <c r="AW58" i="43" s="1"/>
  <c r="AV38" i="43"/>
  <c r="AT38" i="43"/>
  <c r="AT58" i="43" s="1"/>
  <c r="AR38" i="43"/>
  <c r="AR58" i="43" s="1"/>
  <c r="AQ38" i="43"/>
  <c r="AQ58" i="43" s="1"/>
  <c r="AP38" i="43"/>
  <c r="AP58" i="43" s="1"/>
  <c r="AN38" i="43"/>
  <c r="AN58" i="43" s="1"/>
  <c r="AM38" i="43"/>
  <c r="AM58" i="43" s="1"/>
  <c r="AL38" i="43"/>
  <c r="AL58" i="43" s="1"/>
  <c r="AJ38" i="43"/>
  <c r="AJ58" i="43" s="1"/>
  <c r="AG38" i="43"/>
  <c r="AE38" i="43"/>
  <c r="AE58" i="43" s="1"/>
  <c r="AD38" i="43"/>
  <c r="AD58" i="43" s="1"/>
  <c r="AC38" i="43"/>
  <c r="AA38" i="43"/>
  <c r="Z38" i="43"/>
  <c r="Z58" i="43" s="1"/>
  <c r="V38" i="43"/>
  <c r="V58" i="43" s="1"/>
  <c r="U38" i="43"/>
  <c r="U58" i="43" s="1"/>
  <c r="P38" i="43"/>
  <c r="P58" i="43" s="1"/>
  <c r="O38" i="43"/>
  <c r="O58" i="43" s="1"/>
  <c r="L38" i="43"/>
  <c r="L58" i="43" s="1"/>
  <c r="CJ35" i="43"/>
  <c r="CC35" i="43"/>
  <c r="BL35" i="43"/>
  <c r="BB35" i="43"/>
  <c r="AV35" i="43"/>
  <c r="AI35" i="43"/>
  <c r="Y35" i="43"/>
  <c r="T35" i="43"/>
  <c r="K35" i="43"/>
  <c r="H35" i="43"/>
  <c r="CJ34" i="43"/>
  <c r="CC34" i="43"/>
  <c r="BL34" i="43"/>
  <c r="BB34" i="43"/>
  <c r="AV34" i="43"/>
  <c r="AI34" i="43"/>
  <c r="Y34" i="43"/>
  <c r="T34" i="43"/>
  <c r="K34" i="43"/>
  <c r="H34" i="43"/>
  <c r="CJ33" i="43"/>
  <c r="CC33" i="43"/>
  <c r="BL33" i="43"/>
  <c r="BB33" i="43"/>
  <c r="AV33" i="43"/>
  <c r="AI33" i="43"/>
  <c r="Y33" i="43"/>
  <c r="T33" i="43"/>
  <c r="K33" i="43"/>
  <c r="H33" i="43"/>
  <c r="CM32" i="43"/>
  <c r="CL32" i="43"/>
  <c r="CK32" i="43"/>
  <c r="CJ32" i="43"/>
  <c r="CH32" i="43"/>
  <c r="CG32" i="43"/>
  <c r="CF32" i="43"/>
  <c r="CE32" i="43"/>
  <c r="CD32" i="43"/>
  <c r="CC32" i="43" s="1"/>
  <c r="CA32" i="43"/>
  <c r="BZ32" i="43"/>
  <c r="BY32" i="43"/>
  <c r="BX32" i="43"/>
  <c r="BW32" i="43"/>
  <c r="BV32" i="43"/>
  <c r="BU32" i="43"/>
  <c r="BT32" i="43"/>
  <c r="BS32" i="43"/>
  <c r="BR32" i="43"/>
  <c r="BQ32" i="43"/>
  <c r="BP32" i="43"/>
  <c r="BO32" i="43"/>
  <c r="BN32" i="43"/>
  <c r="BM32" i="43"/>
  <c r="BL32" i="43" s="1"/>
  <c r="BJ32" i="43"/>
  <c r="BI32" i="43"/>
  <c r="BH32" i="43"/>
  <c r="BG32" i="43"/>
  <c r="BF32" i="43"/>
  <c r="BE32" i="43"/>
  <c r="BD32" i="43"/>
  <c r="BB32" i="43" s="1"/>
  <c r="BC32" i="43"/>
  <c r="AZ32" i="43"/>
  <c r="AY32" i="43"/>
  <c r="AX32" i="43"/>
  <c r="AW32" i="43"/>
  <c r="AV32" i="43"/>
  <c r="AT32" i="43"/>
  <c r="AS32" i="43"/>
  <c r="AR32" i="43"/>
  <c r="AQ32" i="43"/>
  <c r="AP32" i="43"/>
  <c r="AO32" i="43"/>
  <c r="AN32" i="43"/>
  <c r="AM32" i="43"/>
  <c r="AL32" i="43"/>
  <c r="AK32" i="43"/>
  <c r="AJ32" i="43"/>
  <c r="AI32" i="43"/>
  <c r="AG32" i="43"/>
  <c r="AF32" i="43"/>
  <c r="AE32" i="43"/>
  <c r="AD32" i="43"/>
  <c r="AC32" i="43"/>
  <c r="AB32" i="43"/>
  <c r="AA32" i="43"/>
  <c r="Z32" i="43"/>
  <c r="Y32" i="43" s="1"/>
  <c r="W32" i="43"/>
  <c r="V32" i="43"/>
  <c r="U32" i="43"/>
  <c r="T32" i="43" s="1"/>
  <c r="R32" i="43"/>
  <c r="Q32" i="43"/>
  <c r="P32" i="43"/>
  <c r="O32" i="43"/>
  <c r="N32" i="43"/>
  <c r="M32" i="43"/>
  <c r="L32" i="43"/>
  <c r="K32" i="43" s="1"/>
  <c r="I32" i="43"/>
  <c r="H32" i="43"/>
  <c r="CJ31" i="43"/>
  <c r="CC31" i="43"/>
  <c r="BL31" i="43"/>
  <c r="BB31" i="43"/>
  <c r="AV31" i="43"/>
  <c r="AI31" i="43"/>
  <c r="Y31" i="43"/>
  <c r="T31" i="43"/>
  <c r="K31" i="43"/>
  <c r="H31" i="43"/>
  <c r="CJ30" i="43"/>
  <c r="CC30" i="43"/>
  <c r="BL30" i="43"/>
  <c r="BB30" i="43"/>
  <c r="AV30" i="43"/>
  <c r="AI30" i="43"/>
  <c r="Y30" i="43"/>
  <c r="T30" i="43"/>
  <c r="K30" i="43"/>
  <c r="H30" i="43"/>
  <c r="CJ29" i="43"/>
  <c r="CC29" i="43"/>
  <c r="BL29" i="43"/>
  <c r="BB29" i="43"/>
  <c r="AV29" i="43"/>
  <c r="AI29" i="43"/>
  <c r="Y29" i="43"/>
  <c r="T29" i="43"/>
  <c r="K29" i="43"/>
  <c r="H29" i="43"/>
  <c r="CM28" i="43"/>
  <c r="CL28" i="43"/>
  <c r="CK28" i="43"/>
  <c r="CJ28" i="43" s="1"/>
  <c r="CH28" i="43"/>
  <c r="CG28" i="43"/>
  <c r="CF28" i="43"/>
  <c r="CE28" i="43"/>
  <c r="CC28" i="43" s="1"/>
  <c r="CD28" i="43"/>
  <c r="CA28" i="43"/>
  <c r="BZ28" i="43"/>
  <c r="BY28" i="43"/>
  <c r="BX28" i="43"/>
  <c r="BW28" i="43"/>
  <c r="BV28" i="43"/>
  <c r="BU28" i="43"/>
  <c r="BT28" i="43"/>
  <c r="BS28" i="43"/>
  <c r="BR28" i="43"/>
  <c r="BQ28" i="43"/>
  <c r="BP28" i="43"/>
  <c r="BO28" i="43"/>
  <c r="BN28" i="43"/>
  <c r="BL28" i="43" s="1"/>
  <c r="BM28" i="43"/>
  <c r="BJ28" i="43"/>
  <c r="BI28" i="43"/>
  <c r="BH28" i="43"/>
  <c r="BG28" i="43"/>
  <c r="BF28" i="43"/>
  <c r="BE28" i="43"/>
  <c r="BD28" i="43"/>
  <c r="BC28" i="43"/>
  <c r="BB28" i="43"/>
  <c r="AZ28" i="43"/>
  <c r="AY28" i="43"/>
  <c r="AX28" i="43"/>
  <c r="AW28" i="43"/>
  <c r="AV28" i="43" s="1"/>
  <c r="AT28" i="43"/>
  <c r="AS28" i="43"/>
  <c r="AR28" i="43"/>
  <c r="AQ28" i="43"/>
  <c r="AP28" i="43"/>
  <c r="AO28" i="43"/>
  <c r="AN28" i="43"/>
  <c r="AM28" i="43"/>
  <c r="AL28" i="43"/>
  <c r="AK28" i="43"/>
  <c r="AJ28" i="43"/>
  <c r="AI28" i="43" s="1"/>
  <c r="AG28" i="43"/>
  <c r="AF28" i="43"/>
  <c r="AE28" i="43"/>
  <c r="AD28" i="43"/>
  <c r="AC28" i="43"/>
  <c r="AB28" i="43"/>
  <c r="AA28" i="43"/>
  <c r="Z28" i="43"/>
  <c r="Y28" i="43" s="1"/>
  <c r="W28" i="43"/>
  <c r="V28" i="43"/>
  <c r="U28" i="43"/>
  <c r="T28" i="43" s="1"/>
  <c r="R28" i="43"/>
  <c r="Q28" i="43"/>
  <c r="P28" i="43"/>
  <c r="O28" i="43"/>
  <c r="N28" i="43"/>
  <c r="M28" i="43"/>
  <c r="L28" i="43"/>
  <c r="K28" i="43" s="1"/>
  <c r="I28" i="43"/>
  <c r="H28" i="43"/>
  <c r="CJ27" i="43"/>
  <c r="CC27" i="43"/>
  <c r="BL27" i="43"/>
  <c r="BB27" i="43"/>
  <c r="AV27" i="43"/>
  <c r="AI27" i="43"/>
  <c r="Y27" i="43"/>
  <c r="T27" i="43"/>
  <c r="K27" i="43"/>
  <c r="H27" i="43"/>
  <c r="CJ26" i="43"/>
  <c r="CC26" i="43"/>
  <c r="BL26" i="43"/>
  <c r="BB26" i="43"/>
  <c r="AV26" i="43"/>
  <c r="AI26" i="43"/>
  <c r="Y26" i="43"/>
  <c r="T26" i="43"/>
  <c r="K26" i="43"/>
  <c r="H26" i="43"/>
  <c r="CJ25" i="43"/>
  <c r="CC25" i="43"/>
  <c r="BL25" i="43"/>
  <c r="BB25" i="43"/>
  <c r="AV25" i="43"/>
  <c r="AI25" i="43"/>
  <c r="Y25" i="43"/>
  <c r="T25" i="43"/>
  <c r="K25" i="43"/>
  <c r="H25" i="43"/>
  <c r="CJ24" i="43"/>
  <c r="CC24" i="43"/>
  <c r="BL24" i="43"/>
  <c r="BB24" i="43"/>
  <c r="AV24" i="43"/>
  <c r="AI24" i="43"/>
  <c r="Y24" i="43"/>
  <c r="T24" i="43"/>
  <c r="K24" i="43"/>
  <c r="H24" i="43"/>
  <c r="CJ23" i="43"/>
  <c r="CC23" i="43"/>
  <c r="BL23" i="43"/>
  <c r="BB23" i="43"/>
  <c r="AV23" i="43"/>
  <c r="AI23" i="43"/>
  <c r="Y23" i="43"/>
  <c r="T23" i="43"/>
  <c r="K23" i="43"/>
  <c r="H23" i="43"/>
  <c r="CJ22" i="43"/>
  <c r="CC22" i="43"/>
  <c r="BL22" i="43"/>
  <c r="BB22" i="43"/>
  <c r="AV22" i="43"/>
  <c r="AI22" i="43"/>
  <c r="Y22" i="43"/>
  <c r="T22" i="43"/>
  <c r="K22" i="43"/>
  <c r="H22" i="43"/>
  <c r="CJ21" i="43"/>
  <c r="CC21" i="43"/>
  <c r="BL21" i="43"/>
  <c r="BB21" i="43"/>
  <c r="AV21" i="43"/>
  <c r="AI21" i="43"/>
  <c r="Y21" i="43"/>
  <c r="T21" i="43"/>
  <c r="K21" i="43"/>
  <c r="H21" i="43"/>
  <c r="CJ20" i="43"/>
  <c r="CC20" i="43"/>
  <c r="BL20" i="43"/>
  <c r="BB20" i="43"/>
  <c r="AV20" i="43"/>
  <c r="AI20" i="43"/>
  <c r="Y20" i="43"/>
  <c r="T20" i="43"/>
  <c r="K20" i="43"/>
  <c r="H20" i="43"/>
  <c r="CJ19" i="43"/>
  <c r="CC19" i="43"/>
  <c r="BL19" i="43"/>
  <c r="BB19" i="43"/>
  <c r="AV19" i="43"/>
  <c r="AI19" i="43"/>
  <c r="Y19" i="43"/>
  <c r="T19" i="43"/>
  <c r="K19" i="43"/>
  <c r="H19" i="43"/>
  <c r="CJ18" i="43"/>
  <c r="CC18" i="43"/>
  <c r="BL18" i="43"/>
  <c r="BB18" i="43"/>
  <c r="AV18" i="43"/>
  <c r="AI18" i="43"/>
  <c r="Y18" i="43"/>
  <c r="T18" i="43"/>
  <c r="K18" i="43"/>
  <c r="H18" i="43"/>
  <c r="CJ17" i="43"/>
  <c r="CC17" i="43"/>
  <c r="BL17" i="43"/>
  <c r="BB17" i="43"/>
  <c r="AV17" i="43"/>
  <c r="AI17" i="43"/>
  <c r="Y17" i="43"/>
  <c r="T17" i="43"/>
  <c r="K17" i="43"/>
  <c r="H17" i="43"/>
  <c r="CJ16" i="43"/>
  <c r="CC16" i="43"/>
  <c r="BL16" i="43"/>
  <c r="BB16" i="43"/>
  <c r="AV16" i="43"/>
  <c r="AI16" i="43"/>
  <c r="Y16" i="43"/>
  <c r="T16" i="43"/>
  <c r="K16" i="43"/>
  <c r="H16" i="43"/>
  <c r="CM15" i="43"/>
  <c r="CM36" i="43" s="1"/>
  <c r="CL15" i="43"/>
  <c r="CL36" i="43" s="1"/>
  <c r="CK15" i="43"/>
  <c r="CK36" i="43" s="1"/>
  <c r="CJ15" i="43"/>
  <c r="CH15" i="43"/>
  <c r="CH36" i="43" s="1"/>
  <c r="CG15" i="43"/>
  <c r="CG36" i="43" s="1"/>
  <c r="CF15" i="43"/>
  <c r="CF36" i="43" s="1"/>
  <c r="CE15" i="43"/>
  <c r="CE36" i="43" s="1"/>
  <c r="CD15" i="43"/>
  <c r="CD36" i="43" s="1"/>
  <c r="CA15" i="43"/>
  <c r="CA36" i="43" s="1"/>
  <c r="BZ15" i="43"/>
  <c r="BZ36" i="43" s="1"/>
  <c r="BY15" i="43"/>
  <c r="BY36" i="43" s="1"/>
  <c r="BX15" i="43"/>
  <c r="BX36" i="43" s="1"/>
  <c r="BW15" i="43"/>
  <c r="BW36" i="43" s="1"/>
  <c r="BV15" i="43"/>
  <c r="BV36" i="43" s="1"/>
  <c r="BU15" i="43"/>
  <c r="BU36" i="43" s="1"/>
  <c r="BT15" i="43"/>
  <c r="BT36" i="43" s="1"/>
  <c r="BS15" i="43"/>
  <c r="BS36" i="43" s="1"/>
  <c r="BR15" i="43"/>
  <c r="BR36" i="43" s="1"/>
  <c r="BQ15" i="43"/>
  <c r="BQ36" i="43" s="1"/>
  <c r="BP15" i="43"/>
  <c r="BP36" i="43" s="1"/>
  <c r="BO15" i="43"/>
  <c r="BO36" i="43" s="1"/>
  <c r="BN15" i="43"/>
  <c r="BN36" i="43" s="1"/>
  <c r="BM15" i="43"/>
  <c r="BM36" i="43" s="1"/>
  <c r="BJ15" i="43"/>
  <c r="BJ36" i="43" s="1"/>
  <c r="BI15" i="43"/>
  <c r="BI36" i="43" s="1"/>
  <c r="BH15" i="43"/>
  <c r="BH36" i="43" s="1"/>
  <c r="BG15" i="43"/>
  <c r="BG36" i="43" s="1"/>
  <c r="BF15" i="43"/>
  <c r="BF36" i="43" s="1"/>
  <c r="BE15" i="43"/>
  <c r="BE36" i="43" s="1"/>
  <c r="BD15" i="43"/>
  <c r="BB15" i="43" s="1"/>
  <c r="BC15" i="43"/>
  <c r="BC36" i="43" s="1"/>
  <c r="AZ15" i="43"/>
  <c r="AZ36" i="43" s="1"/>
  <c r="AY15" i="43"/>
  <c r="AY36" i="43" s="1"/>
  <c r="AX15" i="43"/>
  <c r="AX36" i="43" s="1"/>
  <c r="AW15" i="43"/>
  <c r="AW36" i="43" s="1"/>
  <c r="AV15" i="43"/>
  <c r="AT15" i="43"/>
  <c r="AT36" i="43" s="1"/>
  <c r="AS15" i="43"/>
  <c r="AS36" i="43" s="1"/>
  <c r="AR15" i="43"/>
  <c r="AR36" i="43" s="1"/>
  <c r="AQ15" i="43"/>
  <c r="AQ36" i="43" s="1"/>
  <c r="AP15" i="43"/>
  <c r="AP36" i="43" s="1"/>
  <c r="AO15" i="43"/>
  <c r="AO36" i="43" s="1"/>
  <c r="AN15" i="43"/>
  <c r="AN36" i="43" s="1"/>
  <c r="AM15" i="43"/>
  <c r="AM36" i="43" s="1"/>
  <c r="AL15" i="43"/>
  <c r="AL36" i="43" s="1"/>
  <c r="AK15" i="43"/>
  <c r="AK36" i="43" s="1"/>
  <c r="AJ15" i="43"/>
  <c r="AJ36" i="43" s="1"/>
  <c r="AI15" i="43"/>
  <c r="AG15" i="43"/>
  <c r="AG36" i="43" s="1"/>
  <c r="AF15" i="43"/>
  <c r="AF36" i="43" s="1"/>
  <c r="AE15" i="43"/>
  <c r="AE36" i="43" s="1"/>
  <c r="AD15" i="43"/>
  <c r="AD36" i="43" s="1"/>
  <c r="AC15" i="43"/>
  <c r="AC36" i="43" s="1"/>
  <c r="AB15" i="43"/>
  <c r="AB36" i="43" s="1"/>
  <c r="AA15" i="43"/>
  <c r="AA36" i="43" s="1"/>
  <c r="Z15" i="43"/>
  <c r="Z36" i="43" s="1"/>
  <c r="W15" i="43"/>
  <c r="W36" i="43" s="1"/>
  <c r="V15" i="43"/>
  <c r="V36" i="43" s="1"/>
  <c r="U15" i="43"/>
  <c r="U36" i="43" s="1"/>
  <c r="R15" i="43"/>
  <c r="R36" i="43" s="1"/>
  <c r="Q15" i="43"/>
  <c r="Q36" i="43" s="1"/>
  <c r="P15" i="43"/>
  <c r="P36" i="43" s="1"/>
  <c r="O15" i="43"/>
  <c r="O36" i="43" s="1"/>
  <c r="N15" i="43"/>
  <c r="N36" i="43" s="1"/>
  <c r="M15" i="43"/>
  <c r="M36" i="43" s="1"/>
  <c r="L15" i="43"/>
  <c r="L36" i="43" s="1"/>
  <c r="I15" i="43"/>
  <c r="I36" i="43" s="1"/>
  <c r="H36" i="43" s="1"/>
  <c r="H15" i="43"/>
  <c r="CJ11" i="43"/>
  <c r="CC11" i="43"/>
  <c r="BL11" i="43"/>
  <c r="BB11" i="43"/>
  <c r="AV11" i="43"/>
  <c r="AI11" i="43"/>
  <c r="Y11" i="43"/>
  <c r="T11" i="43"/>
  <c r="K11" i="43"/>
  <c r="H11" i="43"/>
  <c r="F6" i="43"/>
  <c r="F5" i="43"/>
  <c r="G28" i="40"/>
  <c r="G27" i="40"/>
  <c r="G26" i="40"/>
  <c r="D23" i="40"/>
  <c r="D22" i="40"/>
  <c r="D14" i="40"/>
  <c r="D13" i="40"/>
  <c r="D11" i="40"/>
  <c r="D10" i="40"/>
  <c r="D9" i="40"/>
  <c r="D7" i="40"/>
  <c r="D6" i="40"/>
  <c r="D4" i="40"/>
  <c r="D3" i="40"/>
  <c r="E28" i="38"/>
  <c r="AC27" i="38"/>
  <c r="AC16" i="38" s="1"/>
  <c r="AB27" i="38"/>
  <c r="AA27" i="38"/>
  <c r="Z27" i="38"/>
  <c r="Y27" i="38"/>
  <c r="Y16" i="38" s="1"/>
  <c r="X27" i="38"/>
  <c r="W27" i="38"/>
  <c r="V27" i="38"/>
  <c r="U27" i="38"/>
  <c r="U16" i="38" s="1"/>
  <c r="T27" i="38"/>
  <c r="S27" i="38"/>
  <c r="R27" i="38"/>
  <c r="Q27" i="38"/>
  <c r="Q16" i="38" s="1"/>
  <c r="P27" i="38"/>
  <c r="O27" i="38"/>
  <c r="N27" i="38"/>
  <c r="M27" i="38"/>
  <c r="M16" i="38" s="1"/>
  <c r="L27" i="38"/>
  <c r="K27" i="38"/>
  <c r="J27" i="38"/>
  <c r="I27" i="38"/>
  <c r="I16" i="38" s="1"/>
  <c r="H27" i="38"/>
  <c r="AB16" i="38"/>
  <c r="AA16" i="38"/>
  <c r="Z16" i="38"/>
  <c r="X16" i="38"/>
  <c r="W16" i="38"/>
  <c r="V16" i="38"/>
  <c r="T16" i="38"/>
  <c r="S16" i="38"/>
  <c r="R16" i="38"/>
  <c r="P16" i="38"/>
  <c r="O16" i="38"/>
  <c r="N16" i="38"/>
  <c r="L16" i="38"/>
  <c r="K16" i="38"/>
  <c r="J16" i="38"/>
  <c r="H16" i="38"/>
  <c r="H12" i="38"/>
  <c r="H11" i="38"/>
  <c r="H10" i="38"/>
  <c r="E7" i="38"/>
  <c r="E33" i="37"/>
  <c r="AC32" i="37"/>
  <c r="AC16" i="37" s="1"/>
  <c r="AB32" i="37"/>
  <c r="AA32" i="37"/>
  <c r="Z32" i="37"/>
  <c r="Y32" i="37"/>
  <c r="Y16" i="37" s="1"/>
  <c r="X32" i="37"/>
  <c r="W32" i="37"/>
  <c r="V32" i="37"/>
  <c r="U32" i="37"/>
  <c r="U16" i="37" s="1"/>
  <c r="T32" i="37"/>
  <c r="S32" i="37"/>
  <c r="R32" i="37"/>
  <c r="Q32" i="37"/>
  <c r="Q16" i="37" s="1"/>
  <c r="P32" i="37"/>
  <c r="O32" i="37"/>
  <c r="N32" i="37"/>
  <c r="M32" i="37"/>
  <c r="M16" i="37" s="1"/>
  <c r="L32" i="37"/>
  <c r="K32" i="37"/>
  <c r="J32" i="37"/>
  <c r="I32" i="37"/>
  <c r="I16" i="37" s="1"/>
  <c r="H32" i="37"/>
  <c r="AB16" i="37"/>
  <c r="AA16" i="37"/>
  <c r="Z16" i="37"/>
  <c r="X16" i="37"/>
  <c r="W16" i="37"/>
  <c r="V16" i="37"/>
  <c r="T16" i="37"/>
  <c r="S16" i="37"/>
  <c r="R16" i="37"/>
  <c r="P16" i="37"/>
  <c r="O16" i="37"/>
  <c r="N16" i="37"/>
  <c r="L16" i="37"/>
  <c r="K16" i="37"/>
  <c r="J16" i="37"/>
  <c r="H16" i="37"/>
  <c r="H12" i="37"/>
  <c r="H11" i="37"/>
  <c r="H10" i="37"/>
  <c r="E7" i="37"/>
  <c r="I6" i="36"/>
  <c r="F2" i="36"/>
  <c r="E2" i="36"/>
  <c r="L12" i="35"/>
  <c r="L11" i="35"/>
  <c r="L10" i="35"/>
  <c r="I7" i="35"/>
  <c r="AG3" i="35"/>
  <c r="AF3" i="35"/>
  <c r="AE3" i="35"/>
  <c r="AD3" i="35"/>
  <c r="AC3" i="35"/>
  <c r="AB3" i="35"/>
  <c r="AA3" i="35"/>
  <c r="Z3" i="35"/>
  <c r="Y3" i="35"/>
  <c r="X3" i="35"/>
  <c r="W3" i="35"/>
  <c r="V3" i="35"/>
  <c r="U3" i="35"/>
  <c r="T3" i="35"/>
  <c r="S3" i="35"/>
  <c r="R3" i="35"/>
  <c r="Q3" i="35"/>
  <c r="P3" i="35"/>
  <c r="O3" i="35"/>
  <c r="N3" i="35"/>
  <c r="L3" i="35"/>
  <c r="F2" i="35"/>
  <c r="E2" i="35"/>
  <c r="V197" i="34"/>
  <c r="Q197" i="34"/>
  <c r="V188" i="34"/>
  <c r="Q188" i="34"/>
  <c r="V179" i="34"/>
  <c r="Q179" i="34"/>
  <c r="V170" i="34"/>
  <c r="Q170" i="34"/>
  <c r="V161" i="34"/>
  <c r="Q161" i="34"/>
  <c r="V152" i="34"/>
  <c r="Q152" i="34"/>
  <c r="V143" i="34"/>
  <c r="Q143" i="34"/>
  <c r="V134" i="34"/>
  <c r="Q134" i="34"/>
  <c r="V125" i="34"/>
  <c r="Q125" i="34"/>
  <c r="V116" i="34"/>
  <c r="Q116" i="34"/>
  <c r="V107" i="34"/>
  <c r="Q107" i="34"/>
  <c r="V98" i="34"/>
  <c r="Q98" i="34"/>
  <c r="V89" i="34"/>
  <c r="Q89" i="34"/>
  <c r="V80" i="34"/>
  <c r="Q80" i="34"/>
  <c r="V71" i="34"/>
  <c r="Q71" i="34"/>
  <c r="V62" i="34"/>
  <c r="Q62" i="34"/>
  <c r="V53" i="34"/>
  <c r="Q53" i="34"/>
  <c r="V44" i="34"/>
  <c r="Q44" i="34"/>
  <c r="V35" i="34"/>
  <c r="Q35" i="34"/>
  <c r="V26" i="34"/>
  <c r="Q26" i="34"/>
  <c r="V20" i="34"/>
  <c r="Q20" i="34"/>
  <c r="V17" i="34"/>
  <c r="Q17" i="34"/>
  <c r="E6" i="34"/>
  <c r="E5" i="34"/>
  <c r="AD153" i="33"/>
  <c r="F153" i="33"/>
  <c r="E153" i="33"/>
  <c r="AD152" i="33"/>
  <c r="F152" i="33"/>
  <c r="E152" i="33"/>
  <c r="AD151" i="33"/>
  <c r="F151" i="33"/>
  <c r="E151" i="33"/>
  <c r="AD150" i="33"/>
  <c r="AB150" i="33"/>
  <c r="AA150" i="33"/>
  <c r="Z150" i="33"/>
  <c r="Y150" i="33"/>
  <c r="X150" i="33"/>
  <c r="V150" i="33"/>
  <c r="U150" i="33"/>
  <c r="T150" i="33"/>
  <c r="S150" i="33"/>
  <c r="R150" i="33"/>
  <c r="Q150" i="33"/>
  <c r="P150" i="33"/>
  <c r="O150" i="33"/>
  <c r="N150" i="33"/>
  <c r="M150" i="33"/>
  <c r="L150" i="33"/>
  <c r="J150" i="33"/>
  <c r="I150" i="33"/>
  <c r="F150" i="33"/>
  <c r="E150" i="33"/>
  <c r="AD149" i="33"/>
  <c r="AC149" i="33"/>
  <c r="AB149" i="33"/>
  <c r="Z149" i="33"/>
  <c r="Y149" i="33"/>
  <c r="X149" i="33"/>
  <c r="W149" i="33"/>
  <c r="V149" i="33"/>
  <c r="U149" i="33"/>
  <c r="T149" i="33"/>
  <c r="S149" i="33"/>
  <c r="Q149" i="33"/>
  <c r="P149" i="33"/>
  <c r="O149" i="33"/>
  <c r="N149" i="33"/>
  <c r="M149" i="33"/>
  <c r="L149" i="33"/>
  <c r="K149" i="33"/>
  <c r="J149" i="33"/>
  <c r="I149" i="33"/>
  <c r="F149" i="33"/>
  <c r="E149" i="33"/>
  <c r="E147" i="33"/>
  <c r="AD146" i="33"/>
  <c r="F146" i="33"/>
  <c r="E146" i="33"/>
  <c r="E144" i="33"/>
  <c r="AD143" i="33"/>
  <c r="F143" i="33"/>
  <c r="E143" i="33"/>
  <c r="E141" i="33"/>
  <c r="AD140" i="33"/>
  <c r="F140" i="33"/>
  <c r="E140" i="33"/>
  <c r="AD139" i="33"/>
  <c r="F139" i="33"/>
  <c r="E139" i="33"/>
  <c r="AD138" i="33"/>
  <c r="F138" i="33"/>
  <c r="E138" i="33"/>
  <c r="AD137" i="33"/>
  <c r="F137" i="33"/>
  <c r="E137" i="33"/>
  <c r="AD136" i="33"/>
  <c r="AC136" i="33"/>
  <c r="AB136" i="33"/>
  <c r="AA136" i="33"/>
  <c r="Z136" i="33"/>
  <c r="Y136" i="33"/>
  <c r="X136" i="33"/>
  <c r="W136" i="33"/>
  <c r="V136" i="33"/>
  <c r="U136" i="33"/>
  <c r="T136" i="33"/>
  <c r="S136" i="33"/>
  <c r="R136" i="33"/>
  <c r="Q136" i="33"/>
  <c r="P136" i="33"/>
  <c r="O136" i="33"/>
  <c r="N136" i="33"/>
  <c r="M136" i="33"/>
  <c r="L136" i="33"/>
  <c r="K136" i="33"/>
  <c r="J136" i="33"/>
  <c r="I136" i="33"/>
  <c r="F136" i="33"/>
  <c r="E136" i="33"/>
  <c r="AD135" i="33"/>
  <c r="AC135" i="33"/>
  <c r="AB135" i="33"/>
  <c r="AA135" i="33"/>
  <c r="Z135" i="33"/>
  <c r="Y135" i="33"/>
  <c r="X135" i="33"/>
  <c r="W135" i="33"/>
  <c r="V135" i="33"/>
  <c r="U135" i="33"/>
  <c r="T135" i="33"/>
  <c r="S135" i="33"/>
  <c r="R135" i="33"/>
  <c r="Q135" i="33"/>
  <c r="P135" i="33"/>
  <c r="O135" i="33"/>
  <c r="N135" i="33"/>
  <c r="M135" i="33"/>
  <c r="L135" i="33"/>
  <c r="K135" i="33"/>
  <c r="J135" i="33"/>
  <c r="I135" i="33"/>
  <c r="F135" i="33"/>
  <c r="E135" i="33"/>
  <c r="AD134" i="33"/>
  <c r="F134" i="33"/>
  <c r="E134" i="33"/>
  <c r="AD133" i="33"/>
  <c r="F133" i="33"/>
  <c r="E133" i="33"/>
  <c r="AD132" i="33"/>
  <c r="F132" i="33"/>
  <c r="E132" i="33"/>
  <c r="AD131" i="33"/>
  <c r="AC131" i="33"/>
  <c r="AB131" i="33"/>
  <c r="AA131" i="33"/>
  <c r="Z131" i="33"/>
  <c r="Y131" i="33"/>
  <c r="X131" i="33"/>
  <c r="W131" i="33"/>
  <c r="V131" i="33"/>
  <c r="U131" i="33"/>
  <c r="T131" i="33"/>
  <c r="S131" i="33"/>
  <c r="R131" i="33"/>
  <c r="Q131" i="33"/>
  <c r="P131" i="33"/>
  <c r="O131" i="33"/>
  <c r="N131" i="33"/>
  <c r="M131" i="33"/>
  <c r="L131" i="33"/>
  <c r="K131" i="33"/>
  <c r="J131" i="33"/>
  <c r="I131" i="33"/>
  <c r="F131" i="33"/>
  <c r="E131" i="33"/>
  <c r="AD130" i="33"/>
  <c r="F130" i="33"/>
  <c r="E130" i="33"/>
  <c r="AD129" i="33"/>
  <c r="F129" i="33"/>
  <c r="E129" i="33"/>
  <c r="AD128" i="33"/>
  <c r="F128" i="33"/>
  <c r="E128" i="33"/>
  <c r="AD127" i="33"/>
  <c r="F127" i="33"/>
  <c r="E127" i="33"/>
  <c r="AD126" i="33"/>
  <c r="F126" i="33"/>
  <c r="E126" i="33"/>
  <c r="AD125" i="33"/>
  <c r="F125" i="33"/>
  <c r="E125" i="33"/>
  <c r="E123" i="33"/>
  <c r="AD122" i="33"/>
  <c r="F122" i="33"/>
  <c r="E122" i="33"/>
  <c r="AD121" i="33"/>
  <c r="F121" i="33"/>
  <c r="E121" i="33"/>
  <c r="AD120" i="33"/>
  <c r="F120" i="33"/>
  <c r="E120" i="33"/>
  <c r="AD119" i="33"/>
  <c r="F119" i="33"/>
  <c r="E119" i="33"/>
  <c r="AD118" i="33"/>
  <c r="F118" i="33"/>
  <c r="E118" i="33"/>
  <c r="AD117" i="33"/>
  <c r="F117" i="33"/>
  <c r="E117" i="33"/>
  <c r="AD116" i="33"/>
  <c r="F116" i="33"/>
  <c r="E116" i="33"/>
  <c r="AD115" i="33"/>
  <c r="F115" i="33"/>
  <c r="E115" i="33"/>
  <c r="AD114" i="33"/>
  <c r="F114" i="33"/>
  <c r="E114" i="33"/>
  <c r="AD113" i="33"/>
  <c r="F113" i="33"/>
  <c r="E113" i="33"/>
  <c r="AD112" i="33"/>
  <c r="F112" i="33"/>
  <c r="E112" i="33"/>
  <c r="AD111" i="33"/>
  <c r="F111" i="33"/>
  <c r="E111" i="33"/>
  <c r="AD110" i="33"/>
  <c r="AC110" i="33"/>
  <c r="AB110" i="33"/>
  <c r="AA110" i="33"/>
  <c r="Z110" i="33"/>
  <c r="Y110" i="33"/>
  <c r="X110" i="33"/>
  <c r="W110" i="33"/>
  <c r="V110" i="33"/>
  <c r="U110" i="33"/>
  <c r="T110" i="33"/>
  <c r="S110" i="33"/>
  <c r="R110" i="33"/>
  <c r="Q110" i="33"/>
  <c r="P110" i="33"/>
  <c r="O110" i="33"/>
  <c r="N110" i="33"/>
  <c r="M110" i="33"/>
  <c r="L110" i="33"/>
  <c r="K110" i="33"/>
  <c r="J110" i="33"/>
  <c r="I110" i="33"/>
  <c r="H110" i="33"/>
  <c r="F110" i="33"/>
  <c r="E110" i="33"/>
  <c r="AD109" i="33"/>
  <c r="F109" i="33"/>
  <c r="E109" i="33"/>
  <c r="AD108" i="33"/>
  <c r="F108" i="33"/>
  <c r="E108" i="33"/>
  <c r="AD107" i="33"/>
  <c r="F107" i="33"/>
  <c r="E107" i="33"/>
  <c r="AD106" i="33"/>
  <c r="F106" i="33"/>
  <c r="E106" i="33"/>
  <c r="AD105" i="33"/>
  <c r="F105" i="33"/>
  <c r="E105" i="33"/>
  <c r="AD104" i="33"/>
  <c r="F104" i="33"/>
  <c r="E104" i="33"/>
  <c r="AD103" i="33"/>
  <c r="F103" i="33"/>
  <c r="E103" i="33"/>
  <c r="AD102" i="33"/>
  <c r="F102" i="33"/>
  <c r="E102" i="33"/>
  <c r="AD101" i="33"/>
  <c r="F101" i="33"/>
  <c r="E101" i="33"/>
  <c r="AD100" i="33"/>
  <c r="F100" i="33"/>
  <c r="E100" i="33"/>
  <c r="AD99" i="33"/>
  <c r="F99" i="33"/>
  <c r="E99" i="33"/>
  <c r="AD98" i="33"/>
  <c r="F98" i="33"/>
  <c r="E98" i="33"/>
  <c r="AD97" i="33"/>
  <c r="F97" i="33"/>
  <c r="E97" i="33"/>
  <c r="AD96" i="33"/>
  <c r="F96" i="33"/>
  <c r="E96" i="33"/>
  <c r="AD95" i="33"/>
  <c r="F95" i="33"/>
  <c r="E95" i="33"/>
  <c r="AC93" i="33"/>
  <c r="AB93" i="33"/>
  <c r="AB87" i="33" s="1"/>
  <c r="AA93" i="33"/>
  <c r="AA87" i="33" s="1"/>
  <c r="Z93" i="33"/>
  <c r="Z87" i="33" s="1"/>
  <c r="Y93" i="33"/>
  <c r="X93" i="33"/>
  <c r="X87" i="33" s="1"/>
  <c r="W93" i="33"/>
  <c r="W87" i="33" s="1"/>
  <c r="V93" i="33"/>
  <c r="V87" i="33" s="1"/>
  <c r="U93" i="33"/>
  <c r="T93" i="33"/>
  <c r="T87" i="33" s="1"/>
  <c r="S93" i="33"/>
  <c r="S87" i="33" s="1"/>
  <c r="R93" i="33"/>
  <c r="R87" i="33" s="1"/>
  <c r="Q93" i="33"/>
  <c r="P93" i="33"/>
  <c r="P87" i="33" s="1"/>
  <c r="O93" i="33"/>
  <c r="O87" i="33" s="1"/>
  <c r="N93" i="33"/>
  <c r="N87" i="33" s="1"/>
  <c r="M93" i="33"/>
  <c r="L93" i="33"/>
  <c r="L87" i="33" s="1"/>
  <c r="K93" i="33"/>
  <c r="J93" i="33"/>
  <c r="J87" i="33" s="1"/>
  <c r="I93" i="33"/>
  <c r="K92" i="33"/>
  <c r="K87" i="33" s="1"/>
  <c r="E92" i="33"/>
  <c r="L91" i="33"/>
  <c r="K91" i="33"/>
  <c r="J91" i="33"/>
  <c r="I91" i="33"/>
  <c r="AD87" i="33"/>
  <c r="AC87" i="33"/>
  <c r="Y87" i="33"/>
  <c r="U87" i="33"/>
  <c r="Q87" i="33"/>
  <c r="M87" i="33"/>
  <c r="I87" i="33"/>
  <c r="H87" i="33"/>
  <c r="F87" i="33"/>
  <c r="E87" i="33"/>
  <c r="E91" i="33" s="1"/>
  <c r="AF86" i="33"/>
  <c r="AD86" i="33"/>
  <c r="F86" i="33"/>
  <c r="E86" i="33"/>
  <c r="AE86" i="33" s="1"/>
  <c r="AD85" i="33"/>
  <c r="F85" i="33"/>
  <c r="E85" i="33"/>
  <c r="AE85" i="33" s="1"/>
  <c r="AE84" i="33"/>
  <c r="AD84" i="33"/>
  <c r="AF84" i="33" s="1"/>
  <c r="F84" i="33"/>
  <c r="E84" i="33"/>
  <c r="AE83" i="33"/>
  <c r="AD83" i="33"/>
  <c r="F83" i="33"/>
  <c r="E83" i="33"/>
  <c r="AE82" i="33"/>
  <c r="AD82" i="33"/>
  <c r="F82" i="33"/>
  <c r="E82" i="33"/>
  <c r="AE81" i="33"/>
  <c r="AD81" i="33"/>
  <c r="F81" i="33"/>
  <c r="E81" i="33"/>
  <c r="AD80" i="33"/>
  <c r="I80" i="33"/>
  <c r="F80" i="33"/>
  <c r="E80" i="33"/>
  <c r="AE80" i="33" s="1"/>
  <c r="AD79" i="33"/>
  <c r="F79" i="33"/>
  <c r="E79" i="33"/>
  <c r="AE79" i="33" s="1"/>
  <c r="AD78" i="33"/>
  <c r="F78" i="33"/>
  <c r="E78" i="33"/>
  <c r="AE78" i="33" s="1"/>
  <c r="AD77" i="33"/>
  <c r="I77" i="33"/>
  <c r="F77" i="33"/>
  <c r="E77" i="33"/>
  <c r="AE77" i="33" s="1"/>
  <c r="AE76" i="33"/>
  <c r="AD76" i="33"/>
  <c r="AC76" i="33"/>
  <c r="AB76" i="33"/>
  <c r="AA76" i="33"/>
  <c r="Z76" i="33"/>
  <c r="Y76" i="33"/>
  <c r="X76" i="33"/>
  <c r="U76" i="33"/>
  <c r="T76" i="33"/>
  <c r="R76" i="33"/>
  <c r="Q76" i="33"/>
  <c r="P76" i="33"/>
  <c r="O76" i="33"/>
  <c r="N76" i="33"/>
  <c r="M76" i="33"/>
  <c r="L76" i="33"/>
  <c r="K76" i="33"/>
  <c r="J76" i="33"/>
  <c r="I76" i="33"/>
  <c r="F76" i="33"/>
  <c r="E76" i="33"/>
  <c r="AE75" i="33"/>
  <c r="AD75" i="33"/>
  <c r="F75" i="33"/>
  <c r="E75" i="33"/>
  <c r="AD74" i="33"/>
  <c r="K74" i="33"/>
  <c r="K73" i="33" s="1"/>
  <c r="F74" i="33"/>
  <c r="E74" i="33"/>
  <c r="AE74" i="33" s="1"/>
  <c r="AD73" i="33"/>
  <c r="AC73" i="33"/>
  <c r="AB73" i="33"/>
  <c r="AA73" i="33"/>
  <c r="Z73" i="33"/>
  <c r="Y73" i="33"/>
  <c r="X73" i="33"/>
  <c r="W73" i="33"/>
  <c r="V73" i="33"/>
  <c r="U73" i="33"/>
  <c r="T73" i="33"/>
  <c r="S73" i="33"/>
  <c r="R73" i="33"/>
  <c r="Q73" i="33"/>
  <c r="P73" i="33"/>
  <c r="O73" i="33"/>
  <c r="N73" i="33"/>
  <c r="M73" i="33"/>
  <c r="L73" i="33"/>
  <c r="J73" i="33"/>
  <c r="I73" i="33"/>
  <c r="F73" i="33"/>
  <c r="E73" i="33"/>
  <c r="AE73" i="33" s="1"/>
  <c r="AD72" i="33"/>
  <c r="AC72" i="33"/>
  <c r="AC70" i="33" s="1"/>
  <c r="AB72" i="33"/>
  <c r="AA72" i="33"/>
  <c r="AA70" i="33" s="1"/>
  <c r="Z72" i="33"/>
  <c r="Y72" i="33"/>
  <c r="Y70" i="33" s="1"/>
  <c r="X72" i="33"/>
  <c r="W72" i="33"/>
  <c r="W70" i="33" s="1"/>
  <c r="V72" i="33"/>
  <c r="U72" i="33"/>
  <c r="U70" i="33" s="1"/>
  <c r="T72" i="33"/>
  <c r="S72" i="33"/>
  <c r="S70" i="33" s="1"/>
  <c r="R72" i="33"/>
  <c r="Q72" i="33"/>
  <c r="Q70" i="33" s="1"/>
  <c r="P72" i="33"/>
  <c r="O72" i="33"/>
  <c r="N72" i="33"/>
  <c r="M72" i="33"/>
  <c r="L72" i="33"/>
  <c r="K72" i="33"/>
  <c r="J72" i="33"/>
  <c r="I72" i="33"/>
  <c r="F72" i="33"/>
  <c r="E72" i="33"/>
  <c r="AE72" i="33" s="1"/>
  <c r="AD71" i="33"/>
  <c r="AC71" i="33"/>
  <c r="AB71" i="33"/>
  <c r="AB70" i="33" s="1"/>
  <c r="AA71" i="33"/>
  <c r="Z71" i="33"/>
  <c r="Y71" i="33"/>
  <c r="X71" i="33"/>
  <c r="W71" i="33"/>
  <c r="V71" i="33"/>
  <c r="U71" i="33"/>
  <c r="T71" i="33"/>
  <c r="T70" i="33" s="1"/>
  <c r="S71" i="33"/>
  <c r="R71" i="33"/>
  <c r="Q71" i="33"/>
  <c r="O71" i="33"/>
  <c r="N71" i="33"/>
  <c r="M71" i="33"/>
  <c r="M70" i="33" s="1"/>
  <c r="L71" i="33"/>
  <c r="K71" i="33"/>
  <c r="J71" i="33"/>
  <c r="I71" i="33"/>
  <c r="I70" i="33" s="1"/>
  <c r="F71" i="33"/>
  <c r="E71" i="33"/>
  <c r="AE71" i="33" s="1"/>
  <c r="AD70" i="33"/>
  <c r="Z70" i="33"/>
  <c r="X70" i="33"/>
  <c r="V70" i="33"/>
  <c r="R70" i="33"/>
  <c r="P70" i="33"/>
  <c r="N70" i="33"/>
  <c r="L70" i="33"/>
  <c r="J70" i="33"/>
  <c r="F70" i="33"/>
  <c r="E70" i="33"/>
  <c r="AE70" i="33" s="1"/>
  <c r="AE69" i="33"/>
  <c r="AD69" i="33"/>
  <c r="AC69" i="33"/>
  <c r="AB69" i="33"/>
  <c r="AA69" i="33"/>
  <c r="Z69" i="33"/>
  <c r="Y69" i="33"/>
  <c r="X69" i="33"/>
  <c r="W69" i="33"/>
  <c r="V69" i="33"/>
  <c r="U69" i="33"/>
  <c r="T69" i="33"/>
  <c r="S69" i="33"/>
  <c r="R69" i="33"/>
  <c r="Q69" i="33"/>
  <c r="P69" i="33"/>
  <c r="O69" i="33"/>
  <c r="N69" i="33"/>
  <c r="M69" i="33"/>
  <c r="L69" i="33"/>
  <c r="J69" i="33"/>
  <c r="I69" i="33"/>
  <c r="F69" i="33"/>
  <c r="E69" i="33"/>
  <c r="AE68" i="33"/>
  <c r="AD68" i="33"/>
  <c r="AC68" i="33"/>
  <c r="AC67" i="33" s="1"/>
  <c r="AB68" i="33"/>
  <c r="AA68" i="33"/>
  <c r="Z68" i="33"/>
  <c r="Y68" i="33"/>
  <c r="Y67" i="33" s="1"/>
  <c r="X68" i="33"/>
  <c r="W68" i="33"/>
  <c r="V68" i="33"/>
  <c r="U68" i="33"/>
  <c r="U67" i="33" s="1"/>
  <c r="T68" i="33"/>
  <c r="S68" i="33"/>
  <c r="R68" i="33"/>
  <c r="Q68" i="33"/>
  <c r="Q67" i="33" s="1"/>
  <c r="P68" i="33"/>
  <c r="O68" i="33"/>
  <c r="N68" i="33"/>
  <c r="M68" i="33"/>
  <c r="M67" i="33" s="1"/>
  <c r="L68" i="33"/>
  <c r="J68" i="33"/>
  <c r="J67" i="33" s="1"/>
  <c r="I68" i="33"/>
  <c r="F68" i="33"/>
  <c r="E68" i="33"/>
  <c r="AD67" i="33"/>
  <c r="AB67" i="33"/>
  <c r="AA67" i="33"/>
  <c r="Z67" i="33"/>
  <c r="X67" i="33"/>
  <c r="W67" i="33"/>
  <c r="V67" i="33"/>
  <c r="T67" i="33"/>
  <c r="S67" i="33"/>
  <c r="R67" i="33"/>
  <c r="P67" i="33"/>
  <c r="O67" i="33"/>
  <c r="N67" i="33"/>
  <c r="L67" i="33"/>
  <c r="K67" i="33"/>
  <c r="I67" i="33"/>
  <c r="F67" i="33"/>
  <c r="E67" i="33"/>
  <c r="AE67" i="33" s="1"/>
  <c r="AD66" i="33"/>
  <c r="F66" i="33"/>
  <c r="E66" i="33"/>
  <c r="AE66" i="33" s="1"/>
  <c r="AD65" i="33"/>
  <c r="F65" i="33"/>
  <c r="E65" i="33"/>
  <c r="AE65" i="33" s="1"/>
  <c r="AD64" i="33"/>
  <c r="AA64" i="33"/>
  <c r="AA149" i="33" s="1"/>
  <c r="R64" i="33"/>
  <c r="R149" i="33" s="1"/>
  <c r="F64" i="33"/>
  <c r="E64" i="33"/>
  <c r="AE64" i="33" s="1"/>
  <c r="AD63" i="33"/>
  <c r="AB63" i="33"/>
  <c r="AA63" i="33"/>
  <c r="Z63" i="33"/>
  <c r="Y63" i="33"/>
  <c r="X63" i="33"/>
  <c r="W63" i="33"/>
  <c r="V63" i="33"/>
  <c r="U63" i="33"/>
  <c r="T63" i="33"/>
  <c r="S63" i="33"/>
  <c r="Q63" i="33"/>
  <c r="P63" i="33"/>
  <c r="O63" i="33"/>
  <c r="N63" i="33"/>
  <c r="L63" i="33"/>
  <c r="K63" i="33"/>
  <c r="J63" i="33"/>
  <c r="I63" i="33"/>
  <c r="F63" i="33"/>
  <c r="E63" i="33"/>
  <c r="AE63" i="33" s="1"/>
  <c r="AD62" i="33"/>
  <c r="R62" i="33"/>
  <c r="R63" i="33" s="1"/>
  <c r="M62" i="33"/>
  <c r="M63" i="33" s="1"/>
  <c r="F62" i="33"/>
  <c r="E62" i="33"/>
  <c r="AE62" i="33" s="1"/>
  <c r="AD61" i="33"/>
  <c r="F61" i="33"/>
  <c r="E61" i="33"/>
  <c r="AE61" i="33" s="1"/>
  <c r="AD60" i="33"/>
  <c r="F60" i="33"/>
  <c r="E60" i="33"/>
  <c r="AE60" i="33" s="1"/>
  <c r="AD59" i="33"/>
  <c r="F59" i="33"/>
  <c r="E59" i="33"/>
  <c r="AE59" i="33" s="1"/>
  <c r="AE58" i="33"/>
  <c r="E57" i="33"/>
  <c r="AC53" i="33"/>
  <c r="AB53" i="33"/>
  <c r="AA53" i="33"/>
  <c r="Z53" i="33"/>
  <c r="Y53" i="33"/>
  <c r="X53" i="33"/>
  <c r="W53" i="33"/>
  <c r="V53" i="33"/>
  <c r="U53" i="33"/>
  <c r="T53" i="33"/>
  <c r="S53" i="33"/>
  <c r="R53" i="33"/>
  <c r="Q53" i="33"/>
  <c r="P53" i="33"/>
  <c r="O53" i="33"/>
  <c r="N53" i="33"/>
  <c r="M53" i="33"/>
  <c r="L53" i="33"/>
  <c r="K53" i="33"/>
  <c r="J53" i="33"/>
  <c r="I53" i="33"/>
  <c r="H53" i="33"/>
  <c r="B53" i="33"/>
  <c r="B52" i="33"/>
  <c r="B51" i="33"/>
  <c r="B50" i="33"/>
  <c r="B49" i="33"/>
  <c r="B48" i="33"/>
  <c r="AC47" i="33"/>
  <c r="AB47" i="33"/>
  <c r="AA47" i="33"/>
  <c r="Z47" i="33"/>
  <c r="Z33" i="33" s="1"/>
  <c r="Y47" i="33"/>
  <c r="X47" i="33"/>
  <c r="W47" i="33"/>
  <c r="V47" i="33"/>
  <c r="V33" i="33" s="1"/>
  <c r="U47" i="33"/>
  <c r="T47" i="33"/>
  <c r="S47" i="33"/>
  <c r="R47" i="33"/>
  <c r="R33" i="33" s="1"/>
  <c r="Q47" i="33"/>
  <c r="P47" i="33"/>
  <c r="O47" i="33"/>
  <c r="N47" i="33"/>
  <c r="N33" i="33" s="1"/>
  <c r="M47" i="33"/>
  <c r="L47" i="33"/>
  <c r="K47" i="33"/>
  <c r="J47" i="33"/>
  <c r="J33" i="33" s="1"/>
  <c r="I47" i="33"/>
  <c r="H47" i="33"/>
  <c r="E44" i="33"/>
  <c r="E42" i="33"/>
  <c r="AC41" i="33"/>
  <c r="AB41" i="33"/>
  <c r="AB33" i="33" s="1"/>
  <c r="AA41" i="33"/>
  <c r="AA33" i="33" s="1"/>
  <c r="Z41" i="33"/>
  <c r="Y41" i="33"/>
  <c r="X41" i="33"/>
  <c r="X33" i="33" s="1"/>
  <c r="W41" i="33"/>
  <c r="W33" i="33" s="1"/>
  <c r="V41" i="33"/>
  <c r="U41" i="33"/>
  <c r="T41" i="33"/>
  <c r="T33" i="33" s="1"/>
  <c r="S41" i="33"/>
  <c r="S33" i="33" s="1"/>
  <c r="R41" i="33"/>
  <c r="Q41" i="33"/>
  <c r="P41" i="33"/>
  <c r="P33" i="33" s="1"/>
  <c r="O41" i="33"/>
  <c r="O33" i="33" s="1"/>
  <c r="N41" i="33"/>
  <c r="M41" i="33"/>
  <c r="L41" i="33"/>
  <c r="L33" i="33" s="1"/>
  <c r="K41" i="33"/>
  <c r="K33" i="33" s="1"/>
  <c r="J41" i="33"/>
  <c r="I41" i="33"/>
  <c r="H41" i="33"/>
  <c r="H33" i="33" s="1"/>
  <c r="B41" i="33"/>
  <c r="B40" i="33"/>
  <c r="E40" i="33" s="1"/>
  <c r="AE39" i="33"/>
  <c r="AE38" i="33"/>
  <c r="AE37" i="33"/>
  <c r="AE36" i="33"/>
  <c r="AE35" i="33"/>
  <c r="AE34" i="33"/>
  <c r="AE33" i="33"/>
  <c r="AD33" i="33"/>
  <c r="AC33" i="33"/>
  <c r="Y33" i="33"/>
  <c r="U33" i="33"/>
  <c r="Q33" i="33"/>
  <c r="M33" i="33"/>
  <c r="I33" i="33"/>
  <c r="F33" i="33"/>
  <c r="E33" i="33"/>
  <c r="B57" i="33" s="1"/>
  <c r="AE32" i="33"/>
  <c r="AD32" i="33"/>
  <c r="F32" i="33"/>
  <c r="E32" i="33"/>
  <c r="AD31" i="33"/>
  <c r="F31" i="33"/>
  <c r="E31" i="33"/>
  <c r="AD30" i="33"/>
  <c r="F30" i="33"/>
  <c r="E30" i="33"/>
  <c r="H27" i="33"/>
  <c r="H26" i="33"/>
  <c r="H25" i="33"/>
  <c r="E22" i="33"/>
  <c r="E21" i="33"/>
  <c r="E7" i="33"/>
  <c r="E6" i="33"/>
  <c r="E5" i="33"/>
  <c r="E4" i="33"/>
  <c r="AC3" i="33"/>
  <c r="AB3" i="33"/>
  <c r="AA3" i="33"/>
  <c r="Z3" i="33"/>
  <c r="Y3" i="33"/>
  <c r="X3" i="33"/>
  <c r="W3" i="33"/>
  <c r="V3" i="33"/>
  <c r="U3" i="33"/>
  <c r="T3" i="33"/>
  <c r="S3" i="33"/>
  <c r="R3" i="33"/>
  <c r="Q3" i="33"/>
  <c r="P3" i="33"/>
  <c r="O3" i="33"/>
  <c r="N3" i="33"/>
  <c r="M3"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R41" i="31"/>
  <c r="AS41" i="31" s="1"/>
  <c r="AM41" i="31"/>
  <c r="AN41" i="31" s="1"/>
  <c r="AO41" i="31" s="1"/>
  <c r="AQ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J6"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J6"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AN5" i="23"/>
  <c r="S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S6" i="21" s="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D34" i="7"/>
  <c r="E33" i="7"/>
  <c r="D33" i="7"/>
  <c r="D35"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D46" i="26" s="1"/>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3" s="1"/>
  <c r="AO63" i="5"/>
  <c r="S44" i="13" s="1"/>
  <c r="AN63" i="5"/>
  <c r="S43" i="13" s="1"/>
  <c r="AM63" i="5"/>
  <c r="AD46" i="13" s="1"/>
  <c r="AL63" i="5"/>
  <c r="AD45" i="13" s="1"/>
  <c r="AK63" i="5"/>
  <c r="AD44" i="14" s="1"/>
  <c r="AJ63" i="5"/>
  <c r="AD43" i="14" s="1"/>
  <c r="AI63" i="5"/>
  <c r="AH63" i="5"/>
  <c r="AQ58" i="5"/>
  <c r="S45" i="25" s="1"/>
  <c r="J47" i="25" s="1"/>
  <c r="AP58" i="5"/>
  <c r="S44" i="25" s="1"/>
  <c r="AO58" i="5"/>
  <c r="S43" i="25" s="1"/>
  <c r="AN58" i="5"/>
  <c r="S42" i="25" s="1"/>
  <c r="AM58" i="5"/>
  <c r="AC45" i="25" s="1"/>
  <c r="AL58" i="5"/>
  <c r="AC44" i="25" s="1"/>
  <c r="AK58" i="5"/>
  <c r="AC43" i="25" s="1"/>
  <c r="AJ58" i="5"/>
  <c r="AC42" i="25" s="1"/>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45" i="4"/>
  <c r="AC27" i="33" s="1"/>
  <c r="R44" i="4"/>
  <c r="R43" i="4"/>
  <c r="R42" i="4"/>
  <c r="R40" i="4"/>
  <c r="Y27" i="33" s="1"/>
  <c r="I40" i="4"/>
  <c r="Q40" i="4" s="1"/>
  <c r="R38" i="4"/>
  <c r="R36" i="4"/>
  <c r="R35" i="4"/>
  <c r="R33" i="4"/>
  <c r="R31" i="4"/>
  <c r="R30" i="4"/>
  <c r="R29" i="4"/>
  <c r="R27" i="4"/>
  <c r="R25" i="4"/>
  <c r="R24" i="4"/>
  <c r="R23" i="4"/>
  <c r="R21" i="4"/>
  <c r="M27" i="33" s="1"/>
  <c r="R19" i="4"/>
  <c r="R17" i="4"/>
  <c r="R15" i="4"/>
  <c r="R13" i="4"/>
  <c r="I27" i="33" s="1"/>
  <c r="E13" i="4"/>
  <c r="P25" i="4" s="1"/>
  <c r="E7" i="4"/>
  <c r="D5" i="4"/>
  <c r="O58" i="3"/>
  <c r="M58" i="3" a="1"/>
  <c r="M58" i="3" s="1"/>
  <c r="E58" i="3"/>
  <c r="G57" i="3"/>
  <c r="I42" i="4" s="1"/>
  <c r="E57" i="3"/>
  <c r="O55" i="3"/>
  <c r="M55" i="3" a="1"/>
  <c r="M55" i="3"/>
  <c r="E55" i="3"/>
  <c r="G54" i="3"/>
  <c r="E54" i="3"/>
  <c r="O52" i="3"/>
  <c r="M52" i="3" a="1"/>
  <c r="M52" i="3" s="1"/>
  <c r="E52" i="3"/>
  <c r="G51" i="3"/>
  <c r="I38" i="4" s="1"/>
  <c r="Q38" i="4" s="1"/>
  <c r="E51" i="3"/>
  <c r="O49" i="3"/>
  <c r="M49" i="3" a="1"/>
  <c r="M49" i="3"/>
  <c r="E49" i="3"/>
  <c r="G48" i="3"/>
  <c r="I35" i="4" s="1"/>
  <c r="E48" i="3"/>
  <c r="O46" i="3"/>
  <c r="M46" i="3" a="1"/>
  <c r="M46" i="3" s="1"/>
  <c r="E46" i="3"/>
  <c r="G45" i="3"/>
  <c r="I33" i="4" s="1"/>
  <c r="Q33" i="4" s="1"/>
  <c r="E45" i="3"/>
  <c r="O43" i="3"/>
  <c r="M43" i="3" a="1"/>
  <c r="M43" i="3"/>
  <c r="E43" i="3"/>
  <c r="G42" i="3"/>
  <c r="I29" i="4" s="1"/>
  <c r="E42" i="3"/>
  <c r="O40" i="3"/>
  <c r="M40" i="3" a="1"/>
  <c r="M40" i="3" s="1"/>
  <c r="E40" i="3"/>
  <c r="O39" i="3"/>
  <c r="M39" i="3" a="1"/>
  <c r="M39" i="3" s="1"/>
  <c r="E39" i="3"/>
  <c r="O38" i="3"/>
  <c r="M38" i="3" a="1"/>
  <c r="M38" i="3" s="1"/>
  <c r="E38" i="3"/>
  <c r="O37" i="3"/>
  <c r="M37" i="3" a="1"/>
  <c r="M37" i="3" s="1"/>
  <c r="E37" i="3"/>
  <c r="G36" i="3"/>
  <c r="I27" i="4" s="1"/>
  <c r="Q27" i="4" s="1"/>
  <c r="E36" i="3"/>
  <c r="O34" i="3"/>
  <c r="M34" i="3" a="1"/>
  <c r="M34" i="3"/>
  <c r="E34" i="3"/>
  <c r="G33" i="3"/>
  <c r="I23" i="4" s="1"/>
  <c r="E33" i="3"/>
  <c r="O31" i="3"/>
  <c r="M31" i="3" a="1"/>
  <c r="M31" i="3" s="1"/>
  <c r="E31" i="3"/>
  <c r="G30" i="3"/>
  <c r="I21" i="4" s="1"/>
  <c r="Q21" i="4" s="1"/>
  <c r="E30" i="3"/>
  <c r="O28" i="3"/>
  <c r="M28" i="3" a="1"/>
  <c r="M28" i="3"/>
  <c r="E28" i="3"/>
  <c r="O27" i="3"/>
  <c r="M27" i="3" a="1"/>
  <c r="M27" i="3"/>
  <c r="E27" i="3"/>
  <c r="O26" i="3"/>
  <c r="M26" i="3" a="1"/>
  <c r="M26" i="3"/>
  <c r="E26" i="3"/>
  <c r="O25" i="3"/>
  <c r="M25" i="3" a="1"/>
  <c r="M25" i="3"/>
  <c r="E25" i="3"/>
  <c r="G24" i="3"/>
  <c r="I19" i="4" s="1"/>
  <c r="Q19" i="4" s="1"/>
  <c r="E24" i="3"/>
  <c r="O22" i="3"/>
  <c r="M22" i="3" a="1"/>
  <c r="M22" i="3" s="1"/>
  <c r="E22" i="3"/>
  <c r="E21" i="3"/>
  <c r="G21" i="3" s="1"/>
  <c r="I17" i="4" s="1"/>
  <c r="Q17" i="4" s="1"/>
  <c r="O19" i="3"/>
  <c r="M19" i="3" a="1"/>
  <c r="M19" i="3"/>
  <c r="E19" i="3"/>
  <c r="O18" i="3"/>
  <c r="M18" i="3" a="1"/>
  <c r="M18" i="3"/>
  <c r="E18" i="3"/>
  <c r="O17" i="3"/>
  <c r="M17" i="3" a="1"/>
  <c r="M17" i="3"/>
  <c r="E17" i="3"/>
  <c r="O16" i="3"/>
  <c r="M16" i="3" a="1"/>
  <c r="M16" i="3"/>
  <c r="E16" i="3"/>
  <c r="G15" i="3"/>
  <c r="I15" i="4" s="1"/>
  <c r="Q15" i="4" s="1"/>
  <c r="E15" i="3"/>
  <c r="O13" i="3"/>
  <c r="M13" i="3" a="1"/>
  <c r="M13" i="3" s="1"/>
  <c r="E13" i="3"/>
  <c r="G12" i="3"/>
  <c r="I13" i="4" s="1"/>
  <c r="Q13" i="4" s="1"/>
  <c r="E12" i="3"/>
  <c r="E4" i="3"/>
  <c r="E59" i="2"/>
  <c r="E49" i="2"/>
  <c r="E41" i="2"/>
  <c r="E31" i="2"/>
  <c r="E27" i="2"/>
  <c r="E26" i="2"/>
  <c r="F25" i="2"/>
  <c r="E22" i="2"/>
  <c r="E21" i="2"/>
  <c r="F20" i="2"/>
  <c r="E19" i="2"/>
  <c r="I9" i="2"/>
  <c r="E5" i="2"/>
  <c r="E3" i="2"/>
  <c r="E2" i="2"/>
  <c r="Y25" i="64"/>
  <c r="M10" i="54"/>
  <c r="M10" i="55"/>
  <c r="M2" i="54"/>
  <c r="M2" i="55"/>
  <c r="AT7" i="30"/>
  <c r="AL46" i="28"/>
  <c r="AL7" i="27"/>
  <c r="AL8" i="25"/>
  <c r="AL7" i="24"/>
  <c r="AL46" i="21"/>
  <c r="AT47" i="31"/>
  <c r="AL46" i="23"/>
  <c r="AL7" i="22"/>
  <c r="AL7" i="28"/>
  <c r="AL46" i="24"/>
  <c r="AL46" i="22"/>
  <c r="AR8" i="19"/>
  <c r="AN8" i="18"/>
  <c r="AN8" i="17"/>
  <c r="AN8" i="16"/>
  <c r="AT47" i="30"/>
  <c r="AL48" i="25"/>
  <c r="AL7" i="23"/>
  <c r="AR56" i="19"/>
  <c r="AR55" i="19"/>
  <c r="AN8" i="15"/>
  <c r="AN49" i="14"/>
  <c r="AN8" i="13"/>
  <c r="AN49" i="12"/>
  <c r="AN8" i="11"/>
  <c r="AT7" i="31"/>
  <c r="AV8" i="20"/>
  <c r="AL46" i="27"/>
  <c r="AL7" i="21"/>
  <c r="AV51" i="20"/>
  <c r="AN49" i="18"/>
  <c r="AN49" i="17"/>
  <c r="AN49" i="16"/>
  <c r="AN49" i="15"/>
  <c r="AN8" i="14"/>
  <c r="AN49" i="13"/>
  <c r="AN8" i="12"/>
  <c r="AN49" i="11"/>
  <c r="J13" i="3"/>
  <c r="H46" i="51" l="1"/>
  <c r="M10" i="50"/>
  <c r="J10" i="45"/>
  <c r="M27" i="40"/>
  <c r="O11" i="35"/>
  <c r="K11" i="38"/>
  <c r="H33" i="34"/>
  <c r="K11" i="37"/>
  <c r="K26" i="33"/>
  <c r="Q10" i="50"/>
  <c r="M11" i="38"/>
  <c r="M11" i="37"/>
  <c r="L10" i="45"/>
  <c r="H51" i="34"/>
  <c r="Q27" i="40"/>
  <c r="M26" i="33"/>
  <c r="Q11" i="35"/>
  <c r="Q23" i="4"/>
  <c r="Q24" i="4"/>
  <c r="Q25" i="4"/>
  <c r="Q31" i="4"/>
  <c r="Q29" i="4"/>
  <c r="Q30" i="4"/>
  <c r="Q45" i="4"/>
  <c r="Q42" i="4"/>
  <c r="Q43" i="4"/>
  <c r="Q44" i="4"/>
  <c r="J48" i="11"/>
  <c r="S47" i="11"/>
  <c r="U54" i="19"/>
  <c r="K55" i="19"/>
  <c r="J48" i="18"/>
  <c r="I47" i="18"/>
  <c r="K51" i="20"/>
  <c r="S51" i="20" s="1"/>
  <c r="I49" i="20"/>
  <c r="J50" i="20"/>
  <c r="S47" i="14"/>
  <c r="J48" i="14"/>
  <c r="S6" i="11"/>
  <c r="J7" i="11"/>
  <c r="S7" i="18"/>
  <c r="K8" i="18"/>
  <c r="S8" i="18" s="1"/>
  <c r="D4" i="4"/>
  <c r="X10" i="45"/>
  <c r="AO10" i="50"/>
  <c r="Y11" i="38"/>
  <c r="Y11" i="37"/>
  <c r="H159" i="34"/>
  <c r="AO27" i="40"/>
  <c r="Y26" i="33"/>
  <c r="AC11" i="35"/>
  <c r="H10" i="45"/>
  <c r="I10" i="50"/>
  <c r="I11" i="38"/>
  <c r="I11" i="37"/>
  <c r="I27" i="40"/>
  <c r="I26" i="33"/>
  <c r="M11" i="35"/>
  <c r="H15" i="34"/>
  <c r="O10" i="50"/>
  <c r="K10" i="45"/>
  <c r="L11" i="38"/>
  <c r="L11" i="37"/>
  <c r="O27" i="40"/>
  <c r="P11" i="35"/>
  <c r="H42" i="34"/>
  <c r="L26" i="33"/>
  <c r="W10" i="45"/>
  <c r="AM10" i="50"/>
  <c r="X11" i="38"/>
  <c r="X11" i="37"/>
  <c r="AM27" i="40"/>
  <c r="AB11" i="35"/>
  <c r="X26" i="33"/>
  <c r="H150" i="34"/>
  <c r="S44" i="21"/>
  <c r="J45" i="21"/>
  <c r="J45" i="23"/>
  <c r="S44" i="23"/>
  <c r="J46" i="31"/>
  <c r="S45" i="31"/>
  <c r="S44" i="27"/>
  <c r="J45" i="27"/>
  <c r="J7" i="14"/>
  <c r="S6" i="14"/>
  <c r="S6" i="28"/>
  <c r="K7" i="28"/>
  <c r="S7" i="28" s="1"/>
  <c r="K10" i="50"/>
  <c r="I10" i="45"/>
  <c r="H24" i="34"/>
  <c r="K27" i="40"/>
  <c r="N11" i="35"/>
  <c r="J11" i="38"/>
  <c r="J11" i="37"/>
  <c r="J26" i="33"/>
  <c r="Y10" i="50"/>
  <c r="P10" i="45"/>
  <c r="Q11" i="38"/>
  <c r="Q11" i="37"/>
  <c r="H87" i="34"/>
  <c r="Y27" i="40"/>
  <c r="U11" i="35"/>
  <c r="Q26" i="33"/>
  <c r="AG10" i="50"/>
  <c r="T10" i="45"/>
  <c r="U11" i="38"/>
  <c r="U11" i="37"/>
  <c r="H123" i="34"/>
  <c r="AG27" i="40"/>
  <c r="Y11" i="35"/>
  <c r="U26" i="33"/>
  <c r="W9" i="50"/>
  <c r="O9" i="45"/>
  <c r="W26" i="40"/>
  <c r="T10" i="35"/>
  <c r="P10" i="38"/>
  <c r="P10" i="37"/>
  <c r="H77" i="34"/>
  <c r="P25" i="33"/>
  <c r="S47" i="12"/>
  <c r="J48" i="12"/>
  <c r="J48" i="17"/>
  <c r="I47" i="17"/>
  <c r="J48" i="15"/>
  <c r="S47" i="15"/>
  <c r="S6" i="13"/>
  <c r="J7" i="13"/>
  <c r="S6" i="15"/>
  <c r="J7" i="15"/>
  <c r="S7" i="17"/>
  <c r="K8" i="17"/>
  <c r="S8" i="17" s="1"/>
  <c r="U7" i="19"/>
  <c r="K8" i="19"/>
  <c r="Q35" i="4"/>
  <c r="Q36" i="4"/>
  <c r="J45" i="22"/>
  <c r="S44" i="22"/>
  <c r="J45" i="24"/>
  <c r="S44" i="24"/>
  <c r="J46" i="30"/>
  <c r="S45" i="30"/>
  <c r="S44" i="28"/>
  <c r="J45" i="28"/>
  <c r="J7" i="12"/>
  <c r="S6" i="12"/>
  <c r="S7" i="16"/>
  <c r="K8" i="16"/>
  <c r="S8" i="16" s="1"/>
  <c r="M11" i="50"/>
  <c r="J11" i="45"/>
  <c r="K12" i="38"/>
  <c r="K12" i="37"/>
  <c r="M28" i="40"/>
  <c r="O12" i="35"/>
  <c r="K27" i="33"/>
  <c r="H34" i="34"/>
  <c r="K11" i="45"/>
  <c r="O11" i="50"/>
  <c r="O28" i="40"/>
  <c r="P12" i="35"/>
  <c r="H43" i="34"/>
  <c r="L12" i="38"/>
  <c r="L12" i="37"/>
  <c r="L27" i="33"/>
  <c r="S11" i="50"/>
  <c r="M11" i="45"/>
  <c r="N12" i="38"/>
  <c r="N12" i="37"/>
  <c r="S28" i="40"/>
  <c r="R12" i="35"/>
  <c r="H61" i="34"/>
  <c r="N27" i="33"/>
  <c r="P27" i="4"/>
  <c r="P29" i="4"/>
  <c r="AG11" i="50"/>
  <c r="T11" i="45"/>
  <c r="AG28" i="40"/>
  <c r="Y12" i="35"/>
  <c r="H124" i="34"/>
  <c r="U12" i="38"/>
  <c r="U12" i="37"/>
  <c r="AI11" i="50"/>
  <c r="U11" i="45"/>
  <c r="V12" i="38"/>
  <c r="V12" i="37"/>
  <c r="AI28" i="40"/>
  <c r="Z12" i="35"/>
  <c r="H133" i="34"/>
  <c r="V27" i="33"/>
  <c r="P43" i="4"/>
  <c r="P24" i="4"/>
  <c r="AC11" i="50"/>
  <c r="R11" i="45"/>
  <c r="S12" i="38"/>
  <c r="S12" i="37"/>
  <c r="AC28" i="40"/>
  <c r="H106" i="34"/>
  <c r="S27" i="33"/>
  <c r="W12" i="35"/>
  <c r="P36" i="4"/>
  <c r="P38" i="4"/>
  <c r="P40" i="4"/>
  <c r="P42" i="4"/>
  <c r="AA11" i="45"/>
  <c r="AU11" i="50"/>
  <c r="AU28" i="40"/>
  <c r="AF12" i="35"/>
  <c r="H187" i="34"/>
  <c r="AB12" i="38"/>
  <c r="AB12" i="37"/>
  <c r="AB27" i="33"/>
  <c r="G148" i="48"/>
  <c r="G87" i="48"/>
  <c r="G2" i="48"/>
  <c r="G270" i="48"/>
  <c r="G209" i="48"/>
  <c r="G24" i="48"/>
  <c r="G5" i="48"/>
  <c r="F273" i="48"/>
  <c r="F27" i="48"/>
  <c r="F212" i="48"/>
  <c r="F90" i="48"/>
  <c r="F151" i="48"/>
  <c r="F154" i="48"/>
  <c r="F93" i="48"/>
  <c r="F30" i="48"/>
  <c r="F276" i="48"/>
  <c r="F215" i="48"/>
  <c r="G218" i="48"/>
  <c r="G96" i="48"/>
  <c r="G279" i="48"/>
  <c r="G157" i="48"/>
  <c r="G33" i="48"/>
  <c r="F36" i="48"/>
  <c r="F282" i="48"/>
  <c r="F221" i="48"/>
  <c r="F160" i="48"/>
  <c r="F99" i="48"/>
  <c r="G224" i="48"/>
  <c r="G102" i="48"/>
  <c r="G163" i="48"/>
  <c r="G285" i="48"/>
  <c r="G39" i="48"/>
  <c r="F288" i="48"/>
  <c r="F227" i="48"/>
  <c r="F166" i="48"/>
  <c r="F105" i="48"/>
  <c r="F42" i="48"/>
  <c r="G230" i="48"/>
  <c r="G108" i="48"/>
  <c r="G45" i="48"/>
  <c r="G169" i="48"/>
  <c r="G291" i="48"/>
  <c r="F172" i="48"/>
  <c r="F111" i="48"/>
  <c r="F294" i="48"/>
  <c r="F233" i="48"/>
  <c r="F48" i="48"/>
  <c r="F297" i="48"/>
  <c r="F236" i="48"/>
  <c r="F114" i="48"/>
  <c r="F175" i="48"/>
  <c r="F51" i="48"/>
  <c r="G300" i="48"/>
  <c r="G178" i="48"/>
  <c r="G54" i="48"/>
  <c r="G117" i="48"/>
  <c r="G239" i="48"/>
  <c r="F242" i="48"/>
  <c r="F181" i="48"/>
  <c r="F303" i="48"/>
  <c r="F57" i="48"/>
  <c r="F120" i="48"/>
  <c r="G306" i="48"/>
  <c r="G184" i="48"/>
  <c r="G60" i="48"/>
  <c r="G123" i="48"/>
  <c r="G245" i="48"/>
  <c r="F126" i="48"/>
  <c r="F63" i="48"/>
  <c r="F248" i="48"/>
  <c r="F187" i="48"/>
  <c r="F309" i="48"/>
  <c r="G312" i="48"/>
  <c r="G190" i="48"/>
  <c r="G66" i="48"/>
  <c r="G251" i="48"/>
  <c r="G129" i="48"/>
  <c r="AG42" i="30"/>
  <c r="F132" i="48"/>
  <c r="F69" i="48"/>
  <c r="F315" i="48"/>
  <c r="F193" i="48"/>
  <c r="F254" i="48"/>
  <c r="G318" i="48"/>
  <c r="G196" i="48"/>
  <c r="G72" i="48"/>
  <c r="G257" i="48"/>
  <c r="G135" i="48"/>
  <c r="F321" i="48"/>
  <c r="F260" i="48"/>
  <c r="F138" i="48"/>
  <c r="F199" i="48"/>
  <c r="F75" i="48"/>
  <c r="G324" i="48"/>
  <c r="G202" i="48"/>
  <c r="G78" i="48"/>
  <c r="G141" i="48"/>
  <c r="G263" i="48"/>
  <c r="AC41" i="28"/>
  <c r="F266" i="48"/>
  <c r="F205" i="48"/>
  <c r="F327" i="48"/>
  <c r="F144" i="48"/>
  <c r="F81" i="48"/>
  <c r="D37" i="7"/>
  <c r="D38" i="7" s="1"/>
  <c r="D39" i="7" s="1"/>
  <c r="AD43" i="11"/>
  <c r="AD43" i="13"/>
  <c r="AD44" i="13"/>
  <c r="S45" i="14"/>
  <c r="AD46" i="14"/>
  <c r="S43" i="16"/>
  <c r="S44" i="16"/>
  <c r="AD45" i="16"/>
  <c r="J6" i="22"/>
  <c r="S5" i="22"/>
  <c r="S5" i="24"/>
  <c r="J6" i="24"/>
  <c r="AD46" i="32"/>
  <c r="P13" i="4"/>
  <c r="P15" i="4"/>
  <c r="P17" i="4"/>
  <c r="P19" i="4"/>
  <c r="P21" i="4"/>
  <c r="P23" i="4"/>
  <c r="W11" i="50"/>
  <c r="O11" i="45"/>
  <c r="W28" i="40"/>
  <c r="T12" i="35"/>
  <c r="H79" i="34"/>
  <c r="P12" i="38"/>
  <c r="P12" i="37"/>
  <c r="P27" i="33"/>
  <c r="Y11" i="50"/>
  <c r="P11" i="45"/>
  <c r="Y28" i="40"/>
  <c r="U12" i="35"/>
  <c r="H88" i="34"/>
  <c r="Q12" i="38"/>
  <c r="Q12" i="37"/>
  <c r="AA11" i="50"/>
  <c r="Q11" i="45"/>
  <c r="R12" i="38"/>
  <c r="R12" i="37"/>
  <c r="AA28" i="40"/>
  <c r="V12" i="35"/>
  <c r="H97" i="34"/>
  <c r="R27" i="33"/>
  <c r="P31" i="4"/>
  <c r="P33" i="4"/>
  <c r="P35" i="4"/>
  <c r="AS11" i="50"/>
  <c r="Z11" i="45"/>
  <c r="AA12" i="38"/>
  <c r="AA12" i="37"/>
  <c r="AS28" i="40"/>
  <c r="AE12" i="35"/>
  <c r="AA27" i="33"/>
  <c r="H178" i="34"/>
  <c r="P45" i="4"/>
  <c r="L23" i="64"/>
  <c r="G24" i="64"/>
  <c r="D36" i="7"/>
  <c r="S46" i="13"/>
  <c r="I47" i="13" s="1"/>
  <c r="S43" i="14"/>
  <c r="S44" i="14"/>
  <c r="AD45" i="14"/>
  <c r="AD44" i="16"/>
  <c r="AD43" i="18"/>
  <c r="K7" i="21"/>
  <c r="S7" i="21" s="1"/>
  <c r="I46" i="25"/>
  <c r="K48" i="25"/>
  <c r="S48" i="25" s="1"/>
  <c r="S5" i="27"/>
  <c r="J6" i="27"/>
  <c r="S5" i="28"/>
  <c r="S5" i="31"/>
  <c r="U11" i="50"/>
  <c r="N11" i="45"/>
  <c r="O12" i="38"/>
  <c r="O12" i="37"/>
  <c r="U28" i="40"/>
  <c r="H70" i="34"/>
  <c r="O27" i="33"/>
  <c r="S12" i="35"/>
  <c r="P30" i="4"/>
  <c r="V11" i="45"/>
  <c r="AK11" i="50"/>
  <c r="W12" i="38"/>
  <c r="W12" i="37"/>
  <c r="AK28" i="40"/>
  <c r="AA12" i="35"/>
  <c r="W27" i="33"/>
  <c r="H142" i="34"/>
  <c r="W11" i="45"/>
  <c r="AM11" i="50"/>
  <c r="AM28" i="40"/>
  <c r="AB12" i="35"/>
  <c r="H151" i="34"/>
  <c r="X12" i="38"/>
  <c r="X12" i="37"/>
  <c r="X27" i="33"/>
  <c r="AO11" i="50"/>
  <c r="X11" i="45"/>
  <c r="AO28" i="40"/>
  <c r="AC12" i="35"/>
  <c r="H160" i="34"/>
  <c r="Y12" i="38"/>
  <c r="Y12" i="37"/>
  <c r="AQ11" i="50"/>
  <c r="Y11" i="45"/>
  <c r="Z12" i="38"/>
  <c r="Z12" i="37"/>
  <c r="AQ28" i="40"/>
  <c r="AD12" i="35"/>
  <c r="H169" i="34"/>
  <c r="Z27" i="33"/>
  <c r="P44" i="4"/>
  <c r="F209" i="48"/>
  <c r="F87" i="48"/>
  <c r="F148" i="48"/>
  <c r="F24" i="48"/>
  <c r="F270" i="48"/>
  <c r="G212" i="48"/>
  <c r="G90" i="48"/>
  <c r="G273" i="48"/>
  <c r="G151" i="48"/>
  <c r="G27" i="48"/>
  <c r="O19" i="64"/>
  <c r="G276" i="48"/>
  <c r="G154" i="48"/>
  <c r="G93" i="48"/>
  <c r="G30" i="48"/>
  <c r="G215" i="48"/>
  <c r="F218" i="48"/>
  <c r="F157" i="48"/>
  <c r="F279" i="48"/>
  <c r="F96" i="48"/>
  <c r="F33" i="48"/>
  <c r="G282" i="48"/>
  <c r="G160" i="48"/>
  <c r="G36" i="48"/>
  <c r="G99" i="48"/>
  <c r="G221" i="48"/>
  <c r="F102" i="48"/>
  <c r="F39" i="48"/>
  <c r="F224" i="48"/>
  <c r="F163" i="48"/>
  <c r="F285" i="48"/>
  <c r="G288" i="48"/>
  <c r="G166" i="48"/>
  <c r="G42" i="48"/>
  <c r="G227" i="48"/>
  <c r="G105" i="48"/>
  <c r="F108" i="48"/>
  <c r="F45" i="48"/>
  <c r="F230" i="48"/>
  <c r="F291" i="48"/>
  <c r="F169" i="48"/>
  <c r="G294" i="48"/>
  <c r="G172" i="48"/>
  <c r="G48" i="48"/>
  <c r="G233" i="48"/>
  <c r="G111" i="48"/>
  <c r="G236" i="48"/>
  <c r="G114" i="48"/>
  <c r="G51" i="48"/>
  <c r="G297" i="48"/>
  <c r="G175" i="48"/>
  <c r="AC41" i="21"/>
  <c r="F54" i="48"/>
  <c r="F178" i="48"/>
  <c r="F117" i="48"/>
  <c r="F300" i="48"/>
  <c r="F239" i="48"/>
  <c r="G242" i="48"/>
  <c r="G120" i="48"/>
  <c r="G303" i="48"/>
  <c r="G181" i="48"/>
  <c r="G57" i="48"/>
  <c r="AC41" i="23"/>
  <c r="F60" i="48"/>
  <c r="F306" i="48"/>
  <c r="F245" i="48"/>
  <c r="F184" i="48"/>
  <c r="F123" i="48"/>
  <c r="G248" i="48"/>
  <c r="G126" i="48"/>
  <c r="G187" i="48"/>
  <c r="G309" i="48"/>
  <c r="G63" i="48"/>
  <c r="F312" i="48"/>
  <c r="F251" i="48"/>
  <c r="F190" i="48"/>
  <c r="F129" i="48"/>
  <c r="F66" i="48"/>
  <c r="G254" i="48"/>
  <c r="G132" i="48"/>
  <c r="G69" i="48"/>
  <c r="G193" i="48"/>
  <c r="G315" i="48"/>
  <c r="AG42" i="31"/>
  <c r="F196" i="48"/>
  <c r="F135" i="48"/>
  <c r="F318" i="48"/>
  <c r="F257" i="48"/>
  <c r="F72" i="48"/>
  <c r="G260" i="48"/>
  <c r="G138" i="48"/>
  <c r="G75" i="48"/>
  <c r="G321" i="48"/>
  <c r="G199" i="48"/>
  <c r="F78" i="48"/>
  <c r="F202" i="48"/>
  <c r="F141" i="48"/>
  <c r="F324" i="48"/>
  <c r="F263" i="48"/>
  <c r="G266" i="48"/>
  <c r="G144" i="48"/>
  <c r="G327" i="48"/>
  <c r="G205" i="48"/>
  <c r="G81" i="48"/>
  <c r="AD43" i="12"/>
  <c r="S46" i="16"/>
  <c r="AB45" i="20"/>
  <c r="AC41" i="22"/>
  <c r="K7" i="23"/>
  <c r="S7" i="23" s="1"/>
  <c r="S6" i="23"/>
  <c r="AC41" i="24"/>
  <c r="S6" i="31"/>
  <c r="K7" i="31"/>
  <c r="S7" i="31" s="1"/>
  <c r="Q27" i="33"/>
  <c r="E56" i="33"/>
  <c r="E54" i="33"/>
  <c r="E52" i="33"/>
  <c r="E55" i="33"/>
  <c r="I11" i="50"/>
  <c r="H11" i="45"/>
  <c r="I28" i="40"/>
  <c r="M12" i="35"/>
  <c r="I12" i="38"/>
  <c r="I12" i="37"/>
  <c r="H16" i="34"/>
  <c r="K11" i="50"/>
  <c r="I11" i="45"/>
  <c r="J12" i="38"/>
  <c r="J12" i="37"/>
  <c r="K28" i="40"/>
  <c r="N12" i="35"/>
  <c r="H25" i="34"/>
  <c r="J27" i="33"/>
  <c r="Q11" i="50"/>
  <c r="L11" i="45"/>
  <c r="Q28" i="40"/>
  <c r="Q12" i="35"/>
  <c r="H52" i="34"/>
  <c r="M12" i="38"/>
  <c r="M12" i="37"/>
  <c r="AE11" i="50"/>
  <c r="S11" i="45"/>
  <c r="AE28" i="40"/>
  <c r="X12" i="35"/>
  <c r="H115" i="34"/>
  <c r="T12" i="38"/>
  <c r="T12" i="37"/>
  <c r="T27" i="33"/>
  <c r="AW11" i="50"/>
  <c r="AB11" i="45"/>
  <c r="AW28" i="40"/>
  <c r="AG12" i="35"/>
  <c r="H196" i="34"/>
  <c r="AC12" i="38"/>
  <c r="AC12" i="37"/>
  <c r="S45" i="16"/>
  <c r="AD46" i="16"/>
  <c r="AG49" i="19"/>
  <c r="J7" i="25"/>
  <c r="K8" i="25"/>
  <c r="S8" i="25" s="1"/>
  <c r="I6" i="25"/>
  <c r="AC41" i="27"/>
  <c r="AD46" i="29"/>
  <c r="U27" i="33"/>
  <c r="K70" i="33"/>
  <c r="K31" i="33" s="1"/>
  <c r="O70" i="33"/>
  <c r="O31" i="33" s="1"/>
  <c r="J6" i="30"/>
  <c r="B43" i="33"/>
  <c r="B45" i="33"/>
  <c r="B47" i="33"/>
  <c r="B54" i="33"/>
  <c r="B56" i="33"/>
  <c r="E89" i="33"/>
  <c r="Y36" i="43"/>
  <c r="CC36" i="43"/>
  <c r="E43" i="33"/>
  <c r="E45" i="33"/>
  <c r="AE87" i="33"/>
  <c r="V31" i="33" s="1"/>
  <c r="E90" i="33"/>
  <c r="E93" i="33"/>
  <c r="T36" i="43"/>
  <c r="AI36" i="43"/>
  <c r="AV36" i="43"/>
  <c r="BB36" i="43"/>
  <c r="BL36" i="43"/>
  <c r="R58" i="43"/>
  <c r="AK58" i="43"/>
  <c r="AI38" i="43"/>
  <c r="B34" i="33"/>
  <c r="B42" i="33"/>
  <c r="B44" i="33"/>
  <c r="B46" i="33"/>
  <c r="B55" i="33"/>
  <c r="E88" i="33"/>
  <c r="AE88" i="33" s="1"/>
  <c r="K36" i="43"/>
  <c r="CJ36" i="43"/>
  <c r="H38" i="43"/>
  <c r="I58" i="43"/>
  <c r="H58" i="43" s="1"/>
  <c r="BL15" i="43"/>
  <c r="CC15" i="43"/>
  <c r="BH58" i="43"/>
  <c r="BN38" i="43"/>
  <c r="BN58" i="43" s="1"/>
  <c r="BY58" i="43"/>
  <c r="CK38" i="43"/>
  <c r="K39" i="43"/>
  <c r="BG58" i="43"/>
  <c r="CC39" i="43"/>
  <c r="AI44" i="43"/>
  <c r="H49" i="43"/>
  <c r="N48" i="43"/>
  <c r="N58" i="43" s="1"/>
  <c r="K58" i="43" s="1"/>
  <c r="R48" i="43"/>
  <c r="AI49" i="43"/>
  <c r="AX48" i="43"/>
  <c r="AX58" i="43" s="1"/>
  <c r="AV58" i="43" s="1"/>
  <c r="BC48" i="43"/>
  <c r="BB48" i="43" s="1"/>
  <c r="BG48" i="43"/>
  <c r="BP48" i="43"/>
  <c r="BL48" i="43" s="1"/>
  <c r="BT48" i="43"/>
  <c r="BX48" i="43"/>
  <c r="BX58" i="43" s="1"/>
  <c r="CG48" i="43"/>
  <c r="CM48" i="43"/>
  <c r="CM58" i="43" s="1"/>
  <c r="AI54" i="43"/>
  <c r="K15" i="43"/>
  <c r="T15" i="43"/>
  <c r="Y15" i="43"/>
  <c r="K38" i="43"/>
  <c r="T38" i="43"/>
  <c r="Y38" i="43"/>
  <c r="AC58" i="43"/>
  <c r="Y44" i="43"/>
  <c r="CC48" i="43"/>
  <c r="BD36" i="43"/>
  <c r="CG58" i="43"/>
  <c r="CL58" i="43"/>
  <c r="AI58" i="43"/>
  <c r="BB38" i="43"/>
  <c r="BM58" i="43"/>
  <c r="CD58" i="43"/>
  <c r="CC58" i="43" s="1"/>
  <c r="CC38" i="43"/>
  <c r="T39" i="43"/>
  <c r="BT58" i="43"/>
  <c r="AA48" i="43"/>
  <c r="AA58" i="43" s="1"/>
  <c r="CK48" i="43"/>
  <c r="W48" i="43"/>
  <c r="W58" i="43" s="1"/>
  <c r="T58" i="43" s="1"/>
  <c r="AC48" i="43"/>
  <c r="AG48" i="43"/>
  <c r="AG58" i="43" s="1"/>
  <c r="CL48" i="43"/>
  <c r="G52" i="51"/>
  <c r="G51" i="51"/>
  <c r="G46" i="51"/>
  <c r="H52" i="51"/>
  <c r="U148" i="63"/>
  <c r="AA16" i="63"/>
  <c r="AA15" i="63"/>
  <c r="AA12" i="63"/>
  <c r="E32" i="62"/>
  <c r="E30" i="62"/>
  <c r="J47" i="51"/>
  <c r="J46" i="51"/>
  <c r="M270" i="48"/>
  <c r="M148" i="48"/>
  <c r="AA13" i="63"/>
  <c r="E5" i="62"/>
  <c r="E3" i="62"/>
  <c r="U14" i="63"/>
  <c r="E29" i="62"/>
  <c r="E6" i="62"/>
  <c r="U15" i="63"/>
  <c r="AA11" i="63"/>
  <c r="J52" i="51"/>
  <c r="E5" i="54"/>
  <c r="J51" i="51"/>
  <c r="E5" i="55"/>
  <c r="D51" i="61"/>
  <c r="E4" i="62"/>
  <c r="F2" i="54"/>
  <c r="V159" i="33" l="1"/>
  <c r="V95" i="33"/>
  <c r="K159" i="33"/>
  <c r="K95" i="33"/>
  <c r="O159" i="33"/>
  <c r="O95" i="33"/>
  <c r="Y58" i="43"/>
  <c r="T48" i="43"/>
  <c r="S6" i="30"/>
  <c r="K7" i="30"/>
  <c r="S7" i="30" s="1"/>
  <c r="CJ48" i="43"/>
  <c r="BP58" i="43"/>
  <c r="BL38" i="43"/>
  <c r="Y48" i="43"/>
  <c r="K48" i="43"/>
  <c r="AV48" i="43"/>
  <c r="J48" i="16"/>
  <c r="I47" i="16"/>
  <c r="R31" i="33"/>
  <c r="AG9" i="50"/>
  <c r="T9" i="45"/>
  <c r="AG26" i="40"/>
  <c r="Y10" i="35"/>
  <c r="U10" i="38"/>
  <c r="U10" i="37"/>
  <c r="H122" i="34"/>
  <c r="U25" i="33"/>
  <c r="M9" i="45"/>
  <c r="S9" i="50"/>
  <c r="N10" i="38"/>
  <c r="N10" i="37"/>
  <c r="H59" i="34"/>
  <c r="S26" i="40"/>
  <c r="R10" i="35"/>
  <c r="N25" i="33"/>
  <c r="K9" i="50"/>
  <c r="I9" i="45"/>
  <c r="J10" i="38"/>
  <c r="J10" i="37"/>
  <c r="H23" i="34"/>
  <c r="K26" i="40"/>
  <c r="N10" i="35"/>
  <c r="J25" i="33"/>
  <c r="S31" i="33"/>
  <c r="L31" i="33"/>
  <c r="AB31" i="33"/>
  <c r="U31" i="33"/>
  <c r="S6" i="24"/>
  <c r="K7" i="24"/>
  <c r="S7" i="24" s="1"/>
  <c r="D40" i="7"/>
  <c r="D43" i="7"/>
  <c r="D44" i="7" s="1"/>
  <c r="D45" i="7" s="1"/>
  <c r="D41" i="7"/>
  <c r="W9" i="45"/>
  <c r="AM9" i="50"/>
  <c r="AM26" i="40"/>
  <c r="AB10" i="35"/>
  <c r="X10" i="38"/>
  <c r="X10" i="37"/>
  <c r="H149" i="34"/>
  <c r="X25" i="33"/>
  <c r="AS9" i="50"/>
  <c r="AA10" i="38"/>
  <c r="AA10" i="37"/>
  <c r="H176" i="34"/>
  <c r="AS26" i="40"/>
  <c r="Z9" i="45"/>
  <c r="AE10" i="35"/>
  <c r="AA25" i="33"/>
  <c r="J31" i="33"/>
  <c r="K46" i="24"/>
  <c r="S46" i="24" s="1"/>
  <c r="S45" i="24"/>
  <c r="AI10" i="50"/>
  <c r="U10" i="45"/>
  <c r="H132" i="34"/>
  <c r="AI27" i="40"/>
  <c r="Z11" i="35"/>
  <c r="V11" i="38"/>
  <c r="V11" i="37"/>
  <c r="V26" i="33"/>
  <c r="K49" i="17"/>
  <c r="S49" i="17" s="1"/>
  <c r="S48" i="17"/>
  <c r="K46" i="23"/>
  <c r="S46" i="23" s="1"/>
  <c r="S45" i="23"/>
  <c r="U55" i="19"/>
  <c r="L56" i="19"/>
  <c r="U56" i="19" s="1"/>
  <c r="AU10" i="50"/>
  <c r="AA10" i="45"/>
  <c r="AB11" i="38"/>
  <c r="AB11" i="37"/>
  <c r="AU27" i="40"/>
  <c r="AF11" i="35"/>
  <c r="H186" i="34"/>
  <c r="AB26" i="33"/>
  <c r="AC10" i="50"/>
  <c r="R10" i="45"/>
  <c r="AC27" i="40"/>
  <c r="W11" i="35"/>
  <c r="S11" i="38"/>
  <c r="H105" i="34"/>
  <c r="S11" i="37"/>
  <c r="S26" i="33"/>
  <c r="U10" i="50"/>
  <c r="N10" i="45"/>
  <c r="U27" i="40"/>
  <c r="S11" i="35"/>
  <c r="O11" i="38"/>
  <c r="H69" i="34"/>
  <c r="O11" i="37"/>
  <c r="O26" i="33"/>
  <c r="BL58" i="43"/>
  <c r="BC58" i="43"/>
  <c r="BB58" i="43" s="1"/>
  <c r="J48" i="13"/>
  <c r="S47" i="13"/>
  <c r="AW9" i="50"/>
  <c r="AB9" i="45"/>
  <c r="AW26" i="40"/>
  <c r="AG10" i="35"/>
  <c r="AC10" i="38"/>
  <c r="AC10" i="37"/>
  <c r="H194" i="34"/>
  <c r="AC25" i="33"/>
  <c r="S9" i="45"/>
  <c r="AE9" i="50"/>
  <c r="AE26" i="40"/>
  <c r="X10" i="35"/>
  <c r="T10" i="38"/>
  <c r="T10" i="37"/>
  <c r="H113" i="34"/>
  <c r="T25" i="33"/>
  <c r="Q9" i="50"/>
  <c r="L9" i="45"/>
  <c r="Q26" i="40"/>
  <c r="Q10" i="35"/>
  <c r="M10" i="38"/>
  <c r="M10" i="37"/>
  <c r="H50" i="34"/>
  <c r="M25" i="33"/>
  <c r="I9" i="50"/>
  <c r="H9" i="45"/>
  <c r="I26" i="40"/>
  <c r="M10" i="35"/>
  <c r="H14" i="34"/>
  <c r="I10" i="38"/>
  <c r="I10" i="37"/>
  <c r="I25" i="33"/>
  <c r="W31" i="33"/>
  <c r="P31" i="33"/>
  <c r="I31" i="33"/>
  <c r="Y31" i="33"/>
  <c r="AK9" i="50"/>
  <c r="V9" i="45"/>
  <c r="W10" i="38"/>
  <c r="W10" i="37"/>
  <c r="H140" i="34"/>
  <c r="AK26" i="40"/>
  <c r="W25" i="33"/>
  <c r="AA10" i="35"/>
  <c r="Z31" i="33"/>
  <c r="U8" i="19"/>
  <c r="L9" i="19"/>
  <c r="U9" i="19" s="1"/>
  <c r="S7" i="15"/>
  <c r="K8" i="15"/>
  <c r="S8" i="15" s="1"/>
  <c r="S48" i="12"/>
  <c r="K49" i="12"/>
  <c r="S49" i="12" s="1"/>
  <c r="K46" i="21"/>
  <c r="S46" i="21" s="1"/>
  <c r="S45" i="21"/>
  <c r="S48" i="14"/>
  <c r="K49" i="14"/>
  <c r="S49" i="14" s="1"/>
  <c r="AS10" i="50"/>
  <c r="Z10" i="45"/>
  <c r="AS27" i="40"/>
  <c r="AE11" i="35"/>
  <c r="AA11" i="38"/>
  <c r="H177" i="34"/>
  <c r="AA11" i="37"/>
  <c r="AA26" i="33"/>
  <c r="Q10" i="45"/>
  <c r="AA10" i="50"/>
  <c r="H96" i="34"/>
  <c r="AA27" i="40"/>
  <c r="V11" i="35"/>
  <c r="R11" i="38"/>
  <c r="R11" i="37"/>
  <c r="R26" i="33"/>
  <c r="M10" i="45"/>
  <c r="S10" i="50"/>
  <c r="H60" i="34"/>
  <c r="S27" i="40"/>
  <c r="R11" i="35"/>
  <c r="N11" i="38"/>
  <c r="N11" i="37"/>
  <c r="N26" i="33"/>
  <c r="CK58" i="43"/>
  <c r="CJ58" i="43" s="1"/>
  <c r="CJ38" i="43"/>
  <c r="AU9" i="50"/>
  <c r="AA9" i="45"/>
  <c r="AU26" i="40"/>
  <c r="AF10" i="35"/>
  <c r="AB10" i="38"/>
  <c r="AB10" i="37"/>
  <c r="H185" i="34"/>
  <c r="AB25" i="33"/>
  <c r="AC9" i="50"/>
  <c r="R9" i="45"/>
  <c r="S10" i="38"/>
  <c r="S10" i="37"/>
  <c r="H104" i="34"/>
  <c r="AC26" i="40"/>
  <c r="S25" i="33"/>
  <c r="W10" i="35"/>
  <c r="O9" i="50"/>
  <c r="K9" i="45"/>
  <c r="O26" i="40"/>
  <c r="P10" i="35"/>
  <c r="L10" i="38"/>
  <c r="L10" i="37"/>
  <c r="H41" i="34"/>
  <c r="L25" i="33"/>
  <c r="AA31" i="33"/>
  <c r="T31" i="33"/>
  <c r="M31" i="33"/>
  <c r="AC31" i="33"/>
  <c r="AQ9" i="50"/>
  <c r="Y9" i="45"/>
  <c r="Z10" i="38"/>
  <c r="Z10" i="37"/>
  <c r="H167" i="34"/>
  <c r="AQ26" i="40"/>
  <c r="AD10" i="35"/>
  <c r="Z25" i="33"/>
  <c r="AA9" i="50"/>
  <c r="Q9" i="45"/>
  <c r="R10" i="38"/>
  <c r="R10" i="37"/>
  <c r="H95" i="34"/>
  <c r="AA26" i="40"/>
  <c r="V10" i="35"/>
  <c r="R25" i="33"/>
  <c r="N31" i="33"/>
  <c r="K8" i="12"/>
  <c r="S8" i="12" s="1"/>
  <c r="S7" i="12"/>
  <c r="S46" i="30"/>
  <c r="K47" i="30"/>
  <c r="S47" i="30" s="1"/>
  <c r="S45" i="22"/>
  <c r="K46" i="22"/>
  <c r="S46" i="22" s="1"/>
  <c r="K49" i="15"/>
  <c r="S49" i="15" s="1"/>
  <c r="S48" i="15"/>
  <c r="K8" i="14"/>
  <c r="S8" i="14" s="1"/>
  <c r="S7" i="14"/>
  <c r="K47" i="31"/>
  <c r="S47" i="31" s="1"/>
  <c r="S46" i="31"/>
  <c r="AQ10" i="50"/>
  <c r="Y10" i="45"/>
  <c r="H168" i="34"/>
  <c r="AQ27" i="40"/>
  <c r="AD11" i="35"/>
  <c r="Z11" i="38"/>
  <c r="Z11" i="37"/>
  <c r="Z26" i="33"/>
  <c r="AE10" i="50"/>
  <c r="S10" i="45"/>
  <c r="T11" i="38"/>
  <c r="T11" i="37"/>
  <c r="AE27" i="40"/>
  <c r="X11" i="35"/>
  <c r="H114" i="34"/>
  <c r="T26" i="33"/>
  <c r="E51" i="33"/>
  <c r="E49" i="33"/>
  <c r="E50" i="33"/>
  <c r="E48" i="33"/>
  <c r="E46" i="33"/>
  <c r="S6" i="27"/>
  <c r="K7" i="27"/>
  <c r="S7" i="27" s="1"/>
  <c r="L24" i="64"/>
  <c r="H25" i="64"/>
  <c r="L25" i="64" s="1"/>
  <c r="AI9" i="50"/>
  <c r="U9" i="45"/>
  <c r="V10" i="38"/>
  <c r="V10" i="37"/>
  <c r="H131" i="34"/>
  <c r="AI26" i="40"/>
  <c r="Z10" i="35"/>
  <c r="V25" i="33"/>
  <c r="M9" i="50"/>
  <c r="K10" i="38"/>
  <c r="K10" i="37"/>
  <c r="H32" i="34"/>
  <c r="J9" i="45"/>
  <c r="M26" i="40"/>
  <c r="O10" i="35"/>
  <c r="K25" i="33"/>
  <c r="H31" i="33"/>
  <c r="H159" i="33" s="1"/>
  <c r="X31" i="33"/>
  <c r="Q31" i="33"/>
  <c r="S6" i="22"/>
  <c r="K7" i="22"/>
  <c r="S7" i="22" s="1"/>
  <c r="AO9" i="50"/>
  <c r="X9" i="45"/>
  <c r="AO26" i="40"/>
  <c r="AC10" i="35"/>
  <c r="H158" i="34"/>
  <c r="Y10" i="38"/>
  <c r="Y10" i="37"/>
  <c r="Y25" i="33"/>
  <c r="N9" i="45"/>
  <c r="U9" i="50"/>
  <c r="O10" i="38"/>
  <c r="O10" i="37"/>
  <c r="H68" i="34"/>
  <c r="U26" i="40"/>
  <c r="S10" i="35"/>
  <c r="O25" i="33"/>
  <c r="Y9" i="50"/>
  <c r="P9" i="45"/>
  <c r="Y26" i="40"/>
  <c r="U10" i="35"/>
  <c r="Q10" i="38"/>
  <c r="Q10" i="37"/>
  <c r="H86" i="34"/>
  <c r="Q25" i="33"/>
  <c r="K46" i="28"/>
  <c r="S46" i="28" s="1"/>
  <c r="S45" i="28"/>
  <c r="AK10" i="50"/>
  <c r="V10" i="45"/>
  <c r="AK27" i="40"/>
  <c r="AA11" i="35"/>
  <c r="W11" i="38"/>
  <c r="H141" i="34"/>
  <c r="W11" i="37"/>
  <c r="W26" i="33"/>
  <c r="S7" i="13"/>
  <c r="K8" i="13"/>
  <c r="S8" i="13" s="1"/>
  <c r="K46" i="27"/>
  <c r="S46" i="27" s="1"/>
  <c r="S45" i="27"/>
  <c r="S7" i="11"/>
  <c r="K8" i="11"/>
  <c r="S8" i="11" s="1"/>
  <c r="K49" i="18"/>
  <c r="S49" i="18" s="1"/>
  <c r="S48" i="18"/>
  <c r="K49" i="11"/>
  <c r="S49" i="11" s="1"/>
  <c r="S48" i="11"/>
  <c r="AW10" i="50"/>
  <c r="AC11" i="38"/>
  <c r="AC11" i="37"/>
  <c r="H195" i="34"/>
  <c r="AW27" i="40"/>
  <c r="AB10" i="45"/>
  <c r="AC26" i="33"/>
  <c r="AG11" i="35"/>
  <c r="W10" i="50"/>
  <c r="O10" i="45"/>
  <c r="P11" i="38"/>
  <c r="P11" i="37"/>
  <c r="W27" i="40"/>
  <c r="T11" i="35"/>
  <c r="H78" i="34"/>
  <c r="P26" i="33"/>
  <c r="Q95" i="33" l="1"/>
  <c r="Q159" i="33" s="1"/>
  <c r="X159" i="33"/>
  <c r="X95" i="33"/>
  <c r="T95" i="33"/>
  <c r="T159" i="33" s="1"/>
  <c r="Z95" i="33"/>
  <c r="Z159" i="33" s="1"/>
  <c r="P95" i="33"/>
  <c r="P159" i="33" s="1"/>
  <c r="L159" i="33"/>
  <c r="L95" i="33"/>
  <c r="AA95" i="33"/>
  <c r="AA159" i="33" s="1"/>
  <c r="W159" i="33"/>
  <c r="W95" i="33"/>
  <c r="S95" i="33"/>
  <c r="S159" i="33" s="1"/>
  <c r="R95" i="33"/>
  <c r="R159" i="33" s="1"/>
  <c r="AC95" i="33"/>
  <c r="AC159" i="33"/>
  <c r="Y95" i="33"/>
  <c r="Y159" i="33" s="1"/>
  <c r="J95" i="33"/>
  <c r="J159" i="33"/>
  <c r="D48" i="7"/>
  <c r="D47" i="7"/>
  <c r="D51" i="7"/>
  <c r="D49" i="7"/>
  <c r="D46" i="7"/>
  <c r="U95" i="33"/>
  <c r="U159" i="33"/>
  <c r="N95" i="33"/>
  <c r="N159" i="33"/>
  <c r="M95" i="33"/>
  <c r="M159" i="33"/>
  <c r="I95" i="33"/>
  <c r="I159" i="33" s="1"/>
  <c r="K49" i="13"/>
  <c r="S49" i="13" s="1"/>
  <c r="S48" i="13"/>
  <c r="AB95" i="33"/>
  <c r="AB159" i="33" s="1"/>
  <c r="K49" i="16"/>
  <c r="S49" i="16" s="1"/>
  <c r="S48" i="16"/>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<sst xmlns="http://schemas.openxmlformats.org/spreadsheetml/2006/main" count="25057" uniqueCount="4511">
  <si>
    <t>26446466</t>
  </si>
  <si>
    <t>Flag_Row_Size</t>
  </si>
  <si>
    <t>Субъект РФ</t>
  </si>
  <si>
    <t>Смоленская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</si>
  <si>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</si>
  <si>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</si>
  <si>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</si>
  <si>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</si>
  <si>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</si>
  <si>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</si>
  <si>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</si>
  <si>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</si>
  <si>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</si>
  <si>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</si>
  <si>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</si>
  <si>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</si>
  <si>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</si>
  <si>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</si>
  <si>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</si>
  <si>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</si>
  <si>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</si>
  <si>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</si>
  <si>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</si>
  <si>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</si>
  <si>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</si>
  <si>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</si>
  <si>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</si>
  <si>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</si>
  <si>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</si>
  <si>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</si>
  <si>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</si>
  <si>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</si>
  <si>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"Смоленскрегионтеплоэнерго"</t>
  </si>
  <si>
    <t>Наименование (описание) обособленного подразделения</t>
  </si>
  <si>
    <t>ИНН</t>
  </si>
  <si>
    <t>6730048214</t>
  </si>
  <si>
    <t>КПП</t>
  </si>
  <si>
    <t>673101001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</si>
  <si>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</si>
  <si>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</si>
  <si>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</si>
  <si>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</si>
  <si>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</si>
  <si>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</si>
  <si>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</si>
  <si>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</si>
  <si>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</si>
  <si>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</si>
  <si>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</si>
  <si>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</si>
  <si>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</si>
  <si>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</si>
  <si>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</si>
  <si>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</si>
  <si>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</si>
  <si>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</si>
  <si>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</si>
  <si>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214020, г. Смоленск, ул. Шевченко, д. 77-а</t>
  </si>
  <si>
    <t>Фамилия, имя, отчество руководителя</t>
  </si>
  <si>
    <t>Пучков Юрий Николаевич</t>
  </si>
  <si>
    <t>Ответственный за заполнение формы</t>
  </si>
  <si>
    <t>Фамилия, имя, отчество</t>
  </si>
  <si>
    <t>Рожкова Мария Владимировна</t>
  </si>
  <si>
    <t>Должность</t>
  </si>
  <si>
    <t>заместитель генерального директора по экономике</t>
  </si>
  <si>
    <t>Контактный телефон</t>
  </si>
  <si>
    <t>(4812) 377-222 доб. 128</t>
  </si>
  <si>
    <t>E-mail</t>
  </si>
  <si>
    <t>plan@srte.ru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</si>
  <si>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</si>
  <si>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</si>
  <si>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</si>
  <si>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</si>
  <si>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</si>
  <si>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</si>
  <si>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</si>
  <si>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</si>
  <si>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</si>
  <si>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</si>
  <si>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</si>
  <si>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</si>
  <si>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</si>
  <si>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</si>
  <si>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</si>
  <si>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</si>
  <si>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</si>
  <si>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Вяземский муниципальный округ</t>
  </si>
  <si>
    <t>66505000</t>
  </si>
  <si>
    <t>Добавить МО</t>
  </si>
  <si>
    <t>2</t>
  </si>
  <si>
    <t>×</t>
  </si>
  <si>
    <t>ter_5</t>
  </si>
  <si>
    <t>17</t>
  </si>
  <si>
    <t>Гагаринский муниципальный округ</t>
  </si>
  <si>
    <t>66508000</t>
  </si>
  <si>
    <t>85</t>
  </si>
  <si>
    <t>Новодугинский муниципальный округ</t>
  </si>
  <si>
    <t>66530000</t>
  </si>
  <si>
    <t>156</t>
  </si>
  <si>
    <t>Сычевский муниципальный округ</t>
  </si>
  <si>
    <t>66546000</t>
  </si>
  <si>
    <t>ter_51</t>
  </si>
  <si>
    <t>ter_511</t>
  </si>
  <si>
    <t>100</t>
  </si>
  <si>
    <t>Рославльский муниципальный округ</t>
  </si>
  <si>
    <t>66536000</t>
  </si>
  <si>
    <t>92</t>
  </si>
  <si>
    <t>Починковский муниципальный округ</t>
  </si>
  <si>
    <t>66533000</t>
  </si>
  <si>
    <t>58</t>
  </si>
  <si>
    <t>Ершичский муниципальный округ</t>
  </si>
  <si>
    <t>66521000</t>
  </si>
  <si>
    <t>191</t>
  </si>
  <si>
    <t>Шумячский муниципальный округ</t>
  </si>
  <si>
    <t>66556000</t>
  </si>
  <si>
    <t>5</t>
  </si>
  <si>
    <t>ter_5111</t>
  </si>
  <si>
    <t>ter_51111</t>
  </si>
  <si>
    <t>ter_511111</t>
  </si>
  <si>
    <t>120</t>
  </si>
  <si>
    <t>Сафоновский муниципальный округ</t>
  </si>
  <si>
    <t>66541000</t>
  </si>
  <si>
    <t>45</t>
  </si>
  <si>
    <t>Духовщинский муниципальный округ</t>
  </si>
  <si>
    <t>66516000</t>
  </si>
  <si>
    <t>52</t>
  </si>
  <si>
    <t>Ельнинский муниципальный округ</t>
  </si>
  <si>
    <t>66519000</t>
  </si>
  <si>
    <t>183</t>
  </si>
  <si>
    <t>Холм-Жирковский муниципальный округ</t>
  </si>
  <si>
    <t>66554000</t>
  </si>
  <si>
    <t>8</t>
  </si>
  <si>
    <t>ter_5111111</t>
  </si>
  <si>
    <t>9</t>
  </si>
  <si>
    <t>ter_51111111</t>
  </si>
  <si>
    <t>38</t>
  </si>
  <si>
    <t>Дорогобужский муниципальный округ</t>
  </si>
  <si>
    <t>66514000</t>
  </si>
  <si>
    <t>10</t>
  </si>
  <si>
    <t>ter_511111111</t>
  </si>
  <si>
    <t>11</t>
  </si>
  <si>
    <t>ter_5111111111</t>
  </si>
  <si>
    <t>201</t>
  </si>
  <si>
    <t>Ярцевский муниципальный округ</t>
  </si>
  <si>
    <t>66558000</t>
  </si>
  <si>
    <t>12</t>
  </si>
  <si>
    <t>ter_51111111111</t>
  </si>
  <si>
    <t>70</t>
  </si>
  <si>
    <t>Краснинский муниципальный округ</t>
  </si>
  <si>
    <t>66524000</t>
  </si>
  <si>
    <t>13</t>
  </si>
  <si>
    <t>ter_511111111111</t>
  </si>
  <si>
    <t>135</t>
  </si>
  <si>
    <t>Смоленский муниципальный округ</t>
  </si>
  <si>
    <t>66544000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</si>
  <si>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</si>
  <si>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</si>
  <si>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</si>
  <si>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</si>
  <si>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</si>
  <si>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</si>
  <si>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</si>
  <si>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</si>
  <si>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</si>
  <si>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</si>
  <si>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</si>
  <si>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котельная г. Вязьма ул. Московская</t>
  </si>
  <si>
    <t>diff_1</t>
  </si>
  <si>
    <t>4190064; 4190068; 4190070</t>
  </si>
  <si>
    <t>a</t>
  </si>
  <si>
    <t>Добавить централизованную систему</t>
  </si>
  <si>
    <t>Вяземский филиал</t>
  </si>
  <si>
    <t>diff_5</t>
  </si>
  <si>
    <t>котельная с. Карманово, ул. Набережная, д. 18, стр. 3</t>
  </si>
  <si>
    <t>diff_51</t>
  </si>
  <si>
    <t>Рославльский филиал</t>
  </si>
  <si>
    <t>diff_511</t>
  </si>
  <si>
    <t>котельная г. Рославль, ул. Мичурина</t>
  </si>
  <si>
    <t>diff_5111</t>
  </si>
  <si>
    <t>котельная д. Даньково</t>
  </si>
  <si>
    <t>diff_51111</t>
  </si>
  <si>
    <t>котельная д. Пересна</t>
  </si>
  <si>
    <t>diff_511111</t>
  </si>
  <si>
    <t>котельная г. Починок, ул. Садовая</t>
  </si>
  <si>
    <t>diff_5111111</t>
  </si>
  <si>
    <t>Сафоновский филиал</t>
  </si>
  <si>
    <t>diff_51111111</t>
  </si>
  <si>
    <t>котельная г. Сафоново, ул. Советская</t>
  </si>
  <si>
    <t>diff_511111111</t>
  </si>
  <si>
    <t>котельная г. Сафоново, ул. Первомайская</t>
  </si>
  <si>
    <t>diff_5111111111</t>
  </si>
  <si>
    <t>котельная с. Издешково</t>
  </si>
  <si>
    <t>diff_51111111111</t>
  </si>
  <si>
    <t>котельная БМК Михайловское</t>
  </si>
  <si>
    <t>diff_511111111111</t>
  </si>
  <si>
    <t>котельные пгт. Холм-Жирковское, ул. Кирова,ул. Советская</t>
  </si>
  <si>
    <t>diff_5111111111111</t>
  </si>
  <si>
    <t>котельная ст. Игоревская</t>
  </si>
  <si>
    <t>diff_51111111111111</t>
  </si>
  <si>
    <t>Ярцевский филиал</t>
  </si>
  <si>
    <t>diff_511111111111111</t>
  </si>
  <si>
    <t>п. Красный</t>
  </si>
  <si>
    <t>diff_5111111111111111</t>
  </si>
  <si>
    <t>котельная д. Богородицкое</t>
  </si>
  <si>
    <t>diff_51111111111111111</t>
  </si>
  <si>
    <t>котельная д. Сметанино</t>
  </si>
  <si>
    <t>diff_511111111111111111</t>
  </si>
  <si>
    <t>котельная с. Талашкино</t>
  </si>
  <si>
    <t>diff_5111111111111111111</t>
  </si>
  <si>
    <t>котельная д. Митино</t>
  </si>
  <si>
    <t>diff_51111111111111111111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</si>
  <si>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</si>
  <si>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</si>
  <si>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</si>
  <si>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</si>
  <si>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</si>
  <si>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</si>
  <si>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</si>
  <si>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</si>
  <si>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</si>
  <si>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</si>
  <si>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</si>
  <si>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</si>
  <si>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</si>
  <si>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</si>
  <si>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</si>
  <si>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</si>
  <si>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</si>
  <si>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</si>
  <si>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</si>
  <si>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</si>
  <si>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</si>
  <si>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</si>
  <si>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</si>
  <si>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</si>
  <si>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</si>
  <si>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</si>
  <si>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</si>
  <si>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</si>
  <si>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</si>
  <si>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</si>
  <si>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</si>
  <si>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</si>
  <si>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</si>
  <si>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</si>
  <si>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</si>
  <si>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</si>
  <si>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</si>
  <si>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</si>
  <si>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</si>
  <si>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</si>
  <si>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</si>
  <si>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</si>
  <si>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</si>
  <si>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</si>
  <si>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</si>
  <si>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</si>
  <si>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</si>
  <si>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</si>
  <si>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</si>
  <si>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</si>
  <si>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</si>
  <si>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</si>
  <si>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</si>
  <si>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</si>
  <si>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</si>
  <si>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</si>
  <si>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</si>
  <si>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</si>
  <si>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</si>
  <si>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</si>
  <si>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</si>
  <si>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</si>
  <si>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</si>
  <si>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</si>
  <si>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</si>
  <si>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</si>
  <si>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</si>
  <si>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</si>
  <si>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</si>
  <si>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</si>
  <si>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</si>
  <si>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</si>
  <si>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</si>
  <si>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</si>
  <si>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</si>
  <si>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</si>
  <si>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</si>
  <si>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</si>
  <si>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</si>
  <si>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</si>
  <si>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</si>
  <si>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</si>
  <si>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</si>
  <si>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</si>
  <si>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</si>
  <si>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</si>
  <si>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</si>
  <si>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</si>
  <si>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</si>
  <si>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</si>
  <si>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</si>
  <si>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</si>
  <si>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</si>
  <si>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</si>
  <si>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</si>
  <si>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</si>
  <si>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</si>
  <si>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</si>
  <si>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</si>
  <si>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</si>
  <si>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</si>
  <si>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</si>
  <si>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</si>
  <si>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</si>
  <si>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</si>
  <si>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</si>
  <si>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</si>
  <si>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</si>
  <si>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</si>
  <si>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</si>
  <si>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</si>
  <si>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</si>
  <si>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</si>
  <si>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</si>
  <si>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</si>
  <si>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</si>
  <si>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</si>
  <si>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</si>
  <si>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</si>
  <si>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</si>
  <si>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</si>
  <si>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</si>
  <si>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</si>
  <si>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</si>
  <si>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</si>
  <si>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</si>
  <si>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</si>
  <si>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</si>
  <si>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</si>
  <si>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</si>
  <si>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</si>
  <si>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</si>
  <si>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</si>
  <si>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</si>
  <si>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</si>
  <si>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</si>
  <si>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</si>
  <si>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</si>
  <si>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</si>
  <si>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</si>
  <si>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</si>
  <si>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</si>
  <si>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</si>
  <si>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</si>
  <si>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</si>
  <si>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</si>
  <si>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</si>
  <si>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</si>
  <si>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</si>
  <si>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</si>
  <si>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</si>
  <si>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</si>
  <si>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</si>
  <si>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</si>
  <si>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</si>
  <si>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</si>
  <si>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</si>
  <si>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</si>
  <si>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</si>
  <si>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</si>
  <si>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</si>
  <si>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</si>
  <si>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</si>
  <si>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</si>
  <si>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</si>
  <si>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</si>
  <si>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</si>
  <si>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</si>
  <si>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</si>
  <si>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</si>
  <si>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</si>
  <si>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</si>
  <si>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</si>
  <si>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</si>
  <si>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</si>
  <si>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</si>
  <si>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</si>
  <si>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</si>
  <si>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</si>
  <si>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</si>
  <si>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</si>
  <si>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</si>
  <si>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</si>
  <si>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</si>
  <si>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</si>
  <si>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</si>
  <si>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</si>
  <si>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</si>
  <si>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</si>
  <si>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</si>
  <si>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</si>
  <si>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</si>
  <si>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</si>
  <si>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</si>
  <si>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</si>
  <si>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</si>
  <si>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</si>
  <si>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</si>
  <si>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</si>
  <si>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</si>
  <si>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</si>
  <si>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</si>
  <si>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</si>
  <si>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</si>
  <si>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</si>
  <si>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</si>
  <si>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</si>
  <si>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</si>
  <si>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</si>
  <si>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</si>
  <si>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</si>
  <si>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</si>
  <si>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</si>
  <si>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</si>
  <si>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</si>
  <si>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</si>
  <si>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</si>
  <si>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</si>
  <si>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</si>
  <si>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</si>
  <si>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</si>
  <si>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</si>
  <si>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</si>
  <si>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</si>
  <si>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</si>
  <si>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</si>
  <si>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</si>
  <si>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</si>
  <si>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</si>
  <si>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</si>
  <si>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</si>
  <si>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</si>
  <si>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</si>
  <si>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</si>
  <si>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</si>
  <si>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</si>
  <si>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</si>
  <si>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</si>
  <si>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</si>
  <si>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</si>
  <si>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</si>
  <si>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</si>
  <si>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</si>
  <si>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</si>
  <si>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</si>
  <si>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</si>
  <si>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</si>
  <si>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</si>
  <si>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</si>
  <si>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</si>
  <si>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</si>
  <si>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</si>
  <si>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</si>
  <si>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</si>
  <si>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</si>
  <si>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</si>
  <si>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</si>
  <si>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</si>
  <si>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</si>
  <si>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</si>
  <si>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</si>
  <si>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</si>
  <si>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</si>
  <si>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</si>
  <si>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</si>
  <si>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</si>
  <si>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</si>
  <si>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</si>
  <si>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</si>
  <si>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</si>
  <si>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</si>
  <si>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</si>
  <si>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</si>
  <si>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</si>
  <si>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</si>
  <si>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</si>
  <si>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</si>
  <si>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</si>
  <si>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</si>
  <si>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</si>
  <si>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</si>
  <si>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</si>
  <si>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</si>
  <si>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</si>
  <si>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</si>
  <si>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</si>
  <si>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</si>
  <si>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</si>
  <si>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</si>
  <si>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</si>
  <si>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</si>
  <si>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</si>
  <si>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</si>
  <si>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</si>
  <si>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</si>
  <si>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</si>
  <si>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</si>
  <si>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</si>
  <si>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</si>
  <si>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</si>
  <si>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</si>
  <si>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</si>
  <si>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</si>
  <si>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</si>
  <si>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</si>
  <si>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</si>
  <si>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</si>
  <si>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</si>
  <si>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</si>
  <si>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</si>
  <si>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</si>
  <si>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</si>
  <si>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</si>
  <si>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</si>
  <si>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</si>
  <si>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</si>
  <si>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</si>
  <si>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</si>
  <si>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</si>
  <si>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</si>
  <si>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</si>
  <si>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</si>
  <si>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</si>
  <si>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</si>
  <si>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</si>
  <si>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</si>
  <si>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</si>
  <si>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</si>
  <si>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</si>
  <si>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</si>
  <si>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</si>
  <si>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</si>
  <si>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</si>
  <si>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</si>
  <si>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</si>
  <si>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</si>
  <si>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</si>
  <si>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</si>
  <si>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</si>
  <si>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</si>
  <si>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</si>
  <si>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</si>
  <si>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</si>
  <si>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</si>
  <si>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</si>
  <si>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</si>
  <si>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</si>
  <si>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</si>
  <si>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</si>
  <si>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</si>
  <si>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</si>
  <si>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</si>
  <si>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</si>
  <si>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</si>
  <si>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</si>
  <si>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</si>
  <si>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</si>
  <si>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</si>
  <si>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</si>
  <si>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</si>
  <si>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</si>
  <si>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</si>
  <si>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</si>
  <si>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</si>
  <si>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</si>
  <si>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</si>
  <si>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</si>
  <si>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</si>
  <si>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</si>
  <si>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</si>
  <si>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</si>
  <si>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</si>
  <si>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</si>
  <si>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</si>
  <si>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</si>
  <si>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</si>
  <si>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</si>
  <si>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</si>
  <si>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</si>
  <si>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</si>
  <si>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</si>
  <si>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</si>
  <si>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</si>
  <si>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</si>
  <si>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</si>
  <si>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</si>
  <si>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</si>
  <si>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</si>
  <si>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</si>
  <si>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</si>
  <si>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</si>
  <si>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</si>
  <si>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</si>
  <si>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</si>
  <si>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</si>
  <si>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</si>
  <si>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</si>
  <si>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</si>
  <si>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</si>
  <si>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</si>
  <si>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</si>
  <si>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</si>
  <si>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</si>
  <si>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</si>
  <si>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</si>
  <si>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</si>
  <si>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</si>
  <si>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</si>
  <si>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</si>
  <si>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</si>
  <si>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</si>
  <si>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</si>
  <si>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</si>
  <si>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</si>
  <si>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</si>
  <si>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</si>
  <si>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</si>
  <si>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</si>
  <si>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</si>
  <si>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</si>
  <si>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</si>
  <si>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</si>
  <si>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</si>
  <si>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</si>
  <si>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</si>
  <si>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</si>
  <si>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</si>
  <si>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</si>
  <si>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</si>
  <si>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</si>
  <si>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</si>
  <si>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</si>
  <si>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</si>
  <si>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</si>
  <si>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</si>
  <si>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</si>
  <si>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</si>
  <si>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</si>
  <si>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</si>
  <si>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</si>
  <si>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</si>
  <si>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</si>
  <si>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газ природный по регулируемой цене</t>
  </si>
  <si>
    <t>тыс м3</t>
  </si>
  <si>
    <t>уголь каменный</t>
  </si>
  <si>
    <t>тонны</t>
  </si>
  <si>
    <t>мазут</t>
  </si>
  <si>
    <t>Добавить вид топлива</t>
  </si>
  <si>
    <t>HOTVSNA_P1</t>
  </si>
  <si>
    <t>руб.</t>
  </si>
  <si>
    <t>тыс. кВт·ч</t>
  </si>
  <si>
    <t>HEAT_P6</t>
  </si>
  <si>
    <t>NOT_HOTVSNA</t>
  </si>
  <si>
    <t>отсутствует</t>
  </si>
  <si>
    <t>NOT_HEAT_P1</t>
  </si>
  <si>
    <t>Лизинговые платежи</t>
  </si>
  <si>
    <t xml:space="preserve">Проценты по кредитам </t>
  </si>
  <si>
    <t>Налоги</t>
  </si>
  <si>
    <t>Резерв на погашение дебиторской задолженнсти</t>
  </si>
  <si>
    <t>Прочие расходы</t>
  </si>
  <si>
    <t>Добавить прочие расходы</t>
  </si>
  <si>
    <t>HEAT_P2</t>
  </si>
  <si>
    <t>NOT_HEAT_P2</t>
  </si>
  <si>
    <t>hyp</t>
  </si>
  <si>
    <t>https://portal.eias.ru/Portal/DownloadPage.aspx?type=12&amp;guid=45041a31-4717-4fc8-81e8-b85b0a6ad7f8</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</si>
  <si>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</si>
  <si>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</si>
  <si>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</si>
  <si>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</si>
  <si>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</si>
  <si>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</si>
  <si>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</si>
  <si>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</si>
  <si>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</si>
  <si>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</si>
  <si>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</si>
  <si>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</si>
  <si>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</si>
  <si>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</si>
  <si>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</si>
  <si>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</si>
  <si>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</si>
  <si>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</si>
  <si>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</si>
  <si>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</si>
  <si>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</si>
  <si>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</si>
  <si>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</si>
  <si>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</si>
  <si>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</si>
  <si>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</si>
  <si>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</si>
  <si>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</si>
  <si>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</si>
  <si>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</si>
  <si>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</si>
  <si>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</si>
  <si>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</si>
  <si>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</si>
  <si>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</si>
  <si>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</si>
  <si>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</si>
  <si>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</si>
  <si>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</si>
  <si>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</si>
  <si>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</si>
  <si>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</si>
  <si>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</si>
  <si>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</si>
  <si>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</si>
  <si>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</si>
  <si>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</si>
  <si>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</si>
  <si>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</si>
  <si>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</si>
  <si>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</si>
  <si>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</si>
  <si>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</si>
  <si>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</si>
  <si>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</si>
  <si>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</si>
  <si>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</si>
  <si>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</si>
  <si>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</si>
  <si>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</si>
  <si>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</si>
  <si>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</si>
  <si>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</si>
  <si>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</si>
  <si>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</si>
  <si>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</si>
  <si>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</si>
  <si>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</si>
  <si>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</si>
  <si>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</si>
  <si>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</si>
  <si>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</si>
  <si>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</si>
  <si>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</si>
  <si>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</si>
  <si>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</si>
  <si>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</si>
  <si>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</si>
  <si>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</si>
  <si>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</si>
  <si>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</si>
  <si>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</si>
  <si>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</si>
  <si>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</si>
  <si>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</si>
  <si>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</si>
  <si>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</si>
  <si>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</si>
  <si>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</si>
  <si>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</si>
  <si>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</si>
  <si>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</si>
  <si>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</si>
  <si>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</si>
  <si>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</si>
  <si>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</si>
  <si>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</si>
  <si>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</si>
  <si>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</si>
  <si>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</si>
  <si>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</si>
  <si>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</si>
  <si>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</si>
  <si>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</si>
  <si>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</si>
  <si>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</si>
  <si>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</si>
  <si>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</si>
  <si>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</si>
  <si>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</si>
  <si>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</si>
  <si>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</si>
  <si>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</si>
  <si>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</si>
  <si>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</si>
  <si>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</si>
  <si>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</si>
  <si>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</si>
  <si>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</si>
  <si>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</si>
  <si>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</si>
  <si>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</si>
  <si>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</si>
  <si>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</si>
  <si>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</si>
  <si>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</si>
  <si>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</si>
  <si>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</si>
  <si>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</si>
  <si>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</si>
  <si>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</si>
  <si>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</si>
  <si>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</si>
  <si>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</si>
  <si>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</si>
  <si>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</si>
  <si>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</si>
  <si>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</si>
  <si>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</si>
  <si>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</si>
  <si>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</si>
  <si>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</si>
  <si>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</si>
  <si>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</si>
  <si>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</si>
  <si>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</si>
  <si>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</si>
  <si>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</si>
  <si>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</si>
  <si>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</si>
  <si>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</si>
  <si>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</si>
  <si>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</si>
  <si>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</si>
  <si>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</si>
  <si>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</si>
  <si>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</si>
  <si>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</si>
  <si>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</si>
  <si>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</si>
  <si>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</si>
  <si>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</si>
  <si>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</si>
  <si>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</si>
  <si>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</si>
  <si>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</si>
  <si>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</si>
  <si>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</si>
  <si>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</si>
  <si>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</si>
  <si>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</si>
  <si>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</si>
  <si>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</si>
  <si>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</si>
  <si>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</si>
  <si>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</si>
  <si>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</si>
  <si>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</si>
  <si>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</si>
  <si>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</si>
  <si>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</si>
  <si>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</si>
  <si>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</si>
  <si>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</si>
  <si>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</si>
  <si>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</si>
  <si>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</si>
  <si>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</si>
  <si>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</si>
  <si>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</si>
  <si>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</si>
  <si>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</si>
  <si>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</si>
  <si>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</si>
  <si>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</si>
  <si>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</si>
  <si>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</si>
  <si>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</si>
  <si>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</si>
  <si>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</si>
  <si>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</si>
  <si>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</si>
  <si>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</si>
  <si>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</si>
  <si>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</si>
  <si>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</si>
  <si>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</si>
  <si>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</si>
  <si>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</si>
  <si>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</si>
  <si>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</si>
  <si>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</si>
  <si>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</si>
  <si>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</si>
  <si>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</si>
  <si>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</si>
  <si>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</si>
  <si>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</si>
  <si>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</si>
  <si>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</si>
  <si>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</si>
  <si>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</si>
  <si>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</si>
  <si>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</si>
  <si>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</si>
  <si>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</si>
  <si>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</si>
  <si>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</si>
  <si>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</si>
  <si>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</si>
  <si>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</si>
  <si>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</si>
  <si>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</si>
  <si>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</si>
  <si>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</si>
  <si>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</si>
  <si>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</si>
  <si>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</si>
  <si>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</si>
  <si>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</si>
  <si>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</si>
  <si>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</si>
  <si>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</si>
  <si>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</si>
  <si>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</si>
  <si>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</si>
  <si>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</si>
  <si>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</si>
  <si>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</si>
  <si>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</si>
  <si>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</si>
  <si>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</si>
  <si>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</si>
  <si>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</si>
  <si>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</si>
  <si>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</si>
  <si>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</si>
  <si>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</si>
  <si>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</si>
  <si>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</si>
  <si>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</si>
  <si>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</si>
  <si>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</si>
  <si>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</si>
  <si>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</si>
  <si>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</si>
  <si>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</si>
  <si>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</si>
  <si>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</si>
  <si>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</si>
  <si>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</si>
  <si>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</si>
  <si>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</si>
  <si>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</si>
  <si>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</si>
  <si>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</si>
  <si>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COLDVSNA</t>
  </si>
  <si>
    <t>4.4</t>
  </si>
  <si>
    <t>4.5</t>
  </si>
  <si>
    <t>5.2</t>
  </si>
  <si>
    <t>5.3</t>
  </si>
  <si>
    <t>5.3.1</t>
  </si>
  <si>
    <t>5.4</t>
  </si>
  <si>
    <t>HOTVSNA</t>
  </si>
  <si>
    <t>VOTV</t>
  </si>
  <si>
    <t>4.6</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</si>
  <si>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</si>
  <si>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</si>
  <si>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</si>
  <si>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</si>
  <si>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</si>
  <si>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</si>
  <si>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</si>
  <si>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</si>
  <si>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</si>
  <si>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</si>
  <si>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</si>
  <si>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</si>
  <si>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</si>
  <si>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</si>
  <si>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</si>
  <si>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</si>
  <si>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</si>
  <si>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</si>
  <si>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</si>
  <si>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</si>
  <si>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</si>
  <si>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</si>
  <si>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</si>
  <si>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</si>
  <si>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</si>
  <si>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</si>
  <si>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</si>
  <si>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</si>
  <si>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Инвестиционная программа № 100 от 28.10.2019 ООО "Смоленскрегионтеплоэнерго" в сфере теплоснабжения по реконструкции котельных, на территории муниципального района Шумячский на 2020-2026 годы</t>
  </si>
  <si>
    <t>прочее</t>
  </si>
  <si>
    <t>01.01.2020</t>
  </si>
  <si>
    <t>31.12.2026</t>
  </si>
  <si>
    <t>Об утверждении инвестиционной программы в сфере теплоснабжения ООО «Смоленскрегионтеплоэнерго» пос. Шумячи на 2020-2026 гг.</t>
  </si>
  <si>
    <t>постановление</t>
  </si>
  <si>
    <t>28.10.2019</t>
  </si>
  <si>
    <t>ip_51111111111111</t>
  </si>
  <si>
    <t>Добавить реквизиты</t>
  </si>
  <si>
    <t>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Воргинское, Ершичский муниципальный район на 2023-2025 годы</t>
  </si>
  <si>
    <t>01.01.2023</t>
  </si>
  <si>
    <t>31.12.2025</t>
  </si>
  <si>
    <t>Об утверждении инвестиционной программы в сфере теплоснабжения ООО «Смоленскрегионтеплоэнерго» (Ершичский район, с. Ершичи) на 2023-2025 гг.</t>
  </si>
  <si>
    <t>21</t>
  </si>
  <si>
    <t>13.05.2022</t>
  </si>
  <si>
    <t>ip_511111111111111</t>
  </si>
  <si>
    <t>Инвестиционная программа № 254 от 28.10.2016 в сфере теплоснабжения по техническому перевооружению котельных, на территории муниципального района Сафоновский на 2017-2024 годы</t>
  </si>
  <si>
    <t>01.01.2017</t>
  </si>
  <si>
    <t>31.12.2024</t>
  </si>
  <si>
    <t>Об утверждении инвестиционных программ в сфере теплоснабжения ООО «Смоленскрегионтеплоэнерго» на 2017-2024 гг.</t>
  </si>
  <si>
    <t>254</t>
  </si>
  <si>
    <t>28.10.2016</t>
  </si>
  <si>
    <t>ip_5111111111111111</t>
  </si>
  <si>
    <t>Инвестиционная программа № 347 от 30.10.2015 ООО "Смоленскрегионтеплоэнерго" в сфере теплоснабжения по модернизации, реконструкции и техническому перевооружению котельных и тепловых сетей, на территории муниципального района Гагаринский на 2016-2026 годы</t>
  </si>
  <si>
    <t>01.01.2016</t>
  </si>
  <si>
    <t>Об утверждении инвестиционных программ в сфере теплоснабжения ООО «Смоленскрегионтеплоэнерго» на 2016-2026 гг.</t>
  </si>
  <si>
    <t>347</t>
  </si>
  <si>
    <t>30.10.2015</t>
  </si>
  <si>
    <t>ip_51111111111111111</t>
  </si>
  <si>
    <t>Инвестиционная программа № 48 от 24.05.2021 ООО "Смоленскрегионтеплоэнерго" в сфере теплоснабжения по реконструкции и модернизации существующих объектов котельной, на территории муниципального района Починковский на 2022-2025 годы</t>
  </si>
  <si>
    <t>01.01.2022</t>
  </si>
  <si>
    <t>Об утверждении инвестиционной программы в сфере теплоснабжения ООО «Смоленскрегионтеплоэнерго»  г.Починок на 2022-2025 г.г.</t>
  </si>
  <si>
    <t>48</t>
  </si>
  <si>
    <t>24.05.2021</t>
  </si>
  <si>
    <t>ip_511111111111111111</t>
  </si>
  <si>
    <t>Инвестиционная программа от 02.01.2017 ООО "Смоленскрегионтеплоэнерго" в сфере теплоснабжения по модернизации, реконструкции и техническому перевооружению котельных и тепловых сетей, на территории муниципального района Холм-Жирковский на 2017-2024 годы</t>
  </si>
  <si>
    <t>02.01.2017</t>
  </si>
  <si>
    <t>ip_511111111111111111111</t>
  </si>
  <si>
    <t>Инвестиционная программа от 18.03.2021 ООО "Смоленскрегионтеплоэнерго" в сфере теплоснабжения по модернизации тепловых сетей, на территории муниципального района Холм-Жирковский на 2021-2035 годы</t>
  </si>
  <si>
    <t>18.03.2021</t>
  </si>
  <si>
    <t>31.12.2035</t>
  </si>
  <si>
    <t>Об утверждении инвестиционной программы в сфере теплоснабжения ООО «Смоленскрегионтеплоэнерго»  п.г.т. Холм-Жирковский на 2021-2035 г.г.</t>
  </si>
  <si>
    <t>27</t>
  </si>
  <si>
    <t>ip_5111111111111111111111</t>
  </si>
  <si>
    <t>Инвестиционная программа от 28.10.2019 ООО "Смоленскрегионтеплоэнерго" в сфере теплоснабжения по реконструкции и модернизации существующих объектов котельных, на территории муниципального района Починковский на 2020-2024 годы</t>
  </si>
  <si>
    <t>Об утверждении инвестиционной программы в сфере теплоснабжения ООО «Смоленскрегионтеплоэнерго» дер. Лосня Починковский район на 2020-2024 г.г.</t>
  </si>
  <si>
    <t>101</t>
  </si>
  <si>
    <t>ip_51111111111111111111111</t>
  </si>
  <si>
    <t>Инвестиционная программа № 62 от 27.10.2023 ООО "Смоленскрегионтеплоэнерго" в сфере теплоснабжения по реконструкции существующих объектов котельных, на территории муниципального района Сычевский на 2024-2026 годы</t>
  </si>
  <si>
    <t>01.01.2024</t>
  </si>
  <si>
    <t>Об утверждении инвестиционной программы в сфере теплоснабжения ООО «Смоленскрегионтеплоэнерго» (г.Сычевка) на 2024-2026 гг.</t>
  </si>
  <si>
    <t>62</t>
  </si>
  <si>
    <t>27.10.2023</t>
  </si>
  <si>
    <t>ip_511111111111111111111111</t>
  </si>
  <si>
    <t>Ноябрь</t>
  </si>
  <si>
    <t>Котельная №1</t>
  </si>
  <si>
    <t>ТИ с сетями</t>
  </si>
  <si>
    <t>Шумячский муниципальный район</t>
  </si>
  <si>
    <t>Шумячское</t>
  </si>
  <si>
    <t>66656151</t>
  </si>
  <si>
    <t>пгт Шумячи</t>
  </si>
  <si>
    <t>66656151051</t>
  </si>
  <si>
    <t>ул. Заводская</t>
  </si>
  <si>
    <t>б/н</t>
  </si>
  <si>
    <t xml:space="preserve">  Прибыль направляемая на инвестиции</t>
  </si>
  <si>
    <t>Добавить источник финансирования</t>
  </si>
  <si>
    <t>Добавить объект инфраструктуры</t>
  </si>
  <si>
    <t>Декабрь</t>
  </si>
  <si>
    <t>Котельная №2</t>
  </si>
  <si>
    <t>ул. Садовая</t>
  </si>
  <si>
    <t>Добавить мероприятие</t>
  </si>
  <si>
    <t xml:space="preserve">      Амортизационные отчисления с выделением результатов переоценки основных средств и нематериальных активов</t>
  </si>
  <si>
    <t>Котельная №3</t>
  </si>
  <si>
    <t>ТИ</t>
  </si>
  <si>
    <t>ул. Санаторная школа</t>
  </si>
  <si>
    <t>Ершичский муниципальный район</t>
  </si>
  <si>
    <t>Ершичское</t>
  </si>
  <si>
    <t>66621433</t>
  </si>
  <si>
    <t>с Ершичи</t>
  </si>
  <si>
    <t>66621433101</t>
  </si>
  <si>
    <t>ул. Низинская</t>
  </si>
  <si>
    <t>Январь</t>
  </si>
  <si>
    <t>котельная №18</t>
  </si>
  <si>
    <t>Сафоновский муниципальный район</t>
  </si>
  <si>
    <t>Сафоновский</t>
  </si>
  <si>
    <t>66641101</t>
  </si>
  <si>
    <t>г Сафоново</t>
  </si>
  <si>
    <t>66641101001</t>
  </si>
  <si>
    <t>ул. Первомайская</t>
  </si>
  <si>
    <t>д.18</t>
  </si>
  <si>
    <t xml:space="preserve">  Кредиты</t>
  </si>
  <si>
    <t>Май</t>
  </si>
  <si>
    <t>котельная №16</t>
  </si>
  <si>
    <t>ул. Советская</t>
  </si>
  <si>
    <t>д. 78</t>
  </si>
  <si>
    <t>Август</t>
  </si>
  <si>
    <t>Октябрь</t>
  </si>
  <si>
    <t>ул. Красноармейская</t>
  </si>
  <si>
    <t>ул. Пушкина</t>
  </si>
  <si>
    <t>Котельная №15</t>
  </si>
  <si>
    <t>ул. Химиков</t>
  </si>
  <si>
    <t>Котельная №9</t>
  </si>
  <si>
    <t>Гагаринский муниципальный район</t>
  </si>
  <si>
    <t>Гагаринское</t>
  </si>
  <si>
    <t>66608101</t>
  </si>
  <si>
    <t>г Гагарин</t>
  </si>
  <si>
    <t>66608101001</t>
  </si>
  <si>
    <t>д. 7</t>
  </si>
  <si>
    <t>Котельная №7</t>
  </si>
  <si>
    <t>юго-восточнее ж.д. №56А</t>
  </si>
  <si>
    <t>Котельная №8</t>
  </si>
  <si>
    <t>на пересечении ул. Ленина и ул. Красноармейская</t>
  </si>
  <si>
    <t>Котельная №1 Районная</t>
  </si>
  <si>
    <t>проезд. Промышленный</t>
  </si>
  <si>
    <t>д.1</t>
  </si>
  <si>
    <t>Февраль</t>
  </si>
  <si>
    <t>Котельная №12</t>
  </si>
  <si>
    <t>Починковский муниципальный район</t>
  </si>
  <si>
    <t>Починковское</t>
  </si>
  <si>
    <t>66633101</t>
  </si>
  <si>
    <t>г Починок</t>
  </si>
  <si>
    <t>66633101001</t>
  </si>
  <si>
    <t>ул. Юбилейная</t>
  </si>
  <si>
    <t>д. 10Б</t>
  </si>
  <si>
    <t>Холм-Жирковский муниципальный район</t>
  </si>
  <si>
    <t>Холм-Жирковское</t>
  </si>
  <si>
    <t>66654151</t>
  </si>
  <si>
    <t>пгт Холм-Жирковский</t>
  </si>
  <si>
    <t>66654151051</t>
  </si>
  <si>
    <t>пгт. Холм-Жирковский</t>
  </si>
  <si>
    <t>ул. Кирова</t>
  </si>
  <si>
    <t>котельная №5</t>
  </si>
  <si>
    <t>Мурыгинское</t>
  </si>
  <si>
    <t>66633450</t>
  </si>
  <si>
    <t>д Лосня</t>
  </si>
  <si>
    <t>66633450211</t>
  </si>
  <si>
    <t>д. Лосня</t>
  </si>
  <si>
    <t>Котельная №2 ГДРСУ</t>
  </si>
  <si>
    <t>Сычевский муниципальный район</t>
  </si>
  <si>
    <t>Сычевское</t>
  </si>
  <si>
    <t>66646101</t>
  </si>
  <si>
    <t>г Сычевка</t>
  </si>
  <si>
    <t>66646101001</t>
  </si>
  <si>
    <t>г. Сычевка</t>
  </si>
  <si>
    <t>ГДРСУ</t>
  </si>
  <si>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</si>
  <si>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</si>
  <si>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</si>
  <si>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</si>
  <si>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</si>
  <si>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</si>
  <si>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</si>
  <si>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</si>
  <si>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</si>
  <si>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</si>
  <si>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</si>
  <si>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</si>
  <si>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</si>
  <si>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</si>
  <si>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</si>
  <si>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</si>
  <si>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</si>
  <si>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</si>
  <si>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</si>
  <si>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</si>
  <si>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</si>
  <si>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</si>
  <si>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</si>
  <si>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</si>
  <si>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</si>
  <si>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</si>
  <si>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</si>
  <si>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</si>
  <si>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</si>
  <si>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</si>
  <si>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</si>
  <si>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</si>
  <si>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</si>
  <si>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</si>
  <si>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</si>
  <si>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</si>
  <si>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</si>
  <si>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</si>
  <si>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</si>
  <si>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</si>
  <si>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</si>
  <si>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</si>
  <si>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</si>
  <si>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</si>
  <si>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</si>
  <si>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</si>
  <si>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</si>
  <si>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</si>
  <si>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</si>
  <si>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</si>
  <si>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</si>
  <si>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</si>
  <si>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</si>
  <si>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</si>
  <si>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</si>
  <si>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</si>
  <si>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</si>
  <si>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</si>
  <si>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</si>
  <si>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</si>
  <si>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</si>
  <si>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</si>
  <si>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</si>
  <si>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</si>
  <si>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</si>
  <si>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</si>
  <si>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</si>
  <si>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</si>
  <si>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</si>
  <si>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</si>
  <si>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</si>
  <si>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</si>
  <si>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</si>
  <si>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</si>
  <si>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</si>
  <si>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</si>
  <si>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</si>
  <si>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</si>
  <si>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</si>
  <si>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</si>
  <si>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</si>
  <si>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</si>
  <si>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</si>
  <si>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</si>
  <si>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</si>
  <si>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</si>
  <si>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</si>
  <si>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</si>
  <si>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</si>
  <si>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</si>
  <si>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</si>
  <si>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</si>
  <si>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</si>
  <si>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</si>
  <si>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</si>
  <si>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</si>
  <si>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</si>
  <si>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</si>
  <si>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</si>
  <si>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</si>
  <si>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</si>
  <si>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</si>
  <si>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</si>
  <si>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</si>
  <si>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</si>
  <si>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</si>
  <si>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</si>
  <si>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</si>
  <si>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</si>
  <si>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</si>
  <si>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</si>
  <si>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</si>
  <si>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</si>
  <si>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</si>
  <si>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</si>
  <si>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</si>
  <si>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</si>
  <si>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</si>
  <si>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</si>
  <si>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</si>
  <si>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</si>
  <si>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</si>
  <si>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</si>
  <si>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</si>
  <si>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</si>
  <si>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</si>
  <si>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</si>
  <si>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</si>
  <si>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</si>
  <si>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</si>
  <si>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</si>
  <si>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</si>
  <si>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</si>
  <si>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</si>
  <si>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</si>
  <si>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</si>
  <si>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</si>
  <si>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</si>
  <si>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</si>
  <si>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</si>
  <si>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</si>
  <si>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</si>
  <si>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</si>
  <si>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</si>
  <si>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</si>
  <si>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</si>
  <si>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</si>
  <si>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</si>
  <si>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</si>
  <si>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</si>
  <si>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</si>
  <si>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</si>
  <si>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</si>
  <si>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</si>
  <si>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</si>
  <si>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</si>
  <si>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</si>
  <si>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</si>
  <si>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</si>
  <si>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</si>
  <si>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</si>
  <si>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</si>
  <si>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</si>
  <si>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</si>
  <si>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</si>
  <si>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</si>
  <si>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</si>
  <si>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</si>
  <si>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</si>
  <si>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</si>
  <si>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</si>
  <si>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</si>
  <si>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</si>
  <si>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</si>
  <si>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</si>
  <si>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</si>
  <si>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</si>
  <si>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</si>
  <si>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</si>
  <si>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</si>
  <si>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</si>
  <si>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</si>
  <si>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</si>
  <si>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</si>
  <si>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</si>
  <si>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</si>
  <si>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</si>
  <si>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</si>
  <si>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</si>
  <si>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</si>
  <si>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</si>
  <si>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</si>
  <si>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</si>
  <si>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</si>
  <si>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</si>
  <si>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</si>
  <si>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</si>
  <si>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</si>
  <si>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</si>
  <si>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</si>
  <si>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</si>
  <si>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</si>
  <si>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</si>
  <si>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</si>
  <si>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</si>
  <si>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</si>
  <si>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</si>
  <si>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</si>
  <si>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</si>
  <si>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</si>
  <si>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</si>
  <si>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</si>
  <si>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</si>
  <si>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</si>
  <si>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</si>
  <si>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</si>
  <si>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</si>
  <si>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</si>
  <si>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</si>
  <si>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</si>
  <si>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</si>
  <si>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</si>
  <si>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</si>
  <si>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</si>
  <si>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</si>
  <si>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</si>
  <si>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</si>
  <si>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</si>
  <si>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</si>
  <si>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</si>
  <si>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</si>
  <si>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</si>
  <si>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</si>
  <si>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</si>
  <si>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</si>
  <si>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</si>
  <si>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</si>
  <si>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</si>
  <si>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</si>
  <si>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</si>
  <si>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</si>
  <si>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</si>
  <si>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</si>
  <si>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</si>
  <si>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</si>
  <si>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</si>
  <si>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</si>
  <si>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</si>
  <si>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</si>
  <si>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</si>
  <si>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</si>
  <si>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</si>
  <si>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</si>
  <si>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</si>
  <si>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</si>
  <si>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</si>
  <si>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</si>
  <si>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</si>
  <si>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</si>
  <si>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</si>
  <si>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</si>
  <si>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</si>
  <si>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</si>
  <si>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</si>
  <si>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</si>
  <si>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</si>
  <si>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</si>
  <si>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</si>
  <si>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</si>
  <si>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</si>
  <si>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</si>
  <si>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</si>
  <si>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</si>
  <si>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</si>
  <si>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</si>
  <si>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</si>
  <si>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</si>
  <si>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</si>
  <si>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</si>
  <si>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</si>
  <si>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</si>
  <si>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</si>
  <si>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</si>
  <si>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</si>
  <si>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</si>
  <si>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</si>
  <si>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</si>
  <si>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</si>
  <si>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</si>
  <si>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</si>
  <si>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</si>
  <si>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</si>
  <si>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</si>
  <si>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</si>
  <si>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</si>
  <si>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</si>
  <si>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</si>
  <si>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</si>
  <si>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</si>
  <si>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Апрель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</si>
  <si>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</si>
  <si>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</si>
  <si>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</si>
  <si>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</si>
  <si>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</si>
  <si>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</si>
  <si>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</si>
  <si>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</si>
  <si>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</si>
  <si>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</si>
  <si>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</si>
  <si>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</si>
  <si>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</si>
  <si>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</si>
  <si>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</si>
  <si>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</si>
  <si>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</si>
  <si>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</si>
  <si>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</si>
  <si>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</si>
  <si>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</si>
  <si>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</si>
  <si>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</si>
  <si>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</si>
  <si>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</si>
  <si>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</si>
  <si>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</si>
  <si>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</si>
  <si>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</si>
  <si>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</si>
  <si>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</si>
  <si>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</si>
  <si>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</si>
  <si>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</si>
  <si>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</si>
  <si>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</si>
  <si>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</si>
  <si>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</si>
  <si>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</si>
  <si>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</si>
  <si>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</si>
  <si>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</si>
  <si>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</si>
  <si>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</si>
  <si>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</si>
  <si>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</si>
  <si>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</si>
  <si>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</si>
  <si>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</si>
  <si>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</si>
  <si>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</si>
  <si>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Форма 4.2.4 Информация о величинах тарифов на подключение к системе теплоснабжения</t>
  </si>
  <si>
    <t>09</t>
  </si>
  <si>
    <t>по муниципальным образованиям/территориям</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</si>
  <si>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</si>
  <si>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</si>
  <si>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</si>
  <si>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</si>
  <si>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</si>
  <si>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</si>
  <si>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</si>
  <si>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</si>
  <si>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</si>
  <si>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</si>
  <si>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</si>
  <si>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</si>
  <si>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</si>
  <si>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</si>
  <si>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</si>
  <si>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</si>
  <si>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</si>
  <si>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</si>
  <si>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</si>
  <si>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</si>
  <si>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</si>
  <si>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</si>
  <si>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</si>
  <si>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</si>
  <si>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</si>
  <si>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</si>
  <si>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</si>
  <si>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</si>
  <si>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</si>
  <si>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</si>
  <si>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</si>
  <si>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</si>
  <si>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</si>
  <si>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</si>
  <si>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</si>
  <si>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</si>
  <si>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</si>
  <si>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</si>
  <si>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</si>
  <si>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</si>
  <si>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</si>
  <si>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</si>
  <si>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</si>
  <si>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</si>
  <si>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</si>
  <si>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</si>
  <si>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</si>
  <si>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</si>
  <si>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</si>
  <si>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</si>
  <si>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</si>
  <si>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</si>
  <si>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</si>
  <si>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</si>
  <si>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</si>
  <si>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</si>
  <si>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</si>
  <si>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</si>
  <si>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</si>
  <si>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</si>
  <si>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</si>
  <si>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</si>
  <si>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</si>
  <si>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</si>
  <si>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</si>
  <si>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</si>
  <si>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</si>
  <si>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</si>
  <si>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</si>
  <si>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</si>
  <si>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</si>
  <si>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</si>
  <si>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</si>
  <si>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</si>
  <si>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</si>
  <si>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</si>
  <si>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</si>
  <si>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</si>
  <si>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</si>
  <si>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</si>
  <si>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</si>
  <si>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</si>
  <si>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</si>
  <si>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</si>
  <si>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</si>
  <si>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</si>
  <si>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</si>
  <si>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</si>
  <si>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</si>
  <si>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</si>
  <si>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</si>
  <si>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</si>
  <si>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</si>
  <si>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</si>
  <si>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</si>
  <si>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</si>
  <si>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</si>
  <si>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</si>
  <si>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</si>
  <si>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</si>
  <si>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</si>
  <si>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</si>
  <si>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</si>
  <si>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</si>
  <si>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</si>
  <si>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</si>
  <si>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</si>
  <si>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</si>
  <si>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</si>
  <si>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</si>
  <si>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</si>
  <si>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</si>
  <si>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</si>
  <si>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</si>
  <si>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</si>
  <si>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</si>
  <si>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</si>
  <si>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</si>
  <si>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</si>
  <si>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</si>
  <si>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</si>
  <si>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</si>
  <si>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</si>
  <si>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</si>
  <si>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</si>
  <si>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</si>
  <si>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</si>
  <si>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</si>
  <si>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</si>
  <si>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</si>
  <si>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</si>
  <si>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</si>
  <si>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</si>
  <si>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</si>
  <si>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</si>
  <si>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</si>
  <si>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</si>
  <si>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</si>
  <si>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</si>
  <si>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</si>
  <si>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</si>
  <si>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</si>
  <si>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</si>
  <si>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</si>
  <si>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</si>
  <si>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</si>
  <si>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</si>
  <si>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</si>
  <si>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</si>
  <si>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</si>
  <si>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</si>
  <si>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</si>
  <si>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</si>
  <si>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</si>
  <si>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</si>
  <si>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</si>
  <si>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</si>
  <si>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</si>
  <si>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</si>
  <si>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</si>
  <si>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</si>
  <si>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</si>
  <si>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</si>
  <si>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</si>
  <si>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</si>
  <si>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</si>
  <si>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</si>
  <si>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</si>
  <si>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</si>
  <si>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</si>
  <si>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</si>
  <si>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</si>
  <si>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</si>
  <si>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</si>
  <si>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</si>
  <si>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</si>
  <si>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</si>
  <si>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</si>
  <si>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</si>
  <si>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</si>
  <si>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</si>
  <si>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</si>
  <si>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</si>
  <si>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</si>
  <si>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</si>
  <si>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</si>
  <si>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</si>
  <si>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</si>
  <si>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</si>
  <si>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</si>
  <si>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</si>
  <si>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</si>
  <si>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</si>
  <si>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</si>
  <si>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</si>
  <si>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</si>
  <si>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</si>
  <si>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</si>
  <si>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</si>
  <si>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</si>
  <si>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</si>
  <si>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</si>
  <si>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</si>
  <si>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</si>
  <si>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</si>
  <si>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</si>
  <si>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</si>
  <si>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</si>
  <si>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</si>
  <si>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</si>
  <si>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</si>
  <si>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</si>
  <si>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</si>
  <si>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</si>
  <si>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</si>
  <si>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</si>
  <si>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</si>
  <si>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</si>
  <si>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</si>
  <si>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</si>
  <si>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</si>
  <si>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</si>
  <si>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</si>
  <si>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</si>
  <si>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</si>
  <si>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</si>
  <si>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</si>
  <si>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</si>
  <si>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</si>
  <si>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</si>
  <si>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</si>
  <si>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</si>
  <si>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</si>
  <si>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</si>
  <si>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</si>
  <si>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</si>
  <si>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</si>
  <si>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</si>
  <si>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</si>
  <si>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</si>
  <si>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</si>
  <si>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</si>
  <si>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</si>
  <si>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</si>
  <si>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</si>
  <si>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</si>
  <si>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</si>
  <si>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</si>
  <si>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</si>
  <si>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</si>
  <si>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PT_NETS_LIST</t>
  </si>
  <si>
    <t>Республика Дагестан</t>
  </si>
  <si>
    <t>53</t>
  </si>
  <si>
    <t>Республика Ингушетия</t>
  </si>
  <si>
    <t>TERRITORY_ID</t>
  </si>
  <si>
    <t>5111111111111</t>
  </si>
  <si>
    <t>начинать только с 2, остальное по умолчанию</t>
  </si>
  <si>
    <t>54</t>
  </si>
  <si>
    <t>Республика Калмыкия</t>
  </si>
  <si>
    <t>DIFFERENTIATION_ID</t>
  </si>
  <si>
    <t>511111111111111111111</t>
  </si>
  <si>
    <t>55</t>
  </si>
  <si>
    <t>Республика Карелия</t>
  </si>
  <si>
    <t>IP_ID</t>
  </si>
  <si>
    <t>5111111111111111111111111</t>
  </si>
  <si>
    <t>56</t>
  </si>
  <si>
    <t>Республика Коми</t>
  </si>
  <si>
    <t>начинать только с 30, остальное по умолчанию</t>
  </si>
  <si>
    <t>57</t>
  </si>
  <si>
    <t>PT_DIAMETERS_LIST</t>
  </si>
  <si>
    <t>Республика Крым</t>
  </si>
  <si>
    <t>VDET_ID</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</si>
  <si>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</si>
  <si>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</si>
  <si>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</si>
  <si>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</si>
  <si>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</si>
  <si>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</si>
  <si>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</si>
  <si>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</si>
  <si>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</si>
  <si>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</si>
  <si>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</si>
  <si>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</si>
  <si>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</si>
  <si>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</si>
  <si>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</si>
  <si>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</si>
  <si>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</si>
  <si>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</si>
  <si>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</si>
  <si>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</si>
  <si>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</si>
  <si>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</si>
  <si>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</si>
  <si>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</si>
  <si>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</si>
  <si>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</si>
  <si>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</si>
  <si>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</si>
  <si>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</si>
  <si>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</si>
  <si>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</si>
  <si>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</si>
  <si>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</si>
  <si>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</si>
  <si>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</si>
  <si>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</si>
  <si>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</si>
  <si>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</si>
  <si>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</si>
  <si>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</si>
  <si>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</si>
  <si>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</si>
  <si>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</si>
  <si>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</si>
  <si>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</si>
  <si>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</si>
  <si>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</si>
  <si>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</si>
  <si>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</si>
  <si>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</si>
  <si>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</si>
  <si>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</si>
  <si>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</si>
  <si>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</si>
  <si>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</si>
  <si>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</si>
  <si>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</si>
  <si>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</si>
  <si>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</si>
  <si>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</si>
  <si>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</si>
  <si>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</si>
  <si>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</si>
  <si>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</si>
  <si>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</si>
  <si>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</si>
  <si>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</si>
  <si>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</si>
  <si>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</si>
  <si>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</si>
  <si>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</si>
  <si>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</si>
  <si>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</si>
  <si>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</si>
  <si>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</si>
  <si>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</si>
  <si>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</si>
  <si>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</si>
  <si>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</si>
  <si>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</si>
  <si>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</si>
  <si>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</si>
  <si>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</si>
  <si>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</si>
  <si>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</si>
  <si>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</si>
  <si>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</si>
  <si>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</si>
  <si>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</si>
  <si>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</si>
  <si>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</si>
  <si>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</si>
  <si>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</si>
  <si>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</si>
  <si>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</si>
  <si>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</si>
  <si>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</si>
  <si>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</si>
  <si>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</si>
  <si>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</si>
  <si>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</si>
  <si>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</si>
  <si>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</si>
  <si>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</si>
  <si>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</si>
  <si>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</si>
  <si>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</si>
  <si>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</si>
  <si>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</si>
  <si>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</si>
  <si>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</si>
  <si>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</si>
  <si>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</si>
  <si>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</si>
  <si>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</si>
  <si>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</si>
  <si>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</si>
  <si>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</si>
  <si>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</si>
  <si>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</si>
  <si>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</si>
  <si>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</si>
  <si>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</si>
  <si>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</si>
  <si>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</si>
  <si>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</si>
  <si>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</si>
  <si>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</si>
  <si>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</si>
  <si>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</si>
  <si>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</si>
  <si>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</si>
  <si>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</si>
  <si>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</si>
  <si>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</si>
  <si>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</si>
  <si>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</si>
  <si>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</si>
  <si>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</si>
  <si>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</si>
  <si>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</si>
  <si>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</si>
  <si>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</si>
  <si>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</si>
  <si>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</si>
  <si>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</si>
  <si>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</si>
  <si>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</si>
  <si>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</si>
  <si>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</si>
  <si>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</si>
  <si>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</si>
  <si>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</si>
  <si>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</si>
  <si>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</si>
  <si>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</si>
  <si>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</si>
  <si>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</si>
  <si>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</si>
  <si>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</si>
  <si>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</si>
  <si>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</si>
  <si>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</si>
  <si>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</si>
  <si>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</si>
  <si>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</si>
  <si>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</si>
  <si>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</si>
  <si>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</si>
  <si>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</si>
  <si>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</si>
  <si>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</si>
  <si>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</si>
  <si>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</si>
  <si>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</si>
  <si>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</si>
  <si>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</si>
  <si>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</si>
  <si>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</si>
  <si>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</si>
  <si>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</si>
  <si>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</si>
  <si>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</si>
  <si>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</si>
  <si>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</si>
  <si>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</si>
  <si>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</si>
  <si>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</si>
  <si>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</si>
  <si>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</si>
  <si>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</si>
  <si>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</si>
  <si>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</si>
  <si>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</si>
  <si>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</si>
  <si>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</si>
  <si>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</si>
  <si>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</si>
  <si>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</si>
  <si>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</si>
  <si>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</si>
  <si>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</si>
  <si>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</si>
  <si>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</si>
  <si>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</si>
  <si>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</si>
  <si>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</si>
  <si>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</si>
  <si>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</si>
  <si>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</si>
  <si>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</si>
  <si>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</si>
  <si>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</si>
  <si>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</si>
  <si>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</si>
  <si>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</si>
  <si>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</si>
  <si>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</si>
  <si>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</si>
  <si>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</si>
  <si>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</si>
  <si>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</si>
  <si>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</si>
  <si>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</si>
  <si>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</si>
  <si>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</si>
  <si>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</si>
  <si>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</si>
  <si>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</si>
  <si>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</si>
  <si>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</si>
  <si>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</si>
  <si>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</si>
  <si>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</si>
  <si>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</si>
  <si>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</si>
  <si>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</si>
  <si>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</si>
  <si>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</si>
  <si>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</si>
  <si>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</si>
  <si>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</si>
  <si>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</si>
  <si>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</si>
  <si>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</si>
  <si>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</si>
  <si>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</si>
  <si>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</si>
  <si>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</si>
  <si>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</si>
  <si>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</si>
  <si>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</si>
  <si>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</si>
  <si>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</si>
  <si>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</si>
  <si>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</si>
  <si>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</si>
  <si>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</si>
  <si>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</si>
  <si>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</si>
  <si>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</si>
  <si>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</si>
  <si>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</si>
  <si>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</si>
  <si>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</si>
  <si>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</si>
  <si>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</si>
  <si>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</si>
  <si>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</si>
  <si>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</si>
  <si>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</si>
  <si>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</si>
  <si>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</si>
  <si>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</si>
  <si>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</si>
  <si>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</si>
  <si>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</si>
  <si>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</si>
  <si>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</si>
  <si>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</si>
  <si>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</si>
  <si>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</si>
  <si>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</si>
  <si>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</si>
  <si>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</si>
  <si>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</si>
  <si>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</si>
  <si>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</si>
  <si>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</si>
  <si>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</si>
  <si>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</si>
  <si>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</si>
  <si>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</si>
  <si>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</si>
  <si>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</si>
  <si>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</si>
  <si>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</si>
  <si>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</si>
  <si>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</si>
  <si>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</si>
  <si>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</si>
  <si>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</si>
  <si>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</si>
  <si>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</si>
  <si>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</si>
  <si>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</si>
  <si>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</si>
  <si>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</si>
  <si>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</si>
  <si>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</si>
  <si>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</si>
  <si>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</si>
  <si>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</si>
  <si>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</si>
  <si>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</si>
  <si>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</si>
  <si>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</si>
  <si>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</si>
  <si>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</si>
  <si>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</si>
  <si>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</si>
  <si>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</si>
  <si>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</si>
  <si>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</si>
  <si>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</si>
  <si>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</si>
  <si>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</si>
  <si>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</si>
  <si>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</si>
  <si>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</si>
  <si>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</si>
  <si>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</si>
  <si>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</si>
  <si>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</si>
  <si>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</si>
  <si>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</si>
  <si>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</si>
  <si>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</si>
  <si>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</si>
  <si>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</si>
  <si>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</si>
  <si>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</si>
  <si>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</si>
  <si>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</si>
  <si>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</si>
  <si>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</si>
  <si>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</si>
  <si>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</si>
  <si>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</si>
  <si>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</si>
  <si>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</si>
  <si>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</si>
  <si>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</si>
  <si>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</si>
  <si>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</si>
  <si>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</si>
  <si>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</si>
  <si>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</si>
  <si>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</si>
  <si>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</si>
  <si>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</si>
  <si>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</si>
  <si>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</si>
  <si>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</si>
  <si>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</si>
  <si>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</si>
  <si>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</si>
  <si>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</si>
  <si>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</si>
  <si>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</si>
  <si>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</si>
  <si>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</si>
  <si>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</si>
  <si>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</si>
  <si>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</si>
  <si>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</si>
  <si>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</si>
  <si>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</si>
  <si>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</si>
  <si>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</si>
  <si>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</si>
  <si>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</si>
  <si>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</si>
  <si>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</si>
  <si>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</si>
  <si>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</si>
  <si>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</si>
  <si>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</si>
  <si>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</si>
  <si>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</si>
  <si>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</si>
  <si>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</si>
  <si>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</si>
  <si>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</si>
  <si>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</si>
  <si>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</si>
  <si>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</si>
  <si>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</si>
  <si>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</si>
  <si>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</si>
  <si>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</si>
  <si>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</si>
  <si>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</si>
  <si>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</si>
  <si>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</si>
  <si>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</si>
  <si>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</si>
  <si>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</si>
  <si>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</si>
  <si>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</si>
  <si>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</si>
  <si>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</si>
  <si>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</si>
  <si>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</si>
  <si>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</si>
  <si>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</si>
  <si>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</si>
  <si>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</si>
  <si>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</si>
  <si>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</si>
  <si>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</si>
  <si>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</si>
  <si>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</si>
  <si>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</si>
  <si>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</si>
  <si>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</si>
  <si>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</si>
  <si>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</si>
  <si>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</si>
  <si>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</si>
  <si>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</si>
  <si>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</si>
  <si>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</si>
  <si>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</si>
  <si>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</si>
  <si>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</si>
  <si>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</si>
  <si>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</si>
  <si>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</si>
  <si>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</si>
  <si>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</si>
  <si>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</si>
  <si>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</si>
  <si>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</si>
  <si>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</si>
  <si>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</si>
  <si>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</si>
  <si>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</si>
  <si>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</si>
  <si>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</si>
  <si>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</si>
  <si>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</si>
  <si>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</si>
  <si>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</si>
  <si>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</si>
  <si>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</si>
  <si>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</si>
  <si>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</si>
  <si>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</si>
  <si>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</si>
  <si>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</si>
  <si>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</si>
  <si>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</si>
  <si>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</si>
  <si>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</si>
  <si>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</si>
  <si>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</si>
  <si>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</si>
  <si>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</si>
  <si>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</si>
  <si>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</si>
  <si>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</si>
  <si>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</si>
  <si>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</si>
  <si>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</si>
  <si>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</si>
  <si>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</si>
  <si>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</si>
  <si>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</si>
  <si>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</si>
  <si>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</si>
  <si>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</si>
  <si>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</si>
  <si>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</si>
  <si>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</si>
  <si>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</si>
  <si>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</si>
  <si>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</si>
  <si>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</si>
  <si>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</si>
  <si>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</si>
  <si>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</si>
  <si>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</si>
  <si>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</si>
  <si>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</si>
  <si>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</si>
  <si>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</si>
  <si>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</si>
  <si>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</si>
  <si>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</si>
  <si>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</si>
  <si>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</si>
  <si>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</si>
  <si>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</si>
  <si>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</si>
  <si>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</si>
  <si>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</si>
  <si>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</si>
  <si>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</si>
  <si>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</si>
  <si>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</si>
  <si>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</si>
  <si>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</si>
  <si>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</si>
  <si>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</si>
  <si>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</si>
  <si>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</si>
  <si>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</si>
  <si>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</si>
  <si>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</si>
  <si>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</si>
  <si>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</si>
  <si>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</si>
  <si>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</si>
  <si>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</si>
  <si>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</si>
  <si>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</si>
  <si>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</si>
  <si>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</si>
  <si>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</si>
  <si>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</si>
  <si>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</si>
  <si>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</si>
  <si>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</si>
  <si>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</si>
  <si>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2599</t>
  </si>
  <si>
    <t>30806679</t>
  </si>
  <si>
    <t>АО "ГУ ЖКХ"</t>
  </si>
  <si>
    <t>5116000922</t>
  </si>
  <si>
    <t>695245001</t>
  </si>
  <si>
    <t>30335229</t>
  </si>
  <si>
    <t>770401001</t>
  </si>
  <si>
    <t>26375055</t>
  </si>
  <si>
    <t>АО "Кардымовский молочноконсервный комбинат"</t>
  </si>
  <si>
    <t>6708000520</t>
  </si>
  <si>
    <t>670801001</t>
  </si>
  <si>
    <t>26381508</t>
  </si>
  <si>
    <t>АО "Мосводоканал"</t>
  </si>
  <si>
    <t>7701984274</t>
  </si>
  <si>
    <t>770101001</t>
  </si>
  <si>
    <t>28426863</t>
  </si>
  <si>
    <t>АО "ОВРК"</t>
  </si>
  <si>
    <t>7702718564</t>
  </si>
  <si>
    <t>770901001</t>
  </si>
  <si>
    <t>26375074</t>
  </si>
  <si>
    <t>АО "Олакс-Катынь"</t>
  </si>
  <si>
    <t>6714024061</t>
  </si>
  <si>
    <t>671401001</t>
  </si>
  <si>
    <t>26321985</t>
  </si>
  <si>
    <t>АО "Пирамида"</t>
  </si>
  <si>
    <t>6731009850</t>
  </si>
  <si>
    <t>26838066</t>
  </si>
  <si>
    <t>АО "РЭУ"</t>
  </si>
  <si>
    <t>7714783092</t>
  </si>
  <si>
    <t>26381270</t>
  </si>
  <si>
    <t>АО "Рославльский ВРЗ"</t>
  </si>
  <si>
    <t>6725012043</t>
  </si>
  <si>
    <t>672501001</t>
  </si>
  <si>
    <t>26375105</t>
  </si>
  <si>
    <t>АО "Смоленский ДОК"</t>
  </si>
  <si>
    <t>6729001349</t>
  </si>
  <si>
    <t>672901001</t>
  </si>
  <si>
    <t>26375106</t>
  </si>
  <si>
    <t>АО "Смоленский авиационный завод"</t>
  </si>
  <si>
    <t>6729001476</t>
  </si>
  <si>
    <t>672950001</t>
  </si>
  <si>
    <t>26360922</t>
  </si>
  <si>
    <t>АО ''МЗАТЭ-2'' филиал г. Вязьма</t>
  </si>
  <si>
    <t>7701105580</t>
  </si>
  <si>
    <t>31078976</t>
  </si>
  <si>
    <t>Войсковая часть 7459</t>
  </si>
  <si>
    <t>6730018361</t>
  </si>
  <si>
    <t>673001001</t>
  </si>
  <si>
    <t>11-04-2018 00:00:00</t>
  </si>
  <si>
    <t>26359846</t>
  </si>
  <si>
    <t>Вяземский завод железобетонных шпал - филиал ОАО "БетЭлТранс"</t>
  </si>
  <si>
    <t>7708669867</t>
  </si>
  <si>
    <t>672202001</t>
  </si>
  <si>
    <t>26359793</t>
  </si>
  <si>
    <t>ЗАО "Велижский леспромхоз"</t>
  </si>
  <si>
    <t>6701000810</t>
  </si>
  <si>
    <t>670101001</t>
  </si>
  <si>
    <t>26359854</t>
  </si>
  <si>
    <t>ЗАО "Гагаринконсервмолоко"</t>
  </si>
  <si>
    <t>6723000740</t>
  </si>
  <si>
    <t>672301001</t>
  </si>
  <si>
    <t>26836317</t>
  </si>
  <si>
    <t>ЗАО "Классен-РУС"</t>
  </si>
  <si>
    <t>7710241807</t>
  </si>
  <si>
    <t>771001001</t>
  </si>
  <si>
    <t>26359890</t>
  </si>
  <si>
    <t>ЗАО "Смоленская чулочная фабрика"</t>
  </si>
  <si>
    <t>6731008327</t>
  </si>
  <si>
    <t>27554214</t>
  </si>
  <si>
    <t>ЗАО трест "Смоленскагропромстрой"</t>
  </si>
  <si>
    <t>6731020250</t>
  </si>
  <si>
    <t>27793093</t>
  </si>
  <si>
    <t>ИП Граков А.А.</t>
  </si>
  <si>
    <t>672700060828</t>
  </si>
  <si>
    <t>27792951</t>
  </si>
  <si>
    <t>ИП Давудов Т.Д.</t>
  </si>
  <si>
    <t>672700004439</t>
  </si>
  <si>
    <t>27792962</t>
  </si>
  <si>
    <t>ИП Мягков С.А.</t>
  </si>
  <si>
    <t>672700070086</t>
  </si>
  <si>
    <t>27793105</t>
  </si>
  <si>
    <t>ИП Семенов И.Г.</t>
  </si>
  <si>
    <t>672700043999</t>
  </si>
  <si>
    <t>27793216</t>
  </si>
  <si>
    <t>ИП Семенова С.В.</t>
  </si>
  <si>
    <t>672701475737</t>
  </si>
  <si>
    <t>26359837</t>
  </si>
  <si>
    <t>МБОУ "Всходская СОШ имени М.В. Исаковского"</t>
  </si>
  <si>
    <t>6717002362</t>
  </si>
  <si>
    <t>671701001</t>
  </si>
  <si>
    <t>26359836</t>
  </si>
  <si>
    <t>МБОУ "Знаменская СОШ"</t>
  </si>
  <si>
    <t>6717002355</t>
  </si>
  <si>
    <t>26359801</t>
  </si>
  <si>
    <t>МБОУ Пржевальская СШ Демидовского района</t>
  </si>
  <si>
    <t>6703003172</t>
  </si>
  <si>
    <t>670301001</t>
  </si>
  <si>
    <t>31766667</t>
  </si>
  <si>
    <t>МБУ "Управление ДКХ Гагаринского района"</t>
  </si>
  <si>
    <t>6700021092</t>
  </si>
  <si>
    <t>670001001</t>
  </si>
  <si>
    <t>27-08-2024 00:00:00</t>
  </si>
  <si>
    <t>МИНИСТЕРСТВО ЖИЛИЩНО-КОММУНАЛЬНОГО ХОЗЯЙСТВА,ЭНЕРГЕТИКИ И ТАРИФНОЙ ПОЛИТИКИ СМОЛЕНСКОЙ ОБЛАСТИ</t>
  </si>
  <si>
    <t>6730029638</t>
  </si>
  <si>
    <t>26375064</t>
  </si>
  <si>
    <t>ММПКХ "Понизовское"</t>
  </si>
  <si>
    <t>6713000195</t>
  </si>
  <si>
    <t>671301001</t>
  </si>
  <si>
    <t>26359849</t>
  </si>
  <si>
    <t>МОУ "Семлевская средняя школа №1"</t>
  </si>
  <si>
    <t>6722012398</t>
  </si>
  <si>
    <t>672001001</t>
  </si>
  <si>
    <t>30948565</t>
  </si>
  <si>
    <t>МУП "Водоканал"</t>
  </si>
  <si>
    <t>6725031462</t>
  </si>
  <si>
    <t>26651857</t>
  </si>
  <si>
    <t>МУП "Горводоканал"</t>
  </si>
  <si>
    <t>6727016149</t>
  </si>
  <si>
    <t>672701001</t>
  </si>
  <si>
    <t>27572198</t>
  </si>
  <si>
    <t>МУП "Жилкомсервис"</t>
  </si>
  <si>
    <t>6712009692</t>
  </si>
  <si>
    <t>671201001</t>
  </si>
  <si>
    <t>26375084</t>
  </si>
  <si>
    <t>МУП "Игоревское коммунальное хозяйство"</t>
  </si>
  <si>
    <t>6719004157</t>
  </si>
  <si>
    <t>671901001</t>
  </si>
  <si>
    <t>26804289</t>
  </si>
  <si>
    <t>МУП "Источник"</t>
  </si>
  <si>
    <t>6712009484</t>
  </si>
  <si>
    <t>31357096</t>
  </si>
  <si>
    <t>МУП "Катынь"</t>
  </si>
  <si>
    <t>6714049612</t>
  </si>
  <si>
    <t>31471582</t>
  </si>
  <si>
    <t>МУП "Козино"</t>
  </si>
  <si>
    <t>6714050745</t>
  </si>
  <si>
    <t>671140100</t>
  </si>
  <si>
    <t>01-01-2021 00:00:00</t>
  </si>
  <si>
    <t>26359796</t>
  </si>
  <si>
    <t>МУП "Коммунальник"</t>
  </si>
  <si>
    <t>6701005400</t>
  </si>
  <si>
    <t>26375046</t>
  </si>
  <si>
    <t>6701005488</t>
  </si>
  <si>
    <t>26375087</t>
  </si>
  <si>
    <t>МУП "Коммунальщик"</t>
  </si>
  <si>
    <t>6720003292</t>
  </si>
  <si>
    <t>27-01-2025 00:00:00</t>
  </si>
  <si>
    <t>26375047</t>
  </si>
  <si>
    <t>6702002521</t>
  </si>
  <si>
    <t>670201001</t>
  </si>
  <si>
    <t>26375054</t>
  </si>
  <si>
    <t>6707003110</t>
  </si>
  <si>
    <t>670701001</t>
  </si>
  <si>
    <t>26375059</t>
  </si>
  <si>
    <t>6709004052</t>
  </si>
  <si>
    <t>670901001</t>
  </si>
  <si>
    <t>26375083</t>
  </si>
  <si>
    <t>6719004140</t>
  </si>
  <si>
    <t>26450466</t>
  </si>
  <si>
    <t>МУП "Коммунресурс"</t>
  </si>
  <si>
    <t>6701005745</t>
  </si>
  <si>
    <t>31657365</t>
  </si>
  <si>
    <t>МУП "Кощинское"</t>
  </si>
  <si>
    <t>6714053337</t>
  </si>
  <si>
    <t>30955537</t>
  </si>
  <si>
    <t>МУП "МКС"</t>
  </si>
  <si>
    <t>6725031448</t>
  </si>
  <si>
    <t>31357084</t>
  </si>
  <si>
    <t>МУП "Печерские коммунальные системы"</t>
  </si>
  <si>
    <t>6714049429</t>
  </si>
  <si>
    <t>01-10-2019 00:00:00</t>
  </si>
  <si>
    <t>26375065</t>
  </si>
  <si>
    <t>МУП "Руднятеплоэнерго"</t>
  </si>
  <si>
    <t>6713006253</t>
  </si>
  <si>
    <t>26359886</t>
  </si>
  <si>
    <t>МУП "Смоленсктеплосеть"</t>
  </si>
  <si>
    <t>6730020716</t>
  </si>
  <si>
    <t>31462937</t>
  </si>
  <si>
    <t>МУП "Сычевское управление ЖКХ"</t>
  </si>
  <si>
    <t>6722035839</t>
  </si>
  <si>
    <t>672201001</t>
  </si>
  <si>
    <t>30933754</t>
  </si>
  <si>
    <t>МУП "ТЭР"</t>
  </si>
  <si>
    <t>6727028610</t>
  </si>
  <si>
    <t>01-07-2017 00:00:00</t>
  </si>
  <si>
    <t>31474407</t>
  </si>
  <si>
    <t>МУП "Талашкино"</t>
  </si>
  <si>
    <t>6714051347</t>
  </si>
  <si>
    <t>30869683</t>
  </si>
  <si>
    <t>МУП "Теплоснаб"</t>
  </si>
  <si>
    <t>6732118629</t>
  </si>
  <si>
    <t>673201001</t>
  </si>
  <si>
    <t>01-11-2016 00:00:00</t>
  </si>
  <si>
    <t>26446403</t>
  </si>
  <si>
    <t>МУП "Управление коммунального хозяйства"</t>
  </si>
  <si>
    <t>6705004125</t>
  </si>
  <si>
    <t>670501001</t>
  </si>
  <si>
    <t>26375085</t>
  </si>
  <si>
    <t>МУП "Шумячское РПО КХ"</t>
  </si>
  <si>
    <t>6720000277</t>
  </si>
  <si>
    <t>26375048</t>
  </si>
  <si>
    <t>МУП "Янтарь"</t>
  </si>
  <si>
    <t>6703004472</t>
  </si>
  <si>
    <t>28830507</t>
  </si>
  <si>
    <t>МУП ЖКХ "Надежда"</t>
  </si>
  <si>
    <t>6714035433</t>
  </si>
  <si>
    <t>26375067</t>
  </si>
  <si>
    <t>МУП КХ "Казимирово"</t>
  </si>
  <si>
    <t>6713007017</t>
  </si>
  <si>
    <t>26446423</t>
  </si>
  <si>
    <t>МУП КХ "Смолиговка"</t>
  </si>
  <si>
    <t>6713008934</t>
  </si>
  <si>
    <t>26375066</t>
  </si>
  <si>
    <t>МУП КХ "Чистик"</t>
  </si>
  <si>
    <t>6713006503</t>
  </si>
  <si>
    <t>26382739</t>
  </si>
  <si>
    <t>МУП службы "Заказчик" по ЖКУ</t>
  </si>
  <si>
    <t>6703003398</t>
  </si>
  <si>
    <t>26375063</t>
  </si>
  <si>
    <t>МУУП "Прудковский ЖЭУ"</t>
  </si>
  <si>
    <t>6712007938</t>
  </si>
  <si>
    <t>01-10-2021 00:00:00</t>
  </si>
  <si>
    <t>26375075</t>
  </si>
  <si>
    <t>МУЭП "Корохоткинское"</t>
  </si>
  <si>
    <t>6714026750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</si>
  <si>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</si>
  <si>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</si>
  <si>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</si>
  <si>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</si>
  <si>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26359865</t>
  </si>
  <si>
    <t>ОАО "Авангард"</t>
  </si>
  <si>
    <t>6726504312</t>
  </si>
  <si>
    <t>672601001</t>
  </si>
  <si>
    <t>26359847</t>
  </si>
  <si>
    <t>ОАО "Вяземский машиностроительный завод"</t>
  </si>
  <si>
    <t>6722003019</t>
  </si>
  <si>
    <t>26359853</t>
  </si>
  <si>
    <t>ОАО "Гагаринский хлебозавод"</t>
  </si>
  <si>
    <t>6723000613</t>
  </si>
  <si>
    <t>26359844</t>
  </si>
  <si>
    <t>ОАО "Завод ЖБИ"</t>
  </si>
  <si>
    <t>6722000040</t>
  </si>
  <si>
    <t>26381276</t>
  </si>
  <si>
    <t>ОАО "Сафоновомясопродукт"</t>
  </si>
  <si>
    <t>6726001213</t>
  </si>
  <si>
    <t>26446474</t>
  </si>
  <si>
    <t>ОАО "Смоленскоблгаз"</t>
  </si>
  <si>
    <t>6731011930</t>
  </si>
  <si>
    <t>673110100</t>
  </si>
  <si>
    <t>26321981</t>
  </si>
  <si>
    <t>ОАО НПП "Техноприбор"</t>
  </si>
  <si>
    <t>6730003580</t>
  </si>
  <si>
    <t>26359885</t>
  </si>
  <si>
    <t>ОГБУ "Хозяйственное управление Администрации Смоленской области"</t>
  </si>
  <si>
    <t>6730011743</t>
  </si>
  <si>
    <t>26359800</t>
  </si>
  <si>
    <t>ОГБУЗ "Демидовская ЦРБ"</t>
  </si>
  <si>
    <t>6703000887</t>
  </si>
  <si>
    <t>28266261</t>
  </si>
  <si>
    <t>ОГУЭПП "Смоленскоблкоммунэнерго"</t>
  </si>
  <si>
    <t>6731000014</t>
  </si>
  <si>
    <t>31444331</t>
  </si>
  <si>
    <t>ООО "АтомТеплоЭлектроСеть"</t>
  </si>
  <si>
    <t>7705923730</t>
  </si>
  <si>
    <t>672543002</t>
  </si>
  <si>
    <t>31479744</t>
  </si>
  <si>
    <t>ООО "Гагаринское ЖЭУ"</t>
  </si>
  <si>
    <t>6723021050</t>
  </si>
  <si>
    <t>30377001</t>
  </si>
  <si>
    <t>ООО "Газтеплосервис"</t>
  </si>
  <si>
    <t>6732060305</t>
  </si>
  <si>
    <t>26375114</t>
  </si>
  <si>
    <t>ООО "Гнездово"</t>
  </si>
  <si>
    <t>6731053369</t>
  </si>
  <si>
    <t>28128739</t>
  </si>
  <si>
    <t>ООО "Городок"</t>
  </si>
  <si>
    <t>6727014102</t>
  </si>
  <si>
    <t>28976029</t>
  </si>
  <si>
    <t>ООО "Городские инженерные сети"</t>
  </si>
  <si>
    <t>6730007352</t>
  </si>
  <si>
    <t>26375110</t>
  </si>
  <si>
    <t>ООО "Дева"</t>
  </si>
  <si>
    <t>6730026411</t>
  </si>
  <si>
    <t>27792237</t>
  </si>
  <si>
    <t>ООО "Дивинка"</t>
  </si>
  <si>
    <t>6712009090</t>
  </si>
  <si>
    <t>26836322</t>
  </si>
  <si>
    <t>ООО "Динамик"</t>
  </si>
  <si>
    <t>6723023096</t>
  </si>
  <si>
    <t>27554141</t>
  </si>
  <si>
    <t>ООО "Домино"</t>
  </si>
  <si>
    <t>6730033828</t>
  </si>
  <si>
    <t>28497180</t>
  </si>
  <si>
    <t>ООО "Дорогобужская ТЭЦ"</t>
  </si>
  <si>
    <t>6726018979</t>
  </si>
  <si>
    <t>27792202</t>
  </si>
  <si>
    <t>ООО "Жилищник"</t>
  </si>
  <si>
    <t>6723023145</t>
  </si>
  <si>
    <t>30901756</t>
  </si>
  <si>
    <t>ООО "Игоревский деревообрабатывающий комбинат"</t>
  </si>
  <si>
    <t>6726019740</t>
  </si>
  <si>
    <t>31254108</t>
  </si>
  <si>
    <t>ООО "Игоревский завод древесностружечных плит"</t>
  </si>
  <si>
    <t>6726024147</t>
  </si>
  <si>
    <t>01-01-2019 00:00:00</t>
  </si>
  <si>
    <t>31239833</t>
  </si>
  <si>
    <t>ООО "Исток"</t>
  </si>
  <si>
    <t>6714047005</t>
  </si>
  <si>
    <t>28814572</t>
  </si>
  <si>
    <t>ООО "КардымовоТеплоСети"</t>
  </si>
  <si>
    <t>6727050608</t>
  </si>
  <si>
    <t>26375079</t>
  </si>
  <si>
    <t>ООО "Коммунальное хозяйство"</t>
  </si>
  <si>
    <t>6716002867</t>
  </si>
  <si>
    <t>671601001</t>
  </si>
  <si>
    <t>26446431</t>
  </si>
  <si>
    <t>ООО "Коммунальные системы "Гнездово"</t>
  </si>
  <si>
    <t>6714028387</t>
  </si>
  <si>
    <t>26375077</t>
  </si>
  <si>
    <t>ООО "Коммунальные системы "Кощино"</t>
  </si>
  <si>
    <t>6714028323</t>
  </si>
  <si>
    <t>26445810</t>
  </si>
  <si>
    <t>ООО "Коммунальные системы "Пригорское"</t>
  </si>
  <si>
    <t>6714028370</t>
  </si>
  <si>
    <t>31250398</t>
  </si>
  <si>
    <t>ООО "Коммунальные системы"</t>
  </si>
  <si>
    <t>6732158935</t>
  </si>
  <si>
    <t>26359823</t>
  </si>
  <si>
    <t>ООО "Коммунальные системы" Жуково"</t>
  </si>
  <si>
    <t>6714028355</t>
  </si>
  <si>
    <t>26359814</t>
  </si>
  <si>
    <t>ООО "Коммунальщик"</t>
  </si>
  <si>
    <t>6712008603</t>
  </si>
  <si>
    <t>26359835</t>
  </si>
  <si>
    <t>6716002747</t>
  </si>
  <si>
    <t>28063768</t>
  </si>
  <si>
    <t>ООО "Коммунальщик-Талашкино"</t>
  </si>
  <si>
    <t>6714033482</t>
  </si>
  <si>
    <t>26804319</t>
  </si>
  <si>
    <t>ООО "Маяк"</t>
  </si>
  <si>
    <t>6723018956</t>
  </si>
  <si>
    <t>26559848</t>
  </si>
  <si>
    <t>ООО "Оптимальная тепловая энергетика"</t>
  </si>
  <si>
    <t>6731078902</t>
  </si>
  <si>
    <t>27792989</t>
  </si>
  <si>
    <t>ООО "Осень"</t>
  </si>
  <si>
    <t>6727000597</t>
  </si>
  <si>
    <t>26517392</t>
  </si>
  <si>
    <t>ООО "Промконсервы"</t>
  </si>
  <si>
    <t>7728276053</t>
  </si>
  <si>
    <t>28422508</t>
  </si>
  <si>
    <t>ООО "Радуга"</t>
  </si>
  <si>
    <t>6712009029</t>
  </si>
  <si>
    <t>31518963</t>
  </si>
  <si>
    <t>ООО "Ремонтно-строительная компания"</t>
  </si>
  <si>
    <t>6732135110</t>
  </si>
  <si>
    <t>27865753</t>
  </si>
  <si>
    <t>ООО "Ремонтное эксплуатационное предприятие"</t>
  </si>
  <si>
    <t>6726011050</t>
  </si>
  <si>
    <t>31730440</t>
  </si>
  <si>
    <t>ООО "СТК" Энергосервис"</t>
  </si>
  <si>
    <t>6732176290</t>
  </si>
  <si>
    <t>31239827</t>
  </si>
  <si>
    <t>ООО "СТРОЙ инвест"</t>
  </si>
  <si>
    <t>6732075340</t>
  </si>
  <si>
    <t>26447429</t>
  </si>
  <si>
    <t>ООО "Санаторий имени Пржевальского"</t>
  </si>
  <si>
    <t>6713010041</t>
  </si>
  <si>
    <t>26446443</t>
  </si>
  <si>
    <t>ООО "Санаторий-профилакторий "Кристалл"</t>
  </si>
  <si>
    <t>6714021857</t>
  </si>
  <si>
    <t>31309379</t>
  </si>
  <si>
    <t>ООО "СмолАТП"</t>
  </si>
  <si>
    <t>6732130048</t>
  </si>
  <si>
    <t>30373599</t>
  </si>
  <si>
    <t>ООО "Смоленская биоэнергетическая компания"</t>
  </si>
  <si>
    <t>6732063095</t>
  </si>
  <si>
    <t>26445778</t>
  </si>
  <si>
    <t>ООО "Стимул"</t>
  </si>
  <si>
    <t>6722021152</t>
  </si>
  <si>
    <t>26446038</t>
  </si>
  <si>
    <t>ООО "Стодолищенский ЖЭУ"</t>
  </si>
  <si>
    <t>6712009050</t>
  </si>
  <si>
    <t>26359831</t>
  </si>
  <si>
    <t>ООО "Сычевский электродный завод"</t>
  </si>
  <si>
    <t>6715003635</t>
  </si>
  <si>
    <t>671501001</t>
  </si>
  <si>
    <t>31239821</t>
  </si>
  <si>
    <t>ООО "Тепло людям. Велиж"</t>
  </si>
  <si>
    <t>6732163237</t>
  </si>
  <si>
    <t>01-10-2018 00:00:00</t>
  </si>
  <si>
    <t>31357079</t>
  </si>
  <si>
    <t>ООО "Тепло людям. Смоленск"</t>
  </si>
  <si>
    <t>6732181028</t>
  </si>
  <si>
    <t>27574195</t>
  </si>
  <si>
    <t>ООО "ТеплоЭнергетическое предприятие"</t>
  </si>
  <si>
    <t>6722024516</t>
  </si>
  <si>
    <t>27792180</t>
  </si>
  <si>
    <t>ООО "Теплосервис"</t>
  </si>
  <si>
    <t>6722027676</t>
  </si>
  <si>
    <t>28128668</t>
  </si>
  <si>
    <t>ООО "Теплострой-Сервис+"</t>
  </si>
  <si>
    <t>7727785996</t>
  </si>
  <si>
    <t>772701001</t>
  </si>
  <si>
    <t>31401306</t>
  </si>
  <si>
    <t>ООО "Теплоэнергосервис"</t>
  </si>
  <si>
    <t>6732162184</t>
  </si>
  <si>
    <t>31397385</t>
  </si>
  <si>
    <t>ООО "Технострой""</t>
  </si>
  <si>
    <t>6732139280</t>
  </si>
  <si>
    <t>02-10-2019 00:00:00</t>
  </si>
  <si>
    <t>31544308</t>
  </si>
  <si>
    <t>ООО "Транзит-С"</t>
  </si>
  <si>
    <t>6729017902</t>
  </si>
  <si>
    <t>26447623</t>
  </si>
  <si>
    <t>ООО "Управляющая компания"</t>
  </si>
  <si>
    <t>6731058705</t>
  </si>
  <si>
    <t>26375111</t>
  </si>
  <si>
    <t>ООО "Фабрика "Шарм"</t>
  </si>
  <si>
    <t>6730061529</t>
  </si>
  <si>
    <t>26359856</t>
  </si>
  <si>
    <t>ООО "Факел"</t>
  </si>
  <si>
    <t>6723005202</t>
  </si>
  <si>
    <t>26525453</t>
  </si>
  <si>
    <t>ООО "Электро-Сетевая Компания "СИТИ"</t>
  </si>
  <si>
    <t>7730587063</t>
  </si>
  <si>
    <t>773001001</t>
  </si>
  <si>
    <t>28454156</t>
  </si>
  <si>
    <t>ООО "Энергетическая компания №1"</t>
  </si>
  <si>
    <t>6732053869</t>
  </si>
  <si>
    <t>28058659</t>
  </si>
  <si>
    <t>ООО "Энергоинвест"</t>
  </si>
  <si>
    <t>6732035997</t>
  </si>
  <si>
    <t>31368700</t>
  </si>
  <si>
    <t>ООО "ЯМЗ"</t>
  </si>
  <si>
    <t>6623122216</t>
  </si>
  <si>
    <t>26381282</t>
  </si>
  <si>
    <t>ООО "Ярцевский хлопчатобумажный комбинат"</t>
  </si>
  <si>
    <t>6727014889</t>
  </si>
  <si>
    <t>31391614</t>
  </si>
  <si>
    <t>ООО УК "Жилсервис плюс"</t>
  </si>
  <si>
    <t>6726023753</t>
  </si>
  <si>
    <t>01-01-2020 00:00:00</t>
  </si>
  <si>
    <t>26381227</t>
  </si>
  <si>
    <t>ПАО "Дорогобуж"</t>
  </si>
  <si>
    <t>6704000505</t>
  </si>
  <si>
    <t>670401001</t>
  </si>
  <si>
    <t>26652138</t>
  </si>
  <si>
    <t>ПАО "Ростелеком"</t>
  </si>
  <si>
    <t>7707049388</t>
  </si>
  <si>
    <t>673243001</t>
  </si>
  <si>
    <t>28043590</t>
  </si>
  <si>
    <t>Ремонтное локомотивное депо Смоленск Московской дирекции по ремонту тягового подвижного состава структурного подразделения Дирекции по ремонту тягового подвижного состава - филиала ОАО "РЖД"</t>
  </si>
  <si>
    <t>672502001</t>
  </si>
  <si>
    <t>26517025</t>
  </si>
  <si>
    <t>СОГБУ "Жуковский психоневрологический интернат с обособленным спецотделением"</t>
  </si>
  <si>
    <t>6714005580</t>
  </si>
  <si>
    <t>28049264</t>
  </si>
  <si>
    <t>СОГБУ "Руднянский психоневрологический интернат"</t>
  </si>
  <si>
    <t>6713000597</t>
  </si>
  <si>
    <t>26359857</t>
  </si>
  <si>
    <t>СПКХ колхоз-племзавод "Радищево"</t>
  </si>
  <si>
    <t>6723009292</t>
  </si>
  <si>
    <t>26381526</t>
  </si>
  <si>
    <t>Смоленская дистанция гражданских сооружений Московской дирекции по эксплуатации зданий и сооружений - структурного подразделения Московской железнй дороги - филиала ОАО "РЖД"</t>
  </si>
  <si>
    <t>770845051</t>
  </si>
  <si>
    <t>31090849</t>
  </si>
  <si>
    <t>ФГБУ "ЦЖКУ по ЗВО" МО РФ жилищно-эксплуатационный (коммунальный) отдел №1 г. Смоленск</t>
  </si>
  <si>
    <t>7729314745</t>
  </si>
  <si>
    <t>28148999</t>
  </si>
  <si>
    <t>ФГКУ  "Логистический центр № 62"</t>
  </si>
  <si>
    <t>6729018350</t>
  </si>
  <si>
    <t>26517394</t>
  </si>
  <si>
    <t>ФГУП "РТРС" филиал "Смоленский ОРТПЦ"</t>
  </si>
  <si>
    <t>7717127211</t>
  </si>
  <si>
    <t>673002001</t>
  </si>
  <si>
    <t>28063729</t>
  </si>
  <si>
    <t>ФГУП СПО "Аналитприбор"</t>
  </si>
  <si>
    <t>6731002766</t>
  </si>
  <si>
    <t>673150001</t>
  </si>
  <si>
    <t>26375100</t>
  </si>
  <si>
    <t>ФКУ ИК-2 УФСИН России по Смоленской области</t>
  </si>
  <si>
    <t>6726007504</t>
  </si>
  <si>
    <t>26640185</t>
  </si>
  <si>
    <t>ФКУ ИК-3 УФСИН России по Смоленской области</t>
  </si>
  <si>
    <t>6726007487</t>
  </si>
  <si>
    <t>26359822</t>
  </si>
  <si>
    <t>ФКУЗ "Санаторий "Борок" МВД России"</t>
  </si>
  <si>
    <t>6714003583</t>
  </si>
  <si>
    <t>26361217</t>
  </si>
  <si>
    <t>Филиал "Смоленская ГРЭС" ПАО "Юнипро"</t>
  </si>
  <si>
    <t>8602067092</t>
  </si>
  <si>
    <t>670502001</t>
  </si>
  <si>
    <t>26447259</t>
  </si>
  <si>
    <t>Филиал АО "Квадра" - "Смоленская генерация"</t>
  </si>
  <si>
    <t>6829012680</t>
  </si>
  <si>
    <t>26445955</t>
  </si>
  <si>
    <t>Филиал АО "Концерн Росэнергоатом" "Смоленская атомная станция"</t>
  </si>
  <si>
    <t>7721632827</t>
  </si>
  <si>
    <t>672443001</t>
  </si>
  <si>
    <t>31357916</t>
  </si>
  <si>
    <t>Филиал ФГБУ "ЦЖКУ" Минобороны России (по ЗВО) ЖКС №1 (г. Смоленск)</t>
  </si>
  <si>
    <t>673245006</t>
  </si>
  <si>
    <t>30941480</t>
  </si>
  <si>
    <t>Филиал ФГБУ "ЦЖКУ" Минобороны России (по МВО)</t>
  </si>
  <si>
    <t>503243002</t>
  </si>
  <si>
    <t>28442450</t>
  </si>
  <si>
    <t>784201001</t>
  </si>
  <si>
    <t>26375088</t>
  </si>
  <si>
    <t>АО "Вяземский ДСК"</t>
  </si>
  <si>
    <t>6722000762</t>
  </si>
  <si>
    <t>26638791</t>
  </si>
  <si>
    <t>ИП Юрченко Г.Н.</t>
  </si>
  <si>
    <t>673106659512</t>
  </si>
  <si>
    <t>31781252</t>
  </si>
  <si>
    <t>МКП "Ресурс"</t>
  </si>
  <si>
    <t>6700026206</t>
  </si>
  <si>
    <t>31539746</t>
  </si>
  <si>
    <t>МКП "Холм-Жирковское ЖКХ" Холм-Жирковского района Смоленской области</t>
  </si>
  <si>
    <t>6726026553</t>
  </si>
  <si>
    <t>20-05-2021 00:00:00</t>
  </si>
  <si>
    <t>31643260</t>
  </si>
  <si>
    <t>МУП "Вода Туманово"</t>
  </si>
  <si>
    <t>6722038149</t>
  </si>
  <si>
    <t>26450435</t>
  </si>
  <si>
    <t>6704007370</t>
  </si>
  <si>
    <t>31390995</t>
  </si>
  <si>
    <t>6725033332</t>
  </si>
  <si>
    <t>26375101</t>
  </si>
  <si>
    <t>6726009935</t>
  </si>
  <si>
    <t>26452972</t>
  </si>
  <si>
    <t>6727016244</t>
  </si>
  <si>
    <t>28983465</t>
  </si>
  <si>
    <t>МУП "Водоканал" (пос. Озерный)</t>
  </si>
  <si>
    <t>6727051866</t>
  </si>
  <si>
    <t>26832225</t>
  </si>
  <si>
    <t>МУП "Водолей"</t>
  </si>
  <si>
    <t>6710004603</t>
  </si>
  <si>
    <t>671001001</t>
  </si>
  <si>
    <t>31673954</t>
  </si>
  <si>
    <t>МУП "Водоснабжение Новое село"</t>
  </si>
  <si>
    <t>6722038170</t>
  </si>
  <si>
    <t>31670204</t>
  </si>
  <si>
    <t>МУП "Водоснабжение и водоотведение Вяземский"</t>
  </si>
  <si>
    <t>6722038276</t>
  </si>
  <si>
    <t>30858805</t>
  </si>
  <si>
    <t>МУП "Водоснабжение и водоотведение"</t>
  </si>
  <si>
    <t>6725030892</t>
  </si>
  <si>
    <t>31661762</t>
  </si>
  <si>
    <t>МУП "Водотеплоснабжение Кайдаковского сельского поселения"</t>
  </si>
  <si>
    <t>6722038283</t>
  </si>
  <si>
    <t>26375090</t>
  </si>
  <si>
    <t>6723000684</t>
  </si>
  <si>
    <t>31643278</t>
  </si>
  <si>
    <t>6726027420</t>
  </si>
  <si>
    <t>31669997</t>
  </si>
  <si>
    <t>МУП "Гусино"</t>
  </si>
  <si>
    <t>6714053827</t>
  </si>
  <si>
    <t>08-08-2022 00:00:00</t>
  </si>
  <si>
    <t>31607740</t>
  </si>
  <si>
    <t>МУП "ЖКХ с. Новый"</t>
  </si>
  <si>
    <t>6722037811</t>
  </si>
  <si>
    <t>31486510</t>
  </si>
  <si>
    <t>МУП "ЖКХ-Красный"</t>
  </si>
  <si>
    <t>6714049588</t>
  </si>
  <si>
    <t>26375052</t>
  </si>
  <si>
    <t>МУП "Жилищник"</t>
  </si>
  <si>
    <t>6706005731</t>
  </si>
  <si>
    <t>670601001</t>
  </si>
  <si>
    <t>18-03-2025 00:00:00</t>
  </si>
  <si>
    <t>26381240</t>
  </si>
  <si>
    <t>МУП "Жилищно-коммунальная служба"</t>
  </si>
  <si>
    <t>6711002800</t>
  </si>
  <si>
    <t>671101001</t>
  </si>
  <si>
    <t>31682957</t>
  </si>
  <si>
    <t>МУП "Игоревское ЖКХ"</t>
  </si>
  <si>
    <t>6726027557</t>
  </si>
  <si>
    <t>20-01-2023 00:00:00</t>
  </si>
  <si>
    <t>26453588</t>
  </si>
  <si>
    <t>МУП "Исток"</t>
  </si>
  <si>
    <t>6710004547</t>
  </si>
  <si>
    <t>30351489</t>
  </si>
  <si>
    <t>МУП "Капыревщина"</t>
  </si>
  <si>
    <t>6727025457</t>
  </si>
  <si>
    <t>26652102</t>
  </si>
  <si>
    <t>6710004554</t>
  </si>
  <si>
    <t>28038347</t>
  </si>
  <si>
    <t>МУП "КомфорТ"</t>
  </si>
  <si>
    <t>6727017978</t>
  </si>
  <si>
    <t>31670598</t>
  </si>
  <si>
    <t>МУП "Любовское"</t>
  </si>
  <si>
    <t>6725037143</t>
  </si>
  <si>
    <t>31414927</t>
  </si>
  <si>
    <t>МУП "Михейково"</t>
  </si>
  <si>
    <t>6727032461</t>
  </si>
  <si>
    <t>23-01-2020 00:00:00</t>
  </si>
  <si>
    <t>27390874</t>
  </si>
  <si>
    <t>МУП "Надежда"</t>
  </si>
  <si>
    <t>6725015809</t>
  </si>
  <si>
    <t>26375095</t>
  </si>
  <si>
    <t>МУП "Остер"</t>
  </si>
  <si>
    <t>6725013030</t>
  </si>
  <si>
    <t>26788625</t>
  </si>
  <si>
    <t>МУП "Прометей"</t>
  </si>
  <si>
    <t>6710004579</t>
  </si>
  <si>
    <t>31751933</t>
  </si>
  <si>
    <t>МУП "Ресурс"</t>
  </si>
  <si>
    <t>6700013937</t>
  </si>
  <si>
    <t>14-03-2024 00:00:00</t>
  </si>
  <si>
    <t>26375049</t>
  </si>
  <si>
    <t>МУП "Родник"</t>
  </si>
  <si>
    <t>6703004514</t>
  </si>
  <si>
    <t>31415043</t>
  </si>
  <si>
    <t>МУП "Сметанино"</t>
  </si>
  <si>
    <t>6714050128</t>
  </si>
  <si>
    <t>31416429</t>
  </si>
  <si>
    <t>МУП "СтройСервис-Хохловское"</t>
  </si>
  <si>
    <t>6714050174</t>
  </si>
  <si>
    <t>30858796</t>
  </si>
  <si>
    <t>МУП "Суетово"</t>
  </si>
  <si>
    <t>6727028842</t>
  </si>
  <si>
    <t>31767090</t>
  </si>
  <si>
    <t>МУП "Темкино-Коммунальное хозяйство"</t>
  </si>
  <si>
    <t>6700012718</t>
  </si>
  <si>
    <t>16-02-2024 00:00:00</t>
  </si>
  <si>
    <t>31456160</t>
  </si>
  <si>
    <t>МУП "Угра-благоустройство"</t>
  </si>
  <si>
    <t>6722035444</t>
  </si>
  <si>
    <t>30829527</t>
  </si>
  <si>
    <t>МУП "Шумячская МТС"</t>
  </si>
  <si>
    <t>6720002796</t>
  </si>
  <si>
    <t>26455182</t>
  </si>
  <si>
    <t>МУЭП "Михновское"</t>
  </si>
  <si>
    <t>6714029912</t>
  </si>
  <si>
    <t>26555762</t>
  </si>
  <si>
    <t>ОАО "79 ЦИБ"</t>
  </si>
  <si>
    <t>6729018991</t>
  </si>
  <si>
    <t>13-08-2010 00:00:00</t>
  </si>
  <si>
    <t>26375089</t>
  </si>
  <si>
    <t>ОАО "Вяземский ГОК"</t>
  </si>
  <si>
    <t>6722026055</t>
  </si>
  <si>
    <t>28496675</t>
  </si>
  <si>
    <t>ОАО "Газпром"</t>
  </si>
  <si>
    <t>7805018099</t>
  </si>
  <si>
    <t>671902001</t>
  </si>
  <si>
    <t>30947576</t>
  </si>
  <si>
    <t>ООО "Альфа Транс Терминал"</t>
  </si>
  <si>
    <t>6714031189</t>
  </si>
  <si>
    <t>31607749</t>
  </si>
  <si>
    <t>ООО "Антарес"</t>
  </si>
  <si>
    <t>6732161536</t>
  </si>
  <si>
    <t>28983477</t>
  </si>
  <si>
    <t>ООО "Водоканал Вяземского района"</t>
  </si>
  <si>
    <t>6722028447</t>
  </si>
  <si>
    <t>26638751</t>
  </si>
  <si>
    <t>ООО "Горизонт"</t>
  </si>
  <si>
    <t>6712009036</t>
  </si>
  <si>
    <t>31230099</t>
  </si>
  <si>
    <t>ООО "Городской водоканал"</t>
  </si>
  <si>
    <t>6732157272</t>
  </si>
  <si>
    <t>31643540</t>
  </si>
  <si>
    <t>ООО "ЖКУ Игоревское"</t>
  </si>
  <si>
    <t>6726026779</t>
  </si>
  <si>
    <t>31280403</t>
  </si>
  <si>
    <t>ООО "Инженерные системы"</t>
  </si>
  <si>
    <t>6732151714</t>
  </si>
  <si>
    <t>06-10-2017 00:00:00</t>
  </si>
  <si>
    <t>31639430</t>
  </si>
  <si>
    <t>ООО "Инжиниринговый центр "Полимикс"</t>
  </si>
  <si>
    <t>6731079286</t>
  </si>
  <si>
    <t>28830499</t>
  </si>
  <si>
    <t>ООО "КардымовоВодоканал"</t>
  </si>
  <si>
    <t>6727050622</t>
  </si>
  <si>
    <t>26804346</t>
  </si>
  <si>
    <t>ООО "Кармановское ЖЭУ"</t>
  </si>
  <si>
    <t>6723023113</t>
  </si>
  <si>
    <t>30870626</t>
  </si>
  <si>
    <t>ООО "Коммуникации"</t>
  </si>
  <si>
    <t>6732101512</t>
  </si>
  <si>
    <t>31458192</t>
  </si>
  <si>
    <t>ООО "Коски"</t>
  </si>
  <si>
    <t>6725018052</t>
  </si>
  <si>
    <t>28965769</t>
  </si>
  <si>
    <t>ООО "Межмуниципальное Партнерство"</t>
  </si>
  <si>
    <t>6725015982</t>
  </si>
  <si>
    <t>24-03-2011 00:00:00</t>
  </si>
  <si>
    <t>28496662</t>
  </si>
  <si>
    <t>ООО "Посейдон"</t>
  </si>
  <si>
    <t>6732066508</t>
  </si>
  <si>
    <t>31288371</t>
  </si>
  <si>
    <t>ООО "Региональные объединенные системы водоснабжения и водоотведения Смоленской области"</t>
  </si>
  <si>
    <t>6726022823</t>
  </si>
  <si>
    <t>26451669</t>
  </si>
  <si>
    <t>ООО "Родник"</t>
  </si>
  <si>
    <t>6712008593</t>
  </si>
  <si>
    <t>31442702</t>
  </si>
  <si>
    <t>ООО "Рославльские тормозные системы"</t>
  </si>
  <si>
    <t>6725019049</t>
  </si>
  <si>
    <t>26450451</t>
  </si>
  <si>
    <t>ООО "Спецводмонтаж"</t>
  </si>
  <si>
    <t>6722017526</t>
  </si>
  <si>
    <t>27390866</t>
  </si>
  <si>
    <t>ООО "Титан"</t>
  </si>
  <si>
    <t>6727020970</t>
  </si>
  <si>
    <t>27682138</t>
  </si>
  <si>
    <t>ООО "Торговый Дом "Ключ"</t>
  </si>
  <si>
    <t>6729041373</t>
  </si>
  <si>
    <t>26381257</t>
  </si>
  <si>
    <t>ООО "Угранское коммунальное предприятие"</t>
  </si>
  <si>
    <t>6717004419</t>
  </si>
  <si>
    <t>26375103</t>
  </si>
  <si>
    <t>ООО "Эталон"</t>
  </si>
  <si>
    <t>6726012857</t>
  </si>
  <si>
    <t>30947561</t>
  </si>
  <si>
    <t>ООО УК "Радуга"</t>
  </si>
  <si>
    <t>6712011170</t>
  </si>
  <si>
    <t>25-08-2006 00:00:00</t>
  </si>
  <si>
    <t>28261069</t>
  </si>
  <si>
    <t>ПАО "Нефтяная Компания "Роснефть" - "Смоленскнефтепродукт"</t>
  </si>
  <si>
    <t>6730017336</t>
  </si>
  <si>
    <t>03-10-2012 00:00:00</t>
  </si>
  <si>
    <t>27682157</t>
  </si>
  <si>
    <t>ПАО "Сафоновский сельский строительный комбинат"</t>
  </si>
  <si>
    <t>6726015022</t>
  </si>
  <si>
    <t>26375113</t>
  </si>
  <si>
    <t>СМУП "Горводоканал"</t>
  </si>
  <si>
    <t>6731000342</t>
  </si>
  <si>
    <t>28983485</t>
  </si>
  <si>
    <t>СОГБУ "Воргинский ПНИ"</t>
  </si>
  <si>
    <t>6707000888</t>
  </si>
  <si>
    <t>28983491</t>
  </si>
  <si>
    <t>СОГБУ "Дрюцкий психоневрологичесий интернат"</t>
  </si>
  <si>
    <t>6714000960</t>
  </si>
  <si>
    <t>26594373</t>
  </si>
  <si>
    <t>СОГБУ "Ново-Никольский ДДИУОД"</t>
  </si>
  <si>
    <t>6722005626</t>
  </si>
  <si>
    <t>31434265</t>
  </si>
  <si>
    <t>АО "ГЛАСС МАРКЕТ"</t>
  </si>
  <si>
    <t>6725033117</t>
  </si>
  <si>
    <t>31538935</t>
  </si>
  <si>
    <t>АО "Единый инвестиционный центр"</t>
  </si>
  <si>
    <t>6671067773</t>
  </si>
  <si>
    <t>667101001</t>
  </si>
  <si>
    <t>20-02-2017 00:00:00</t>
  </si>
  <si>
    <t>26455274</t>
  </si>
  <si>
    <t>АО "Ситалл"</t>
  </si>
  <si>
    <t>6725001330</t>
  </si>
  <si>
    <t>31614558</t>
  </si>
  <si>
    <t>ООО "Водоснабжение водоотведение Смоленска"</t>
  </si>
  <si>
    <t>9705168986</t>
  </si>
  <si>
    <t>770501001</t>
  </si>
  <si>
    <t>31759928</t>
  </si>
  <si>
    <t>ООО "Гидросервис"</t>
  </si>
  <si>
    <t>6714051499</t>
  </si>
  <si>
    <t>16-02-2021 00:00:00</t>
  </si>
  <si>
    <t>31746326</t>
  </si>
  <si>
    <t>ООО "Гидротех"</t>
  </si>
  <si>
    <t>6732101079</t>
  </si>
  <si>
    <t>31649625</t>
  </si>
  <si>
    <t>ООО "КВС"</t>
  </si>
  <si>
    <t>6727028225</t>
  </si>
  <si>
    <t>31415051</t>
  </si>
  <si>
    <t>ООО "Смоленские водные системы"</t>
  </si>
  <si>
    <t>7743310358</t>
  </si>
  <si>
    <t>774301001</t>
  </si>
  <si>
    <t>29-07-2019 00:00:00</t>
  </si>
  <si>
    <t>30882200</t>
  </si>
  <si>
    <t>ООО "Электро"</t>
  </si>
  <si>
    <t>6714045777</t>
  </si>
  <si>
    <t>20-04-2016 00:00:00</t>
  </si>
  <si>
    <t>28063738</t>
  </si>
  <si>
    <t>АО "Спецавтохозяйство"</t>
  </si>
  <si>
    <t>6731069440</t>
  </si>
  <si>
    <t>30982055</t>
  </si>
  <si>
    <t>ОГУП "Экология"</t>
  </si>
  <si>
    <t>6731073414</t>
  </si>
  <si>
    <t>26382751</t>
  </si>
  <si>
    <t>ООО "Гранит"</t>
  </si>
  <si>
    <t>6726010916</t>
  </si>
  <si>
    <t>30389632</t>
  </si>
  <si>
    <t>ООО "Днепр"</t>
  </si>
  <si>
    <t>6714035313</t>
  </si>
  <si>
    <t>27827880</t>
  </si>
  <si>
    <t>ООО "РудняКомУслуги"</t>
  </si>
  <si>
    <t>6713012320</t>
  </si>
  <si>
    <t>28496624</t>
  </si>
  <si>
    <t>ООО "ЭКО лайн"</t>
  </si>
  <si>
    <t>6732036180</t>
  </si>
  <si>
    <t>26594236</t>
  </si>
  <si>
    <t>ООО "Эко-Транс"</t>
  </si>
  <si>
    <t>6725012741</t>
  </si>
  <si>
    <t>NSRF</t>
  </si>
  <si>
    <t>MR_NAME</t>
  </si>
  <si>
    <t>OKTMO_MR_NAME</t>
  </si>
  <si>
    <t>MO_NAME</t>
  </si>
  <si>
    <t>OKTMO_NAME</t>
  </si>
  <si>
    <t>TYPE</t>
  </si>
  <si>
    <t>MR_ID</t>
  </si>
  <si>
    <t>Велижский муниципальный округ</t>
  </si>
  <si>
    <t>66503000</t>
  </si>
  <si>
    <t>муниципальный округ</t>
  </si>
  <si>
    <t>Велижский муниципальный район</t>
  </si>
  <si>
    <t>66603000</t>
  </si>
  <si>
    <t>муниципальный район</t>
  </si>
  <si>
    <t>Велижское</t>
  </si>
  <si>
    <t>66603101</t>
  </si>
  <si>
    <t>городское поселение, в состав которого входит город</t>
  </si>
  <si>
    <t>Крутовское</t>
  </si>
  <si>
    <t>66603480</t>
  </si>
  <si>
    <t>сельское поселение</t>
  </si>
  <si>
    <t>Печенковское</t>
  </si>
  <si>
    <t>66603460</t>
  </si>
  <si>
    <t>Селезневское</t>
  </si>
  <si>
    <t>66603470</t>
  </si>
  <si>
    <t>Вяземский муниципальный район</t>
  </si>
  <si>
    <t>66605000</t>
  </si>
  <si>
    <t>Андрейковское</t>
  </si>
  <si>
    <t>66605404</t>
  </si>
  <si>
    <t>Вяземское</t>
  </si>
  <si>
    <t>66605101</t>
  </si>
  <si>
    <t>Вязьма-Брянское сельское поселение</t>
  </si>
  <si>
    <t>66605408</t>
  </si>
  <si>
    <t>Кайдаковское</t>
  </si>
  <si>
    <t>66605436</t>
  </si>
  <si>
    <t>Новосельское</t>
  </si>
  <si>
    <t>66605456</t>
  </si>
  <si>
    <t>Семлевское</t>
  </si>
  <si>
    <t>66605472</t>
  </si>
  <si>
    <t>Степаниковское</t>
  </si>
  <si>
    <t>66605476</t>
  </si>
  <si>
    <t>Тумановское</t>
  </si>
  <si>
    <t>66605480</t>
  </si>
  <si>
    <t>66608000</t>
  </si>
  <si>
    <t>Гагаринское сельское поселение</t>
  </si>
  <si>
    <t>66608416</t>
  </si>
  <si>
    <t>Кармановское</t>
  </si>
  <si>
    <t>66608424</t>
  </si>
  <si>
    <t>Никольское</t>
  </si>
  <si>
    <t>66608456</t>
  </si>
  <si>
    <t>Глинковский муниципальный округ</t>
  </si>
  <si>
    <t>66509000</t>
  </si>
  <si>
    <t>Глинковский муниципальный район</t>
  </si>
  <si>
    <t>66609000</t>
  </si>
  <si>
    <t>Болтутинское</t>
  </si>
  <si>
    <t>66609403</t>
  </si>
  <si>
    <t>Глинковское</t>
  </si>
  <si>
    <t>66609411</t>
  </si>
  <si>
    <t>Доброминское</t>
  </si>
  <si>
    <t>66609414</t>
  </si>
  <si>
    <t>Город Десногорск</t>
  </si>
  <si>
    <t>66710000</t>
  </si>
  <si>
    <t>городской округ</t>
  </si>
  <si>
    <t>Город Смоленск</t>
  </si>
  <si>
    <t>66701000</t>
  </si>
  <si>
    <t>Демидовский муниципальный округ</t>
  </si>
  <si>
    <t>66511000</t>
  </si>
  <si>
    <t>Демидовский муниципальный район</t>
  </si>
  <si>
    <t>66611000</t>
  </si>
  <si>
    <t>Борковское</t>
  </si>
  <si>
    <t>66611410</t>
  </si>
  <si>
    <t>Демидовское</t>
  </si>
  <si>
    <t>66611101</t>
  </si>
  <si>
    <t>Заборьевское</t>
  </si>
  <si>
    <t>66611445</t>
  </si>
  <si>
    <t>Пржевальское</t>
  </si>
  <si>
    <t>66611153</t>
  </si>
  <si>
    <t>городское поселение, в состав которого входит поселок</t>
  </si>
  <si>
    <t>Слободское</t>
  </si>
  <si>
    <t>66611487</t>
  </si>
  <si>
    <t>Титовщинское</t>
  </si>
  <si>
    <t>66611490</t>
  </si>
  <si>
    <t>Дорогобужский муниципальный район</t>
  </si>
  <si>
    <t>66614000</t>
  </si>
  <si>
    <t>Алексинское</t>
  </si>
  <si>
    <t>66614405</t>
  </si>
  <si>
    <t>Верхнеднепровское</t>
  </si>
  <si>
    <t>66614153</t>
  </si>
  <si>
    <t>Дорогобужское</t>
  </si>
  <si>
    <t>66614101</t>
  </si>
  <si>
    <t>Михайловское</t>
  </si>
  <si>
    <t>66614440</t>
  </si>
  <si>
    <t>Усвятское</t>
  </si>
  <si>
    <t>66614465</t>
  </si>
  <si>
    <t>Духовщинский муниципальный район</t>
  </si>
  <si>
    <t>66616000</t>
  </si>
  <si>
    <t>Булгаковское</t>
  </si>
  <si>
    <t>66616412</t>
  </si>
  <si>
    <t>Духовщинское</t>
  </si>
  <si>
    <t>66616101</t>
  </si>
  <si>
    <t>Озерненское</t>
  </si>
  <si>
    <t>66616155</t>
  </si>
  <si>
    <t>Пречистенское сельское поселение</t>
  </si>
  <si>
    <t>66616448</t>
  </si>
  <si>
    <t>Третьяковское</t>
  </si>
  <si>
    <t>66616468</t>
  </si>
  <si>
    <t>Ельнинский муниципальный район</t>
  </si>
  <si>
    <t>66619000</t>
  </si>
  <si>
    <t>Бобровичское</t>
  </si>
  <si>
    <t>66619416</t>
  </si>
  <si>
    <t>Ельнинское городское поселение</t>
  </si>
  <si>
    <t>66619101</t>
  </si>
  <si>
    <t>Коробецкое</t>
  </si>
  <si>
    <t>66619440</t>
  </si>
  <si>
    <t>Леонидовское</t>
  </si>
  <si>
    <t>66619452</t>
  </si>
  <si>
    <t>66621000</t>
  </si>
  <si>
    <t>Воргинское</t>
  </si>
  <si>
    <t>66621414</t>
  </si>
  <si>
    <t>60</t>
  </si>
  <si>
    <t>61</t>
  </si>
  <si>
    <t>Кузьмичское</t>
  </si>
  <si>
    <t>66621444</t>
  </si>
  <si>
    <t>Руханское</t>
  </si>
  <si>
    <t>66621466</t>
  </si>
  <si>
    <t>63</t>
  </si>
  <si>
    <t>Кардымовский муниципальный округ</t>
  </si>
  <si>
    <t>66523000</t>
  </si>
  <si>
    <t>64</t>
  </si>
  <si>
    <t>Кардымовский муниципальный район</t>
  </si>
  <si>
    <t>66623000</t>
  </si>
  <si>
    <t>Каменское</t>
  </si>
  <si>
    <t>66623410</t>
  </si>
  <si>
    <t>65</t>
  </si>
  <si>
    <t>Кардымовское</t>
  </si>
  <si>
    <t>66623151</t>
  </si>
  <si>
    <t>67</t>
  </si>
  <si>
    <t>Тюшинское</t>
  </si>
  <si>
    <t>66623432</t>
  </si>
  <si>
    <t>Шокинское</t>
  </si>
  <si>
    <t>66623428</t>
  </si>
  <si>
    <t>69</t>
  </si>
  <si>
    <t>Краснинский муниципальный район</t>
  </si>
  <si>
    <t>66624000</t>
  </si>
  <si>
    <t>Гусинское</t>
  </si>
  <si>
    <t>66624430</t>
  </si>
  <si>
    <t>71</t>
  </si>
  <si>
    <t>72</t>
  </si>
  <si>
    <t>Краснинское</t>
  </si>
  <si>
    <t>66624151</t>
  </si>
  <si>
    <t>73</t>
  </si>
  <si>
    <t>Малеевское</t>
  </si>
  <si>
    <t>66624445</t>
  </si>
  <si>
    <t>74</t>
  </si>
  <si>
    <t>Мерлинское</t>
  </si>
  <si>
    <t>66624455</t>
  </si>
  <si>
    <t>75</t>
  </si>
  <si>
    <t>Монастырщинский муниципальный округ</t>
  </si>
  <si>
    <t>66527000</t>
  </si>
  <si>
    <t>76</t>
  </si>
  <si>
    <t>Монастырщинский муниципальный район</t>
  </si>
  <si>
    <t>66627000</t>
  </si>
  <si>
    <t>Александровское</t>
  </si>
  <si>
    <t>66627405</t>
  </si>
  <si>
    <t>77</t>
  </si>
  <si>
    <t>Барсуковское</t>
  </si>
  <si>
    <t>66627410</t>
  </si>
  <si>
    <t>78</t>
  </si>
  <si>
    <t>Гоголевское</t>
  </si>
  <si>
    <t>66627420</t>
  </si>
  <si>
    <t>79</t>
  </si>
  <si>
    <t>Монастырщинский</t>
  </si>
  <si>
    <t>66627151</t>
  </si>
  <si>
    <t>80</t>
  </si>
  <si>
    <t>81</t>
  </si>
  <si>
    <t>Новомихайловское</t>
  </si>
  <si>
    <t>66627460</t>
  </si>
  <si>
    <t>82</t>
  </si>
  <si>
    <t>Соболевское</t>
  </si>
  <si>
    <t>66627480</t>
  </si>
  <si>
    <t>83</t>
  </si>
  <si>
    <t>Татарское</t>
  </si>
  <si>
    <t>66627475</t>
  </si>
  <si>
    <t>84</t>
  </si>
  <si>
    <t>Новодугинский муниципальный район</t>
  </si>
  <si>
    <t>66630000</t>
  </si>
  <si>
    <t>Высоковское</t>
  </si>
  <si>
    <t>66630410</t>
  </si>
  <si>
    <t>86</t>
  </si>
  <si>
    <t>Днепровское</t>
  </si>
  <si>
    <t>66630415</t>
  </si>
  <si>
    <t>87</t>
  </si>
  <si>
    <t>Извековское</t>
  </si>
  <si>
    <t>66630420</t>
  </si>
  <si>
    <t>88</t>
  </si>
  <si>
    <t>89</t>
  </si>
  <si>
    <t>Новодугинское</t>
  </si>
  <si>
    <t>66630435</t>
  </si>
  <si>
    <t>90</t>
  </si>
  <si>
    <t>Тесовское</t>
  </si>
  <si>
    <t>66630440</t>
  </si>
  <si>
    <t>91</t>
  </si>
  <si>
    <t>66633000</t>
  </si>
  <si>
    <t>Ленинское</t>
  </si>
  <si>
    <t>66633445</t>
  </si>
  <si>
    <t>93</t>
  </si>
  <si>
    <t>94</t>
  </si>
  <si>
    <t>95</t>
  </si>
  <si>
    <t>96</t>
  </si>
  <si>
    <t>Прудковское</t>
  </si>
  <si>
    <t>66633465</t>
  </si>
  <si>
    <t>97</t>
  </si>
  <si>
    <t>Стодолищенское</t>
  </si>
  <si>
    <t>66633485</t>
  </si>
  <si>
    <t>98</t>
  </si>
  <si>
    <t>Шаталовское</t>
  </si>
  <si>
    <t>66633495</t>
  </si>
  <si>
    <t>99</t>
  </si>
  <si>
    <t>Рославльский муниципальный район</t>
  </si>
  <si>
    <t>66636000</t>
  </si>
  <si>
    <t>Астапковичское</t>
  </si>
  <si>
    <t>66636408</t>
  </si>
  <si>
    <t>Екимовичское</t>
  </si>
  <si>
    <t>66636430</t>
  </si>
  <si>
    <t>102</t>
  </si>
  <si>
    <t>Кирилловское</t>
  </si>
  <si>
    <t>66636442</t>
  </si>
  <si>
    <t>103</t>
  </si>
  <si>
    <t>Липовское</t>
  </si>
  <si>
    <t>66636460</t>
  </si>
  <si>
    <t>104</t>
  </si>
  <si>
    <t>Любовское</t>
  </si>
  <si>
    <t>66636462</t>
  </si>
  <si>
    <t>105</t>
  </si>
  <si>
    <t>Остерское</t>
  </si>
  <si>
    <t>66636470</t>
  </si>
  <si>
    <t>106</t>
  </si>
  <si>
    <t>Перенское</t>
  </si>
  <si>
    <t>66636472</t>
  </si>
  <si>
    <t>107</t>
  </si>
  <si>
    <t>Пригорьевское</t>
  </si>
  <si>
    <t>66636476</t>
  </si>
  <si>
    <t>108</t>
  </si>
  <si>
    <t>109</t>
  </si>
  <si>
    <t>Рославльское</t>
  </si>
  <si>
    <t>66636101</t>
  </si>
  <si>
    <t>110</t>
  </si>
  <si>
    <t>Сырокоренское</t>
  </si>
  <si>
    <t>66636488</t>
  </si>
  <si>
    <t>Руднянский муниципальный округ</t>
  </si>
  <si>
    <t>66538000</t>
  </si>
  <si>
    <t>112</t>
  </si>
  <si>
    <t>Руднянский муниципальный район</t>
  </si>
  <si>
    <t>66638000</t>
  </si>
  <si>
    <t>Голынковское</t>
  </si>
  <si>
    <t>66638153</t>
  </si>
  <si>
    <t>113</t>
  </si>
  <si>
    <t>Любавичское сельское поселение</t>
  </si>
  <si>
    <t>66638450</t>
  </si>
  <si>
    <t>114</t>
  </si>
  <si>
    <t>Переволочское</t>
  </si>
  <si>
    <t>66638460</t>
  </si>
  <si>
    <t>115</t>
  </si>
  <si>
    <t>Понизовское</t>
  </si>
  <si>
    <t>66638475</t>
  </si>
  <si>
    <t>116</t>
  </si>
  <si>
    <t>117</t>
  </si>
  <si>
    <t>Руднянское</t>
  </si>
  <si>
    <t>66638101</t>
  </si>
  <si>
    <t>118</t>
  </si>
  <si>
    <t>Чистиковское</t>
  </si>
  <si>
    <t>66638494</t>
  </si>
  <si>
    <t>119</t>
  </si>
  <si>
    <t>66641000</t>
  </si>
  <si>
    <t>Барановское</t>
  </si>
  <si>
    <t>66641410</t>
  </si>
  <si>
    <t>121</t>
  </si>
  <si>
    <t>Беленинское</t>
  </si>
  <si>
    <t>66641415</t>
  </si>
  <si>
    <t>122</t>
  </si>
  <si>
    <t>Вадинское</t>
  </si>
  <si>
    <t>66641417</t>
  </si>
  <si>
    <t>123</t>
  </si>
  <si>
    <t>Вышегорское</t>
  </si>
  <si>
    <t>66641425</t>
  </si>
  <si>
    <t>124</t>
  </si>
  <si>
    <t>Зимницкое</t>
  </si>
  <si>
    <t>66641445</t>
  </si>
  <si>
    <t>125</t>
  </si>
  <si>
    <t>Издешковское</t>
  </si>
  <si>
    <t>66641457</t>
  </si>
  <si>
    <t>126</t>
  </si>
  <si>
    <t>Казулинское</t>
  </si>
  <si>
    <t>66641460</t>
  </si>
  <si>
    <t>127</t>
  </si>
  <si>
    <t>Николо-Погореловское</t>
  </si>
  <si>
    <t>66641470</t>
  </si>
  <si>
    <t>128</t>
  </si>
  <si>
    <t>Прудковское сельское поселение</t>
  </si>
  <si>
    <t>66641475</t>
  </si>
  <si>
    <t>129</t>
  </si>
  <si>
    <t>Пушкинское</t>
  </si>
  <si>
    <t>66641480</t>
  </si>
  <si>
    <t>130</t>
  </si>
  <si>
    <t>Рыбковское</t>
  </si>
  <si>
    <t>66641495</t>
  </si>
  <si>
    <t>131</t>
  </si>
  <si>
    <t>132</t>
  </si>
  <si>
    <t>133</t>
  </si>
  <si>
    <t>Старосельское</t>
  </si>
  <si>
    <t>66641485</t>
  </si>
  <si>
    <t>134</t>
  </si>
  <si>
    <t>Смоленский муниципальный район</t>
  </si>
  <si>
    <t>66644000</t>
  </si>
  <si>
    <t>Волоковское</t>
  </si>
  <si>
    <t>66644415</t>
  </si>
  <si>
    <t>136</t>
  </si>
  <si>
    <t>Вязгинское</t>
  </si>
  <si>
    <t>66644417</t>
  </si>
  <si>
    <t>137</t>
  </si>
  <si>
    <t>Гнездовское сельское поселение</t>
  </si>
  <si>
    <t>66644421</t>
  </si>
  <si>
    <t>138</t>
  </si>
  <si>
    <t>Дивасовское</t>
  </si>
  <si>
    <t>66644424</t>
  </si>
  <si>
    <t>139</t>
  </si>
  <si>
    <t>Касплянское</t>
  </si>
  <si>
    <t>66644433</t>
  </si>
  <si>
    <t>140</t>
  </si>
  <si>
    <t>Катынское</t>
  </si>
  <si>
    <t>66644436</t>
  </si>
  <si>
    <t>141</t>
  </si>
  <si>
    <t>Козинское</t>
  </si>
  <si>
    <t>66644439</t>
  </si>
  <si>
    <t>142</t>
  </si>
  <si>
    <t>Корохоткинское</t>
  </si>
  <si>
    <t>66644442</t>
  </si>
  <si>
    <t>143</t>
  </si>
  <si>
    <t>Кощинское</t>
  </si>
  <si>
    <t>66644445</t>
  </si>
  <si>
    <t>144</t>
  </si>
  <si>
    <t>Лоинское</t>
  </si>
  <si>
    <t>66644454</t>
  </si>
  <si>
    <t>145</t>
  </si>
  <si>
    <t>Михновское</t>
  </si>
  <si>
    <t>66644465</t>
  </si>
  <si>
    <t>146</t>
  </si>
  <si>
    <t>Новосельское сельское поселение</t>
  </si>
  <si>
    <t>66644406</t>
  </si>
  <si>
    <t>147</t>
  </si>
  <si>
    <t>Печерское</t>
  </si>
  <si>
    <t>66644474</t>
  </si>
  <si>
    <t>148</t>
  </si>
  <si>
    <t>Пионерское</t>
  </si>
  <si>
    <t>66644476</t>
  </si>
  <si>
    <t>149</t>
  </si>
  <si>
    <t>Пригорское</t>
  </si>
  <si>
    <t>66644482</t>
  </si>
  <si>
    <t>150</t>
  </si>
  <si>
    <t>Сметанинское</t>
  </si>
  <si>
    <t>66644484</t>
  </si>
  <si>
    <t>151</t>
  </si>
  <si>
    <t>152</t>
  </si>
  <si>
    <t>Стабенское</t>
  </si>
  <si>
    <t>66644486</t>
  </si>
  <si>
    <t>153</t>
  </si>
  <si>
    <t>Талашкинское</t>
  </si>
  <si>
    <t>66644492</t>
  </si>
  <si>
    <t>154</t>
  </si>
  <si>
    <t>Хохловское</t>
  </si>
  <si>
    <t>66644498</t>
  </si>
  <si>
    <t>155</t>
  </si>
  <si>
    <t>66646000</t>
  </si>
  <si>
    <t>Дугинское</t>
  </si>
  <si>
    <t>66646470</t>
  </si>
  <si>
    <t>157</t>
  </si>
  <si>
    <t>Караваевское</t>
  </si>
  <si>
    <t>66646425</t>
  </si>
  <si>
    <t>158</t>
  </si>
  <si>
    <t>Мальцевское сельское поселение</t>
  </si>
  <si>
    <t>66646420</t>
  </si>
  <si>
    <t>159</t>
  </si>
  <si>
    <t>66646410</t>
  </si>
  <si>
    <t>160</t>
  </si>
  <si>
    <t>161</t>
  </si>
  <si>
    <t>162</t>
  </si>
  <si>
    <t>Темкинский муниципальный округ</t>
  </si>
  <si>
    <t>66548000</t>
  </si>
  <si>
    <t>163</t>
  </si>
  <si>
    <t>Темкинский муниципальный район</t>
  </si>
  <si>
    <t>66648000</t>
  </si>
  <si>
    <t>Батюшковское</t>
  </si>
  <si>
    <t>66648410</t>
  </si>
  <si>
    <t>164</t>
  </si>
  <si>
    <t>Медведевское</t>
  </si>
  <si>
    <t>66648435</t>
  </si>
  <si>
    <t>165</t>
  </si>
  <si>
    <t>Павловское сельское поселение</t>
  </si>
  <si>
    <t>66648440</t>
  </si>
  <si>
    <t>166</t>
  </si>
  <si>
    <t>167</t>
  </si>
  <si>
    <t>Темкинское</t>
  </si>
  <si>
    <t>66648450</t>
  </si>
  <si>
    <t>168</t>
  </si>
  <si>
    <t>Угранский муниципальный округ</t>
  </si>
  <si>
    <t>66550000</t>
  </si>
  <si>
    <t>169</t>
  </si>
  <si>
    <t>Угранский муниципальный район</t>
  </si>
  <si>
    <t>66650000</t>
  </si>
  <si>
    <t>Всходское</t>
  </si>
  <si>
    <t>66650420</t>
  </si>
  <si>
    <t>170</t>
  </si>
  <si>
    <t>Знаменское</t>
  </si>
  <si>
    <t>66650435</t>
  </si>
  <si>
    <t>171</t>
  </si>
  <si>
    <t>172</t>
  </si>
  <si>
    <t>Угранское</t>
  </si>
  <si>
    <t>66650477</t>
  </si>
  <si>
    <t>173</t>
  </si>
  <si>
    <t>Хиславичский муниципальный округ</t>
  </si>
  <si>
    <t>66552000</t>
  </si>
  <si>
    <t>174</t>
  </si>
  <si>
    <t>Хиславичский муниципальный район</t>
  </si>
  <si>
    <t>66652000</t>
  </si>
  <si>
    <t>Владимировское</t>
  </si>
  <si>
    <t>66652405</t>
  </si>
  <si>
    <t>175</t>
  </si>
  <si>
    <t>Городищенское</t>
  </si>
  <si>
    <t>66652425</t>
  </si>
  <si>
    <t>176</t>
  </si>
  <si>
    <t>Кожуховичское</t>
  </si>
  <si>
    <t>66652410</t>
  </si>
  <si>
    <t>177</t>
  </si>
  <si>
    <t>Корзовское</t>
  </si>
  <si>
    <t>66652422</t>
  </si>
  <si>
    <t>178</t>
  </si>
  <si>
    <t>Печерское сельское поселение</t>
  </si>
  <si>
    <t>66652455</t>
  </si>
  <si>
    <t>179</t>
  </si>
  <si>
    <t>180</t>
  </si>
  <si>
    <t>Хиславичское</t>
  </si>
  <si>
    <t>66652151</t>
  </si>
  <si>
    <t>181</t>
  </si>
  <si>
    <t>Череповское</t>
  </si>
  <si>
    <t>66652480</t>
  </si>
  <si>
    <t>182</t>
  </si>
  <si>
    <t>66654000</t>
  </si>
  <si>
    <t>Агибаловское</t>
  </si>
  <si>
    <t>66654405</t>
  </si>
  <si>
    <t>184</t>
  </si>
  <si>
    <t>Богдановское сельское поселение</t>
  </si>
  <si>
    <t>66654415</t>
  </si>
  <si>
    <t>185</t>
  </si>
  <si>
    <t>Игоревское</t>
  </si>
  <si>
    <t>66654425</t>
  </si>
  <si>
    <t>186</t>
  </si>
  <si>
    <t>Лехминское</t>
  </si>
  <si>
    <t>66654430</t>
  </si>
  <si>
    <t>187</t>
  </si>
  <si>
    <t>Тупиковское</t>
  </si>
  <si>
    <t>66654472</t>
  </si>
  <si>
    <t>188</t>
  </si>
  <si>
    <t>189</t>
  </si>
  <si>
    <t>190</t>
  </si>
  <si>
    <t>66656000</t>
  </si>
  <si>
    <t>Надейковичское</t>
  </si>
  <si>
    <t>66656440</t>
  </si>
  <si>
    <t>192</t>
  </si>
  <si>
    <t>Озерное</t>
  </si>
  <si>
    <t>66656420</t>
  </si>
  <si>
    <t>193</t>
  </si>
  <si>
    <t>Первомайское сельское поселение</t>
  </si>
  <si>
    <t>66656445</t>
  </si>
  <si>
    <t>194</t>
  </si>
  <si>
    <t>Понятовское</t>
  </si>
  <si>
    <t>66656425</t>
  </si>
  <si>
    <t>195</t>
  </si>
  <si>
    <t>Руссковское</t>
  </si>
  <si>
    <t>66656435</t>
  </si>
  <si>
    <t>196</t>
  </si>
  <si>
    <t>Снегиревское</t>
  </si>
  <si>
    <t>66656405</t>
  </si>
  <si>
    <t>197</t>
  </si>
  <si>
    <t>Студенецкое</t>
  </si>
  <si>
    <t>66656460</t>
  </si>
  <si>
    <t>198</t>
  </si>
  <si>
    <t>199</t>
  </si>
  <si>
    <t>200</t>
  </si>
  <si>
    <t>Ярцевский муниципальный район</t>
  </si>
  <si>
    <t>66658000</t>
  </si>
  <si>
    <t>Капыревщинское</t>
  </si>
  <si>
    <t>66658415</t>
  </si>
  <si>
    <t>202</t>
  </si>
  <si>
    <t>Михейковское</t>
  </si>
  <si>
    <t>66658435</t>
  </si>
  <si>
    <t>203</t>
  </si>
  <si>
    <t>Мушковичское</t>
  </si>
  <si>
    <t>66658445</t>
  </si>
  <si>
    <t>204</t>
  </si>
  <si>
    <t>Подрощинское</t>
  </si>
  <si>
    <t>66658455</t>
  </si>
  <si>
    <t>205</t>
  </si>
  <si>
    <t>Суетовское</t>
  </si>
  <si>
    <t>66658480</t>
  </si>
  <si>
    <t>206</t>
  </si>
  <si>
    <t>207</t>
  </si>
  <si>
    <t>Ярцевское</t>
  </si>
  <si>
    <t>66658101</t>
  </si>
  <si>
    <t>208</t>
  </si>
  <si>
    <t>NUMBER_POINT</t>
  </si>
  <si>
    <t>INVP_NAME</t>
  </si>
  <si>
    <t>INVP_ID</t>
  </si>
  <si>
    <t>L_START_DATE</t>
  </si>
  <si>
    <t>L_END_DATE</t>
  </si>
  <si>
    <t>L_DECISION_NAME</t>
  </si>
  <si>
    <t>L_DECISION_TYPE</t>
  </si>
  <si>
    <t>L_DECISION_NMBR</t>
  </si>
  <si>
    <t>L_DECISION_DATE</t>
  </si>
  <si>
    <t>7433057936</t>
  </si>
  <si>
    <t>8183044923</t>
  </si>
  <si>
    <t>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Ершичское, Ершичский муниципальный район на 2023-2025 годы</t>
  </si>
  <si>
    <t>7070586275</t>
  </si>
  <si>
    <t>7433057934</t>
  </si>
  <si>
    <t>Инвестиционная программа № 33 от 31.05.2024 ООО "Смоленскрегионтеплоэнерго" в сфере теплоснабжения по строительству газовой блочно-модульной котельной, на территории г Ярцево, Ярцевское, Ярцевский муниципальный район на 2025-2027 годы</t>
  </si>
  <si>
    <t>8183044922</t>
  </si>
  <si>
    <t>01.01.2025</t>
  </si>
  <si>
    <t>31.12.2027</t>
  </si>
  <si>
    <t>Об утверждении инвестиционной программы в сфере теплоснабжения ООО «Смоленскрегионтеплоэнерго» (г.Ярцево) на 2025-2027 гг.</t>
  </si>
  <si>
    <t>31.05.2024</t>
  </si>
  <si>
    <t>6820167552</t>
  </si>
  <si>
    <t>8147024598</t>
  </si>
  <si>
    <t>7529952336</t>
  </si>
  <si>
    <t>5617491156</t>
  </si>
  <si>
    <t>5912709258</t>
  </si>
  <si>
    <t>5185873644</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</si>
  <si>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</si>
  <si>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</si>
  <si>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</si>
  <si>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</si>
  <si>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</si>
  <si>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</si>
  <si>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</si>
  <si>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</si>
  <si>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</si>
  <si>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</si>
  <si>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</si>
  <si>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</si>
  <si>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</si>
  <si>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</si>
  <si>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</si>
  <si>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</si>
  <si>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</si>
  <si>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</si>
  <si>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</si>
  <si>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</si>
  <si>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</si>
  <si>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</si>
  <si>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</si>
  <si>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</si>
  <si>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</si>
  <si>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</si>
  <si>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</si>
  <si>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</si>
  <si>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</si>
  <si>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</si>
  <si>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</si>
  <si>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</si>
  <si>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д Относово</t>
  </si>
  <si>
    <t>66605404211</t>
  </si>
  <si>
    <t>д. Относово</t>
  </si>
  <si>
    <t>муниципальное имущество</t>
  </si>
  <si>
    <t>без торгов - исключение по статье 17.1 Федерального закона от 26.07.2006 N 135-ФЗ "О защите конкуренции"</t>
  </si>
  <si>
    <t>эксплуатируется</t>
  </si>
  <si>
    <t>договор</t>
  </si>
  <si>
    <t>аренда</t>
  </si>
  <si>
    <t>01.12.2014</t>
  </si>
  <si>
    <t>.321</t>
  </si>
  <si>
    <t>[Газ природный]</t>
  </si>
  <si>
    <t>Котельная №11</t>
  </si>
  <si>
    <t>с Андрейково</t>
  </si>
  <si>
    <t>66605404101</t>
  </si>
  <si>
    <t>с. Андрейково</t>
  </si>
  <si>
    <t>торги (проведены до 10 сентября 2012 года)</t>
  </si>
  <si>
    <t>№2</t>
  </si>
  <si>
    <t>08.11.2010</t>
  </si>
  <si>
    <t>2.376</t>
  </si>
  <si>
    <t>Котельная №11 транзитные сети</t>
  </si>
  <si>
    <t>сеть</t>
  </si>
  <si>
    <t>г Вязьма</t>
  </si>
  <si>
    <t>66605101001</t>
  </si>
  <si>
    <t>ул. Кронштадтская</t>
  </si>
  <si>
    <t>д. 21</t>
  </si>
  <si>
    <t>частная собственность</t>
  </si>
  <si>
    <t>собственное имущество</t>
  </si>
  <si>
    <t>свидетельство</t>
  </si>
  <si>
    <t>собственность</t>
  </si>
  <si>
    <t>67-АА № 178641</t>
  </si>
  <si>
    <t>10.09.2004</t>
  </si>
  <si>
    <t>12.03</t>
  </si>
  <si>
    <t>Котельная №1 транзитные сети</t>
  </si>
  <si>
    <t>11.71</t>
  </si>
  <si>
    <t>д.6</t>
  </si>
  <si>
    <t>67-АВ №117014</t>
  </si>
  <si>
    <t>06.08.2014</t>
  </si>
  <si>
    <t>10.32</t>
  </si>
  <si>
    <t>6.65</t>
  </si>
  <si>
    <t>Котельная №2 транзитные сети</t>
  </si>
  <si>
    <t>ул. Кронштадская</t>
  </si>
  <si>
    <t>Котельная №21 транзитные сети</t>
  </si>
  <si>
    <t>ул. Гоголя</t>
  </si>
  <si>
    <t>д.21</t>
  </si>
  <si>
    <t>67-АВ №065261</t>
  </si>
  <si>
    <t>12.02.2014</t>
  </si>
  <si>
    <t>3.275</t>
  </si>
  <si>
    <t>Котельная №22</t>
  </si>
  <si>
    <t>ул. Сычевское шоссе</t>
  </si>
  <si>
    <t>№63</t>
  </si>
  <si>
    <t>23.11.2011</t>
  </si>
  <si>
    <t>.33</t>
  </si>
  <si>
    <t>.265</t>
  </si>
  <si>
    <t>.27</t>
  </si>
  <si>
    <t>Котельная №23</t>
  </si>
  <si>
    <t>ул. Молодежная</t>
  </si>
  <si>
    <t>д.2</t>
  </si>
  <si>
    <t>67-АВ №065493</t>
  </si>
  <si>
    <t>13.02.2014</t>
  </si>
  <si>
    <t>7.232</t>
  </si>
  <si>
    <t>Котельная №23 магистральные сети</t>
  </si>
  <si>
    <t>Котельная №23 транзитные сети</t>
  </si>
  <si>
    <t>Котельная №24</t>
  </si>
  <si>
    <t>ул. Московская</t>
  </si>
  <si>
    <t>д.62</t>
  </si>
  <si>
    <t>Выписка из ЕГРП от 17.10.16 г. №67-67/001-67/001/101/2016-9036/2</t>
  </si>
  <si>
    <t>17.10.2016</t>
  </si>
  <si>
    <t>20.64</t>
  </si>
  <si>
    <t>16.15</t>
  </si>
  <si>
    <t>Котельная №24 магистральные сети</t>
  </si>
  <si>
    <t>Котельная №24 транзитные сети</t>
  </si>
  <si>
    <t>д. 62</t>
  </si>
  <si>
    <t>ул. Софьи Перовской</t>
  </si>
  <si>
    <t>д. 6</t>
  </si>
  <si>
    <t>67-АА №178404</t>
  </si>
  <si>
    <t>07.09.2014</t>
  </si>
  <si>
    <t>7.71</t>
  </si>
  <si>
    <t>Котельная №3 транзитные сети</t>
  </si>
  <si>
    <t>8.15</t>
  </si>
  <si>
    <t>Котельная №4</t>
  </si>
  <si>
    <t>ул. Комсомольская</t>
  </si>
  <si>
    <t>67-АА №178364</t>
  </si>
  <si>
    <t>27.07.2004</t>
  </si>
  <si>
    <t>Котельная №4 транзитные сети</t>
  </si>
  <si>
    <t>Котельная №6</t>
  </si>
  <si>
    <t>ул. Ленина</t>
  </si>
  <si>
    <t>д. 75</t>
  </si>
  <si>
    <t>67-АБ №656200</t>
  </si>
  <si>
    <t>24.01.2011</t>
  </si>
  <si>
    <t>.57</t>
  </si>
  <si>
    <t>ул. Строителей</t>
  </si>
  <si>
    <t>д. 17</t>
  </si>
  <si>
    <t>№63 от</t>
  </si>
  <si>
    <t>25.44</t>
  </si>
  <si>
    <t>Котельная №7 магистральные сети</t>
  </si>
  <si>
    <t>Котельная №7 транзитные сети</t>
  </si>
  <si>
    <t>ул. Маяковского</t>
  </si>
  <si>
    <t>40.5</t>
  </si>
  <si>
    <t>16.07</t>
  </si>
  <si>
    <t>Котельная №8 магистральные сети</t>
  </si>
  <si>
    <t>Котельная №8 транзитные сети</t>
  </si>
  <si>
    <t>ул. Плетниковка</t>
  </si>
  <si>
    <t>2.66</t>
  </si>
  <si>
    <t>Котельная №9 транзитные сети</t>
  </si>
  <si>
    <t>ул. Докучаева</t>
  </si>
  <si>
    <t>09.01.2014</t>
  </si>
  <si>
    <t>.3</t>
  </si>
  <si>
    <t>.22</t>
  </si>
  <si>
    <t>котельная №21</t>
  </si>
  <si>
    <t>котельная №13</t>
  </si>
  <si>
    <t>д Новое Село</t>
  </si>
  <si>
    <t>66605456101</t>
  </si>
  <si>
    <t>д. Новое Село</t>
  </si>
  <si>
    <t>торги (проведены до 1 сентября 2010 года)</t>
  </si>
  <si>
    <t>№1</t>
  </si>
  <si>
    <t>26.02.2010</t>
  </si>
  <si>
    <t>.874</t>
  </si>
  <si>
    <t>Котельная №19</t>
  </si>
  <si>
    <t>с Семлево</t>
  </si>
  <si>
    <t>66605472101</t>
  </si>
  <si>
    <t>с. Семлево</t>
  </si>
  <si>
    <t>27.09.2010</t>
  </si>
  <si>
    <t>[Уголь длиннопламенный]</t>
  </si>
  <si>
    <t>Котельная №14</t>
  </si>
  <si>
    <t>ст Семлево</t>
  </si>
  <si>
    <t>66605472271</t>
  </si>
  <si>
    <t>ст. Семлево</t>
  </si>
  <si>
    <t>16.01.2017</t>
  </si>
  <si>
    <t>1.29</t>
  </si>
  <si>
    <t>Котельная №14 транзитные сети</t>
  </si>
  <si>
    <t>Котельная №5 транзитные сети</t>
  </si>
  <si>
    <t>с Ново-Никольское</t>
  </si>
  <si>
    <t>66605476201</t>
  </si>
  <si>
    <t>с. Ново-Никольское</t>
  </si>
  <si>
    <t>67-АА № 178580</t>
  </si>
  <si>
    <t>14.09.2004</t>
  </si>
  <si>
    <t>2.17</t>
  </si>
  <si>
    <t>1.21</t>
  </si>
  <si>
    <t>1.211</t>
  </si>
  <si>
    <t>67-АБ №542961</t>
  </si>
  <si>
    <t>10.06.2010</t>
  </si>
  <si>
    <t>42.5</t>
  </si>
  <si>
    <t>31.38</t>
  </si>
  <si>
    <t>[Газ природный] :: [Мазут]</t>
  </si>
  <si>
    <t>Котельная №1 Районная - магистральные сети</t>
  </si>
  <si>
    <t>32.2</t>
  </si>
  <si>
    <t>Котельная №1 Районная - транзитные сети</t>
  </si>
  <si>
    <t>Котельная №2 - транзитные сети</t>
  </si>
  <si>
    <t>ул. Бахтина</t>
  </si>
  <si>
    <t>д. 11Б</t>
  </si>
  <si>
    <t>67-АВ №039280</t>
  </si>
  <si>
    <t>04.02.2014</t>
  </si>
  <si>
    <t>10.4</t>
  </si>
  <si>
    <t>6.9</t>
  </si>
  <si>
    <t>Котельная №2 БМК-1</t>
  </si>
  <si>
    <t>Котельная №3 БМК-2</t>
  </si>
  <si>
    <t>д. 5А</t>
  </si>
  <si>
    <t>67-АВ №039604</t>
  </si>
  <si>
    <t>17.02.2014</t>
  </si>
  <si>
    <t>2.776</t>
  </si>
  <si>
    <t>Котельная №3 БМК-2 магистральные сети</t>
  </si>
  <si>
    <t>Котельная №5 -транзитные сети</t>
  </si>
  <si>
    <t>ул. Мира</t>
  </si>
  <si>
    <t>д. 2А</t>
  </si>
  <si>
    <t>67-АВ №039605</t>
  </si>
  <si>
    <t>1.197</t>
  </si>
  <si>
    <t>Котельная №5 БМК-3</t>
  </si>
  <si>
    <t>ул. Пушная</t>
  </si>
  <si>
    <t>№б/н</t>
  </si>
  <si>
    <t>01.10.2014</t>
  </si>
  <si>
    <t>.5</t>
  </si>
  <si>
    <t>.19</t>
  </si>
  <si>
    <t>выписка из ЕГРН</t>
  </si>
  <si>
    <t>5.486</t>
  </si>
  <si>
    <t>20.11.2019</t>
  </si>
  <si>
    <t>1.939</t>
  </si>
  <si>
    <t>1.94</t>
  </si>
  <si>
    <t>25.11.2019</t>
  </si>
  <si>
    <t>5.615</t>
  </si>
  <si>
    <t>Котельная №10</t>
  </si>
  <si>
    <t>с Карманово</t>
  </si>
  <si>
    <t>66608424101</t>
  </si>
  <si>
    <t>ул. Набережная</t>
  </si>
  <si>
    <t>д. 18 стр. 3</t>
  </si>
  <si>
    <t>1-2022</t>
  </si>
  <si>
    <t>01.02.2022</t>
  </si>
  <si>
    <t>.13</t>
  </si>
  <si>
    <t>.11</t>
  </si>
  <si>
    <t>пер. Заводской</t>
  </si>
  <si>
    <t>д. 4 стр.2</t>
  </si>
  <si>
    <t>№7</t>
  </si>
  <si>
    <t>31.08.2009</t>
  </si>
  <si>
    <t>21.7</t>
  </si>
  <si>
    <t>3.276</t>
  </si>
  <si>
    <t>Котельная №4 - транзитные сети</t>
  </si>
  <si>
    <t>с. Карманово</t>
  </si>
  <si>
    <t>Котельная №4 магистральные сети</t>
  </si>
  <si>
    <t>д Ново-Михайловское</t>
  </si>
  <si>
    <t>66614440101</t>
  </si>
  <si>
    <t>67:06:0030203:800-67/056/2020-1</t>
  </si>
  <si>
    <t>15.12.2020</t>
  </si>
  <si>
    <t>22.4</t>
  </si>
  <si>
    <t>16.44</t>
  </si>
  <si>
    <t>г Духовщина</t>
  </si>
  <si>
    <t>66616101001</t>
  </si>
  <si>
    <t>ул. Карла Либкнехта</t>
  </si>
  <si>
    <t>д. 51 Б</t>
  </si>
  <si>
    <t>67-АА-№178336</t>
  </si>
  <si>
    <t>07.09.2004</t>
  </si>
  <si>
    <t>4.8</t>
  </si>
  <si>
    <t>1.47</t>
  </si>
  <si>
    <t>ул. Смоленская</t>
  </si>
  <si>
    <t>67-АА  №178381</t>
  </si>
  <si>
    <t>.69</t>
  </si>
  <si>
    <t>.39</t>
  </si>
  <si>
    <t>д. 13 А</t>
  </si>
  <si>
    <t>67-АА №178405</t>
  </si>
  <si>
    <t>1.67</t>
  </si>
  <si>
    <t>Котельная №3 - транзитные сети</t>
  </si>
  <si>
    <t>г Ельня</t>
  </si>
  <si>
    <t>66619101001</t>
  </si>
  <si>
    <t>ул. Смоленский большак</t>
  </si>
  <si>
    <t>67-АА №178350</t>
  </si>
  <si>
    <t>1.02</t>
  </si>
  <si>
    <t>.528</t>
  </si>
  <si>
    <t>пер. Глинки</t>
  </si>
  <si>
    <t>67-АА №178365</t>
  </si>
  <si>
    <t>6.4</t>
  </si>
  <si>
    <t>4.28</t>
  </si>
  <si>
    <t>пер. Пролетарский</t>
  </si>
  <si>
    <t>67-АА №178351</t>
  </si>
  <si>
    <t>.62</t>
  </si>
  <si>
    <t>с Ворга</t>
  </si>
  <si>
    <t>66621414101</t>
  </si>
  <si>
    <t>ул. Дзержинского</t>
  </si>
  <si>
    <t>67-АА №178616</t>
  </si>
  <si>
    <t>05.06.2008</t>
  </si>
  <si>
    <t>.9</t>
  </si>
  <si>
    <t>.18</t>
  </si>
  <si>
    <t>ул. Луговая</t>
  </si>
  <si>
    <t>67-АА №178617</t>
  </si>
  <si>
    <t>.458</t>
  </si>
  <si>
    <t>.716</t>
  </si>
  <si>
    <t>пгт Красный</t>
  </si>
  <si>
    <t>66624151051</t>
  </si>
  <si>
    <t>ул. Карла Маркса</t>
  </si>
  <si>
    <t>д. 2</t>
  </si>
  <si>
    <t>67-АА № 178642</t>
  </si>
  <si>
    <t>1.64</t>
  </si>
  <si>
    <t>д. 25-а</t>
  </si>
  <si>
    <t>67-АА № 178643</t>
  </si>
  <si>
    <t>.872</t>
  </si>
  <si>
    <t>Котельная №1 п. Новодугино</t>
  </si>
  <si>
    <t>с Новодугино</t>
  </si>
  <si>
    <t>66630435101</t>
  </si>
  <si>
    <t>ул. Чкалова</t>
  </si>
  <si>
    <t>67-АБ №685854</t>
  </si>
  <si>
    <t>07.07.2011</t>
  </si>
  <si>
    <t>1.42</t>
  </si>
  <si>
    <t>д Денисово</t>
  </si>
  <si>
    <t>66633450115</t>
  </si>
  <si>
    <t>д. Денисово</t>
  </si>
  <si>
    <t>67-АБ №576170</t>
  </si>
  <si>
    <t>24.08.2010</t>
  </si>
  <si>
    <t>1.24</t>
  </si>
  <si>
    <t>67-АБ №636703</t>
  </si>
  <si>
    <t>22.12.2010</t>
  </si>
  <si>
    <t>Котельная, д.Пересна</t>
  </si>
  <si>
    <t>д Пересна</t>
  </si>
  <si>
    <t>66633450152</t>
  </si>
  <si>
    <t>16.09.2022</t>
  </si>
  <si>
    <t>1.72</t>
  </si>
  <si>
    <t>ул. Твардовского</t>
  </si>
  <si>
    <t>д. 5</t>
  </si>
  <si>
    <t>67-АА №178535</t>
  </si>
  <si>
    <t>3.186</t>
  </si>
  <si>
    <t>№6</t>
  </si>
  <si>
    <t>20.09.2011</t>
  </si>
  <si>
    <t>.7</t>
  </si>
  <si>
    <t>Котельная №16
ПУ-29</t>
  </si>
  <si>
    <t>д. 23</t>
  </si>
  <si>
    <t>24.09.2021</t>
  </si>
  <si>
    <t>.45</t>
  </si>
  <si>
    <t>нп. 1-й Микрорайон</t>
  </si>
  <si>
    <t>67-АА №178598</t>
  </si>
  <si>
    <t>2.202</t>
  </si>
  <si>
    <t>разрешение на ввод объекта в эксплуатацию</t>
  </si>
  <si>
    <t>№67-RU67514101-82-2016</t>
  </si>
  <si>
    <t>22.09.2016</t>
  </si>
  <si>
    <t>2.24</t>
  </si>
  <si>
    <t>1.45</t>
  </si>
  <si>
    <t>д Бояды</t>
  </si>
  <si>
    <t>66633465111</t>
  </si>
  <si>
    <t>д. Бояды (Прудковское с/пос)</t>
  </si>
  <si>
    <t>67-АА №181414</t>
  </si>
  <si>
    <t>28.09.2004</t>
  </si>
  <si>
    <t>.882</t>
  </si>
  <si>
    <t>д Прудки</t>
  </si>
  <si>
    <t>66633465101</t>
  </si>
  <si>
    <t>д. Прудки</t>
  </si>
  <si>
    <t>67-АА №178579</t>
  </si>
  <si>
    <t>.234</t>
  </si>
  <si>
    <t>Котельная, д. Даньково</t>
  </si>
  <si>
    <t>д Даньково</t>
  </si>
  <si>
    <t>66633495181</t>
  </si>
  <si>
    <t>д. Даньково</t>
  </si>
  <si>
    <t>1.08</t>
  </si>
  <si>
    <t>.51</t>
  </si>
  <si>
    <t>Котельная №25</t>
  </si>
  <si>
    <t>д Астапковичи</t>
  </si>
  <si>
    <t>66636408101</t>
  </si>
  <si>
    <t>д. Астапковичи</t>
  </si>
  <si>
    <t>30.03.2015</t>
  </si>
  <si>
    <t>.135</t>
  </si>
  <si>
    <t>д Лесники</t>
  </si>
  <si>
    <t>66636408147</t>
  </si>
  <si>
    <t>д. Лесники</t>
  </si>
  <si>
    <t>07.10.2011</t>
  </si>
  <si>
    <t>.116</t>
  </si>
  <si>
    <t>д Никольское</t>
  </si>
  <si>
    <t>66636408149</t>
  </si>
  <si>
    <t>д. Никольское</t>
  </si>
  <si>
    <t>67-АБ №247127</t>
  </si>
  <si>
    <t>24.12.2007</t>
  </si>
  <si>
    <t>.403</t>
  </si>
  <si>
    <t>с Екимовичи</t>
  </si>
  <si>
    <t>66636430101</t>
  </si>
  <si>
    <t>с. Екимовичи</t>
  </si>
  <si>
    <t>.2</t>
  </si>
  <si>
    <t>.161</t>
  </si>
  <si>
    <t>08.07.2015</t>
  </si>
  <si>
    <t>Котельная №27</t>
  </si>
  <si>
    <t>д Малые Кириллы</t>
  </si>
  <si>
    <t>66636442101</t>
  </si>
  <si>
    <t>ул. Головлева</t>
  </si>
  <si>
    <t>.29</t>
  </si>
  <si>
    <t>.112</t>
  </si>
  <si>
    <t>Котельная №26</t>
  </si>
  <si>
    <t>д Грязенять</t>
  </si>
  <si>
    <t>66636460118</t>
  </si>
  <si>
    <t>д. Грязенять</t>
  </si>
  <si>
    <t>№ 209-АБ</t>
  </si>
  <si>
    <t>23.12.2013</t>
  </si>
  <si>
    <t>.34</t>
  </si>
  <si>
    <t>д Липовка</t>
  </si>
  <si>
    <t>66636460101</t>
  </si>
  <si>
    <t>д. Липовка</t>
  </si>
  <si>
    <t>.123</t>
  </si>
  <si>
    <t>д Козловка</t>
  </si>
  <si>
    <t>66636470111</t>
  </si>
  <si>
    <t>ул. Гагарина</t>
  </si>
  <si>
    <t>67-АВ №069089</t>
  </si>
  <si>
    <t>24.01.2014</t>
  </si>
  <si>
    <t>.973</t>
  </si>
  <si>
    <t>Котельная №20</t>
  </si>
  <si>
    <t>д. Козловка (Остерское с/пос)</t>
  </si>
  <si>
    <t>1.618</t>
  </si>
  <si>
    <t>Котельная №20 транзитные сети</t>
  </si>
  <si>
    <t>с Остер</t>
  </si>
  <si>
    <t>66636470101</t>
  </si>
  <si>
    <t>67-АБ №247132</t>
  </si>
  <si>
    <t>.792</t>
  </si>
  <si>
    <t>с. Остер</t>
  </si>
  <si>
    <t>1.169</t>
  </si>
  <si>
    <t>Котельная №29</t>
  </si>
  <si>
    <t>д Перенка</t>
  </si>
  <si>
    <t>66636472101</t>
  </si>
  <si>
    <t>д. Перенка</t>
  </si>
  <si>
    <t>.601</t>
  </si>
  <si>
    <t>Котельная №28</t>
  </si>
  <si>
    <t>д Пригорье</t>
  </si>
  <si>
    <t>66636476171</t>
  </si>
  <si>
    <t>д. Пригорье</t>
  </si>
  <si>
    <t>.21</t>
  </si>
  <si>
    <t>г Рославль</t>
  </si>
  <si>
    <t>66636101001</t>
  </si>
  <si>
    <t>ул. Республиканская</t>
  </si>
  <si>
    <t>67-АБ №657890</t>
  </si>
  <si>
    <t>11.01.2011</t>
  </si>
  <si>
    <t>9.9</t>
  </si>
  <si>
    <t>5.727</t>
  </si>
  <si>
    <t>пл. Горького</t>
  </si>
  <si>
    <t>67-АБ №247135</t>
  </si>
  <si>
    <t>.115</t>
  </si>
  <si>
    <t>ул. Свердлова</t>
  </si>
  <si>
    <t>67-АБ №247019</t>
  </si>
  <si>
    <t>20.12.2007</t>
  </si>
  <si>
    <t>1.903</t>
  </si>
  <si>
    <t>ул. Загородная</t>
  </si>
  <si>
    <t>67-АБ №247020</t>
  </si>
  <si>
    <t>ул. Пайтерова</t>
  </si>
  <si>
    <t>67-АБ №247012</t>
  </si>
  <si>
    <t>1.536</t>
  </si>
  <si>
    <t>Котельная №17</t>
  </si>
  <si>
    <t>д. 53</t>
  </si>
  <si>
    <t>07.02.2012</t>
  </si>
  <si>
    <t>.253</t>
  </si>
  <si>
    <t>ул. Урицкого</t>
  </si>
  <si>
    <t>67-АБ №247643</t>
  </si>
  <si>
    <t>29.01.2008</t>
  </si>
  <si>
    <t>2.63</t>
  </si>
  <si>
    <t>ул. Товарная</t>
  </si>
  <si>
    <t>67-АБ №289636</t>
  </si>
  <si>
    <t>21.05.2008</t>
  </si>
  <si>
    <t>2.273</t>
  </si>
  <si>
    <t>Котельная №30</t>
  </si>
  <si>
    <t>ул. Чехова</t>
  </si>
  <si>
    <t>1.46</t>
  </si>
  <si>
    <t>Котельная №31</t>
  </si>
  <si>
    <t>г. Рославль</t>
  </si>
  <si>
    <t>ЦРБ</t>
  </si>
  <si>
    <t>№ 207-АБ</t>
  </si>
  <si>
    <t>1.723</t>
  </si>
  <si>
    <t>1.725</t>
  </si>
  <si>
    <t>Котельная №32</t>
  </si>
  <si>
    <t>ул. Мичурина</t>
  </si>
  <si>
    <t>д.196</t>
  </si>
  <si>
    <t>ВТР-СРТЭ-1</t>
  </si>
  <si>
    <t>30.12.2016</t>
  </si>
  <si>
    <t>400</t>
  </si>
  <si>
    <t>69.806</t>
  </si>
  <si>
    <t>55.63</t>
  </si>
  <si>
    <t>Котельная №32 магистральные сети</t>
  </si>
  <si>
    <t>Котельная №32 транзитные сети</t>
  </si>
  <si>
    <t>д. 196</t>
  </si>
  <si>
    <t>67-АБ №247131</t>
  </si>
  <si>
    <t>1.03</t>
  </si>
  <si>
    <t>кв-л. 163-й</t>
  </si>
  <si>
    <t>67-АВ №106460</t>
  </si>
  <si>
    <t>16.07.2014</t>
  </si>
  <si>
    <t>6.37</t>
  </si>
  <si>
    <t>пер. 1-й Братский</t>
  </si>
  <si>
    <t>67-АБ №247013</t>
  </si>
  <si>
    <t>.26</t>
  </si>
  <si>
    <t>Котельная №6 транзитные сети</t>
  </si>
  <si>
    <t>ул. Красина</t>
  </si>
  <si>
    <t>67-АБ №247128</t>
  </si>
  <si>
    <t>7.4</t>
  </si>
  <si>
    <t>2.76</t>
  </si>
  <si>
    <t>6-ая школа</t>
  </si>
  <si>
    <t>67-АБ №247129</t>
  </si>
  <si>
    <t>.276</t>
  </si>
  <si>
    <t>Тепловые сети "ВРЗ"</t>
  </si>
  <si>
    <t>№4</t>
  </si>
  <si>
    <t>31.12.2015</t>
  </si>
  <si>
    <t>5.53</t>
  </si>
  <si>
    <t>Тепловые сети "ВРЗ" -транзитные сети</t>
  </si>
  <si>
    <t>Тепловые сети "ВРЗ" магистральные</t>
  </si>
  <si>
    <t>Тепловые сети "Локомотивное Депо"</t>
  </si>
  <si>
    <t>Тепловые сети "Смоленсктепло"</t>
  </si>
  <si>
    <t>Тепловые сети "Смоленсктепло" магистральные</t>
  </si>
  <si>
    <t>Тепловые сети "Смоленсктепло" транзитные сети</t>
  </si>
  <si>
    <t>67-АБ №247644</t>
  </si>
  <si>
    <t>29.12.2008</t>
  </si>
  <si>
    <t>.187</t>
  </si>
  <si>
    <t>д Клинка</t>
  </si>
  <si>
    <t>66641415118</t>
  </si>
  <si>
    <t>Школа-интернат</t>
  </si>
  <si>
    <t>67-АБ №410704</t>
  </si>
  <si>
    <t>30.06.2009</t>
  </si>
  <si>
    <t>1.26</t>
  </si>
  <si>
    <t>с Издешково</t>
  </si>
  <si>
    <t>66641457101</t>
  </si>
  <si>
    <t>ул. Чернышевского</t>
  </si>
  <si>
    <t>14.10.2021</t>
  </si>
  <si>
    <t>3.81</t>
  </si>
  <si>
    <t>№7-к</t>
  </si>
  <si>
    <t>28.01.2009</t>
  </si>
  <si>
    <t>.527</t>
  </si>
  <si>
    <t>ул. Районная подстанция</t>
  </si>
  <si>
    <t>.17</t>
  </si>
  <si>
    <t>.12</t>
  </si>
  <si>
    <t>№ 15/11-к</t>
  </si>
  <si>
    <t>26.05.2010</t>
  </si>
  <si>
    <t>25.51</t>
  </si>
  <si>
    <t>Котельная №15 - транзитные сети</t>
  </si>
  <si>
    <t>Котельная №15 магистральные сети</t>
  </si>
  <si>
    <t>Котельная №16 -транзитные сети</t>
  </si>
  <si>
    <t>№ 13-к</t>
  </si>
  <si>
    <t>01.12.2010</t>
  </si>
  <si>
    <t>32.5</t>
  </si>
  <si>
    <t>Котельная №16 магистральные сети</t>
  </si>
  <si>
    <t>ул. Ковалева</t>
  </si>
  <si>
    <t>№ 15-к</t>
  </si>
  <si>
    <t>15.11.2009</t>
  </si>
  <si>
    <t>.735</t>
  </si>
  <si>
    <t>67-АБ №445567</t>
  </si>
  <si>
    <t>03.09.2009</t>
  </si>
  <si>
    <t>.477</t>
  </si>
  <si>
    <t>67-АБ №438889</t>
  </si>
  <si>
    <t>06.08.2009</t>
  </si>
  <si>
    <t>.385</t>
  </si>
  <si>
    <t>ул. Красногвардейская</t>
  </si>
  <si>
    <t>6.207</t>
  </si>
  <si>
    <t>ул. Вахрушева</t>
  </si>
  <si>
    <t>№0052040/01-АБ</t>
  </si>
  <si>
    <t>5.6</t>
  </si>
  <si>
    <t>ул. Октябрьская</t>
  </si>
  <si>
    <t>№0052040/02-АБ</t>
  </si>
  <si>
    <t>1.22</t>
  </si>
  <si>
    <t>мкр. Завода ГМП</t>
  </si>
  <si>
    <t>7.3</t>
  </si>
  <si>
    <t>3.89</t>
  </si>
  <si>
    <t>Котельная №8 - транзитные сети</t>
  </si>
  <si>
    <t>ул. Коммунистическая</t>
  </si>
  <si>
    <t>2.37</t>
  </si>
  <si>
    <t>.15</t>
  </si>
  <si>
    <t>27.03.2019</t>
  </si>
  <si>
    <t>7.7</t>
  </si>
  <si>
    <t>5.09</t>
  </si>
  <si>
    <t>д. 18</t>
  </si>
  <si>
    <t>ул. Кутузова</t>
  </si>
  <si>
    <t>д. 33</t>
  </si>
  <si>
    <t>1.84</t>
  </si>
  <si>
    <t>.91</t>
  </si>
  <si>
    <t>д Богородицкое</t>
  </si>
  <si>
    <t>66644439101</t>
  </si>
  <si>
    <t>ул. Пригородная</t>
  </si>
  <si>
    <t>№23</t>
  </si>
  <si>
    <t>25.09.2019</t>
  </si>
  <si>
    <t>2.79</t>
  </si>
  <si>
    <t>2.131</t>
  </si>
  <si>
    <t>Котельная (ТК Соколья Гора)</t>
  </si>
  <si>
    <t>д Митино</t>
  </si>
  <si>
    <t>66644439136</t>
  </si>
  <si>
    <t>17.09.2024</t>
  </si>
  <si>
    <t>.036</t>
  </si>
  <si>
    <t>.04</t>
  </si>
  <si>
    <t>д Сметанино</t>
  </si>
  <si>
    <t>66644484101</t>
  </si>
  <si>
    <t>д. Сметанино</t>
  </si>
  <si>
    <t>№25</t>
  </si>
  <si>
    <t>27.09.2019</t>
  </si>
  <si>
    <t>2.57</t>
  </si>
  <si>
    <t>1.924</t>
  </si>
  <si>
    <t>с Талашкино</t>
  </si>
  <si>
    <t>66644492101</t>
  </si>
  <si>
    <t>с. Талашкино</t>
  </si>
  <si>
    <t>№31</t>
  </si>
  <si>
    <t>3.53</t>
  </si>
  <si>
    <t>2.605</t>
  </si>
  <si>
    <t>Котельная №1 Роддом</t>
  </si>
  <si>
    <t>67-АА №178298</t>
  </si>
  <si>
    <t>3.41</t>
  </si>
  <si>
    <t>Котельная №1 Роддом транзитные сети</t>
  </si>
  <si>
    <t>67-АА №700166</t>
  </si>
  <si>
    <t>1.763</t>
  </si>
  <si>
    <t>Котельная №3 Школа</t>
  </si>
  <si>
    <t>ул. Алексеевского</t>
  </si>
  <si>
    <t>д. б/н</t>
  </si>
  <si>
    <t>Отсутствует</t>
  </si>
  <si>
    <t>06.10.2014</t>
  </si>
  <si>
    <t>Котельная №4 ст. Игоревская</t>
  </si>
  <si>
    <t>ст Игоревская</t>
  </si>
  <si>
    <t>66654425101</t>
  </si>
  <si>
    <t>ул. Южная</t>
  </si>
  <si>
    <t>д.15</t>
  </si>
  <si>
    <t>https://portal.eias.ru/Portal/DownloadPage.aspx?type=12&amp;guid=63b2bc2d-f615-4dbc-8882-588525643588</t>
  </si>
  <si>
    <t>10.08.2022</t>
  </si>
  <si>
    <t>1.52</t>
  </si>
  <si>
    <t>67-АБ №151795</t>
  </si>
  <si>
    <t>17.11.2006</t>
  </si>
  <si>
    <t>4.43</t>
  </si>
  <si>
    <t>3.083</t>
  </si>
  <si>
    <t>Котельная №1-транзитные сети</t>
  </si>
  <si>
    <t>концессионное соглашение</t>
  </si>
  <si>
    <t>соглашение</t>
  </si>
  <si>
    <t>132/04-С</t>
  </si>
  <si>
    <t>2.58</t>
  </si>
  <si>
    <t>.344</t>
  </si>
  <si>
    <t>.1</t>
  </si>
  <si>
    <t>67-АБ №247609</t>
  </si>
  <si>
    <t>28.01.2008</t>
  </si>
  <si>
    <t>1.38</t>
  </si>
  <si>
    <t>67-АБ №247314</t>
  </si>
  <si>
    <t>10.01.2008</t>
  </si>
  <si>
    <t>.28</t>
  </si>
  <si>
    <t>.49</t>
  </si>
  <si>
    <t>.23</t>
  </si>
  <si>
    <t>67-АБ №247315</t>
  </si>
  <si>
    <t>.486</t>
  </si>
  <si>
    <t>д Михейково</t>
  </si>
  <si>
    <t>66658435101</t>
  </si>
  <si>
    <t>д. Михейково</t>
  </si>
  <si>
    <t>30.12.2014</t>
  </si>
  <si>
    <t>1.05</t>
  </si>
  <si>
    <t>д Суетово</t>
  </si>
  <si>
    <t>66658480101</t>
  </si>
  <si>
    <t>д. Суетово</t>
  </si>
  <si>
    <t>1.25</t>
  </si>
  <si>
    <t>Котельная №1 Восточный промузел</t>
  </si>
  <si>
    <t>г Ярцево</t>
  </si>
  <si>
    <t>66658101001</t>
  </si>
  <si>
    <t>г. Ярцево</t>
  </si>
  <si>
    <t>Восточный промоузел</t>
  </si>
  <si>
    <t>№22</t>
  </si>
  <si>
    <t>03.07.2012</t>
  </si>
  <si>
    <t>419.5</t>
  </si>
  <si>
    <t>86.1</t>
  </si>
  <si>
    <t>Котельная №1 Восточный промузел транзитные сети</t>
  </si>
  <si>
    <t>64.21</t>
  </si>
  <si>
    <t>Котельная №1 Восточный промузел-магистральные сети</t>
  </si>
  <si>
    <t>ул. Дачная</t>
  </si>
  <si>
    <t>д. 24</t>
  </si>
  <si>
    <t>67-АБ №625456</t>
  </si>
  <si>
    <t>22.04.2010</t>
  </si>
  <si>
    <t>1.09</t>
  </si>
  <si>
    <t>ул. Маршала Жукова</t>
  </si>
  <si>
    <t>д. 1-а</t>
  </si>
  <si>
    <t>.71</t>
  </si>
  <si>
    <t>Котельная №12 транзитные сети</t>
  </si>
  <si>
    <t>Котельная №14 ЛМПС</t>
  </si>
  <si>
    <t>ул. ЛММС</t>
  </si>
  <si>
    <t>№05/15</t>
  </si>
  <si>
    <t>18.03.2015</t>
  </si>
  <si>
    <t>.557</t>
  </si>
  <si>
    <t>ул. Победы</t>
  </si>
  <si>
    <t>3.44</t>
  </si>
  <si>
    <t>1.334</t>
  </si>
  <si>
    <t>67-АБ №171347</t>
  </si>
  <si>
    <t>24.04.2007</t>
  </si>
  <si>
    <t>5.15</t>
  </si>
  <si>
    <t>ул. Школьная</t>
  </si>
  <si>
    <t>д. 9-б</t>
  </si>
  <si>
    <t>67-АБ №625459</t>
  </si>
  <si>
    <t>11.86</t>
  </si>
  <si>
    <t>7.77</t>
  </si>
  <si>
    <t>ул. 1-я Рабочая</t>
  </si>
  <si>
    <t>д. 28-б</t>
  </si>
  <si>
    <t>67-АБ №625457</t>
  </si>
  <si>
    <t>Котельная №7 п. Пронькино</t>
  </si>
  <si>
    <t>п. Пронькино</t>
  </si>
  <si>
    <t>документов нет вообще</t>
  </si>
  <si>
    <t>01.04.2003</t>
  </si>
  <si>
    <t>.32</t>
  </si>
  <si>
    <t>ул. Краснооктябрьская</t>
  </si>
  <si>
    <t>67-АБ №171367</t>
  </si>
  <si>
    <t>25.04.2007</t>
  </si>
  <si>
    <t>4.01</t>
  </si>
  <si>
    <t>5.29</t>
  </si>
  <si>
    <t>ул. Заозерная</t>
  </si>
  <si>
    <t>№02/17</t>
  </si>
  <si>
    <t>31.01.2017</t>
  </si>
  <si>
    <t>.68</t>
  </si>
  <si>
    <t>.54</t>
  </si>
  <si>
    <t>ул. Макаренко</t>
  </si>
  <si>
    <t>д. 3-б</t>
  </si>
  <si>
    <t>67-АБ №625458</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</si>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</sst>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09">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29">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CCCCFF"/>
      </patternFill>
    </fill>
    <fill>
      <patternFill patternType="solid">
        <fgColor rgb="FF00CCFF"/>
      </patternFill>
    </fill>
    <fill>
      <patternFill patternType="solid">
        <fgColor rgb="FFFFC000"/>
      </patternFill>
    </fill>
  </fills>
  <borders count="5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theme="0" tint="-0.249977111117893"/>
      </left>
      <right style="thin">
        <color rgb="FFC0C0C0"/>
      </right>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03" fillId="0" borderId="0" applyFill="0" applyBorder="0">
      <alignment vertical="top"/>
    </xf>
    <xf numFmtId="0" fontId="11" fillId="0" borderId="0" applyFill="0" applyBorder="0"/>
    <xf numFmtId="0" fontId="12" fillId="0" borderId="0" applyFill="0" applyBorder="0">
      <alignment vertical="top"/>
    </xf>
  </cellStyleXfs>
  <cellXfs count="2650">
    <xf numFmtId="49" fontId="0" fillId="0" borderId="0" xfId="0" applyNumberFormat="1" applyFont="1">
      <alignment vertical="top"/>
    </xf>
    <xf numFmtId="0" fontId="11" fillId="0" borderId="0" xfId="14" applyFont="1"/>
    <xf numFmtId="49" fontId="0" fillId="0" borderId="0" xfId="13" applyNumberFormat="1" applyFont="1">
      <alignment vertical="top"/>
    </xf>
    <xf numFmtId="49" fontId="0" fillId="0" borderId="0" xfId="13" applyNumberFormat="1" applyFont="1">
      <alignment vertical="top"/>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17" fillId="0" borderId="0" xfId="0" applyNumberFormat="1" applyFont="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12" borderId="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12" borderId="14"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6"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7"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0" fontId="28" fillId="0" borderId="0" xfId="0" applyNumberFormat="1" applyFont="1" applyAlignment="1">
      <alignment vertical="center" wrapText="1"/>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9" fontId="13" fillId="0" borderId="0" xfId="0" applyNumberFormat="1" applyFont="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3" xfId="0" applyNumberFormat="1" applyFont="1" applyBorder="1" applyAlignment="1">
      <alignment horizontal="left" vertical="center" wrapText="1" inden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6"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7"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7"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6" xfId="0" applyNumberFormat="1" applyFont="1" applyBorder="1" applyAlignment="1">
      <alignment horizontal="left" vertical="center" wrapText="1" indent="1"/>
    </xf>
    <xf numFmtId="0" fontId="29" fillId="0" borderId="26"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26" xfId="0" applyNumberFormat="1" applyFont="1" applyBorder="1" applyAlignment="1">
      <alignment vertical="center" wrapText="1"/>
    </xf>
    <xf numFmtId="49" fontId="28" fillId="0" borderId="0" xfId="0" applyNumberFormat="1" applyFont="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0" xfId="0" applyNumberFormat="1" applyFont="1" applyFill="1" applyBorder="1" applyAlignment="1">
      <alignment horizontal="center" vertical="center" wrapText="1"/>
    </xf>
    <xf numFmtId="49" fontId="31" fillId="10" borderId="31" xfId="0" applyNumberFormat="1" applyFont="1" applyFill="1" applyBorder="1" applyAlignment="1">
      <alignment horizontal="right" vertical="center" wrapText="1"/>
    </xf>
    <xf numFmtId="49" fontId="31" fillId="10" borderId="32" xfId="0" applyNumberFormat="1" applyFont="1" applyFill="1" applyBorder="1" applyAlignment="1">
      <alignment horizontal="right" vertical="center" wrapText="1"/>
    </xf>
    <xf numFmtId="0" fontId="2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3" xfId="0" applyNumberFormat="1" applyFont="1" applyBorder="1" applyAlignment="1">
      <alignment vertical="center"/>
    </xf>
    <xf numFmtId="49" fontId="5" fillId="0" borderId="34"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5" xfId="0" applyNumberFormat="1" applyFont="1" applyBorder="1" applyAlignment="1">
      <alignment horizontal="center" vertical="center"/>
    </xf>
    <xf numFmtId="0" fontId="0" fillId="0" borderId="35"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7"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6" xfId="0" applyNumberFormat="1" applyFont="1" applyBorder="1" applyAlignment="1">
      <alignment horizontal="left" vertical="center" indent="1"/>
    </xf>
    <xf numFmtId="0" fontId="84" fillId="0" borderId="37" xfId="0" applyNumberFormat="1" applyFont="1" applyBorder="1" applyAlignment="1">
      <alignment horizontal="left" vertical="center" indent="1"/>
    </xf>
    <xf numFmtId="0" fontId="84" fillId="0" borderId="38"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49" fontId="28" fillId="20" borderId="0" xfId="0" applyNumberFormat="1" applyFont="1" applyFill="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10" borderId="39" xfId="0" applyNumberFormat="1" applyFont="1" applyFill="1" applyBorder="1" applyAlignment="1">
      <alignment vertical="center" wrapText="1"/>
    </xf>
    <xf numFmtId="0" fontId="5" fillId="10" borderId="40"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6" fillId="10" borderId="32" xfId="0" applyNumberFormat="1" applyFont="1" applyFill="1" applyBorder="1" applyAlignment="1">
      <alignment horizontal="center" vertical="center"/>
    </xf>
    <xf numFmtId="49" fontId="86" fillId="10" borderId="32"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1" xfId="0" applyNumberFormat="1" applyFont="1" applyFill="1" applyBorder="1" applyAlignment="1">
      <alignment vertical="top" wrapText="1"/>
    </xf>
    <xf numFmtId="49" fontId="86" fillId="10" borderId="41" xfId="0" applyNumberFormat="1" applyFont="1" applyFill="1" applyBorder="1" applyAlignment="1">
      <alignment horizontal="left" vertical="center" indent="1"/>
    </xf>
    <xf numFmtId="0" fontId="0" fillId="0" borderId="38" xfId="0" applyNumberFormat="1" applyFont="1" applyBorder="1" applyAlignment="1">
      <alignment horizontal="left" vertical="center" wrapText="1"/>
    </xf>
    <xf numFmtId="0" fontId="5" fillId="0" borderId="38" xfId="0" applyNumberFormat="1" applyFont="1" applyBorder="1" applyAlignment="1">
      <alignment vertical="center" wrapText="1"/>
    </xf>
    <xf numFmtId="0" fontId="5" fillId="0" borderId="42" xfId="0" applyNumberFormat="1" applyFont="1" applyBorder="1" applyAlignment="1">
      <alignment vertical="center" wrapText="1"/>
    </xf>
    <xf numFmtId="0" fontId="5" fillId="0" borderId="43"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39" xfId="0" applyNumberFormat="1" applyFont="1" applyFill="1" applyBorder="1" applyAlignment="1">
      <alignment horizontal="left"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4" xfId="0" applyNumberFormat="1" applyFont="1" applyBorder="1" applyAlignment="1">
      <alignment horizontal="center" vertical="center"/>
    </xf>
    <xf numFmtId="0" fontId="5" fillId="0" borderId="44" xfId="0" applyNumberFormat="1" applyFont="1" applyBorder="1" applyAlignment="1">
      <alignment horizontal="right" vertical="center"/>
    </xf>
    <xf numFmtId="0" fontId="5" fillId="0" borderId="44"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5"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29"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8"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6"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7"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7"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6"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6" xfId="0" applyNumberFormat="1" applyFont="1" applyBorder="1" applyAlignment="1">
      <alignment horizontal="left" vertical="center" wrapText="1"/>
    </xf>
    <xf numFmtId="49" fontId="5" fillId="0" borderId="26"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49" fontId="5" fillId="0" borderId="26"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6" xfId="0" applyNumberFormat="1" applyFont="1" applyBorder="1" applyAlignment="1">
      <alignment horizontal="left" vertical="center"/>
    </xf>
    <xf numFmtId="0" fontId="21" fillId="10" borderId="27"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7"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7"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6" xfId="0" applyNumberFormat="1" applyFont="1" applyBorder="1" applyAlignment="1">
      <alignment horizontal="center" vertical="center" wrapText="1"/>
    </xf>
    <xf numFmtId="0" fontId="21" fillId="10" borderId="27"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6"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7" xfId="0" applyNumberFormat="1" applyFont="1" applyBorder="1" applyAlignment="1">
      <alignment horizontal="center"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48"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96"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6" xfId="0" applyNumberFormat="1" applyFont="1" applyFill="1" applyBorder="1" applyAlignment="1">
      <alignment horizontal="left" vertical="top" wrapText="1" indent="1"/>
    </xf>
    <xf numFmtId="49" fontId="5" fillId="13" borderId="26" xfId="0" applyNumberFormat="1" applyFont="1" applyFill="1" applyBorder="1" applyAlignment="1">
      <alignment horizontal="center" vertical="top" wrapText="1"/>
    </xf>
    <xf numFmtId="49" fontId="0" fillId="12" borderId="26" xfId="0" applyNumberFormat="1" applyFont="1" applyFill="1" applyBorder="1" applyAlignment="1" applyProtection="1">
      <alignment horizontal="center" vertical="top" wrapText="1"/>
      <protection locked="0"/>
    </xf>
    <xf numFmtId="49" fontId="0" fillId="9" borderId="26" xfId="0" applyNumberFormat="1" applyFont="1" applyFill="1" applyBorder="1" applyAlignment="1" applyProtection="1">
      <alignment horizontal="center" vertical="top" wrapText="1"/>
      <protection locked="0"/>
    </xf>
    <xf numFmtId="49" fontId="5" fillId="13" borderId="26" xfId="0" applyNumberFormat="1" applyFont="1" applyFill="1" applyBorder="1" applyAlignment="1">
      <alignment horizontal="left" vertical="top" wrapText="1"/>
    </xf>
    <xf numFmtId="49" fontId="5" fillId="12" borderId="26" xfId="0" applyNumberFormat="1" applyFont="1" applyFill="1" applyBorder="1" applyAlignment="1" applyProtection="1">
      <alignment horizontal="left" vertical="top" wrapText="1"/>
      <protection locked="0"/>
    </xf>
    <xf numFmtId="49" fontId="0" fillId="7" borderId="26" xfId="0" applyNumberFormat="1" applyFont="1" applyFill="1" applyBorder="1" applyAlignment="1">
      <alignment horizontal="center" vertical="top" wrapText="1"/>
    </xf>
    <xf numFmtId="0" fontId="5" fillId="7" borderId="26" xfId="0" applyNumberFormat="1" applyFont="1" applyFill="1" applyBorder="1" applyAlignment="1">
      <alignment horizontal="center" vertical="top" wrapText="1"/>
    </xf>
    <xf numFmtId="0" fontId="5" fillId="9" borderId="26" xfId="0" applyNumberFormat="1" applyFont="1" applyFill="1" applyBorder="1" applyAlignment="1" applyProtection="1">
      <alignment horizontal="left" vertical="top" wrapText="1"/>
      <protection locked="0"/>
    </xf>
    <xf numFmtId="0" fontId="21" fillId="0" borderId="26" xfId="0" applyNumberFormat="1" applyFont="1" applyBorder="1" applyAlignment="1">
      <alignment horizontal="left" vertical="center"/>
    </xf>
    <xf numFmtId="0" fontId="21" fillId="9" borderId="26" xfId="0" applyNumberFormat="1" applyFont="1" applyFill="1" applyBorder="1" applyAlignment="1" applyProtection="1">
      <alignment horizontal="left" vertical="center"/>
      <protection locked="0"/>
    </xf>
    <xf numFmtId="0" fontId="21" fillId="12" borderId="26" xfId="0" applyNumberFormat="1" applyFont="1" applyFill="1" applyBorder="1" applyAlignment="1" applyProtection="1">
      <alignment horizontal="left" vertical="center"/>
      <protection locked="0"/>
    </xf>
    <xf numFmtId="14" fontId="5" fillId="13" borderId="26"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6"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6"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6"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6"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0"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6"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97"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98" fillId="0" borderId="0" xfId="0" applyNumberFormat="1" applyFont="1" applyAlignment="1">
      <alignment horizontal="center" vertical="top" wrapText="1"/>
    </xf>
    <xf numFmtId="49" fontId="0" fillId="7" borderId="26" xfId="0" applyNumberFormat="1" applyFont="1" applyFill="1" applyBorder="1">
      <alignment vertical="top"/>
    </xf>
    <xf numFmtId="49" fontId="0" fillId="0" borderId="26" xfId="0" applyNumberFormat="1" applyFont="1" applyBorder="1">
      <alignment vertical="top"/>
    </xf>
    <xf numFmtId="49" fontId="0" fillId="12" borderId="26" xfId="0" applyNumberFormat="1" applyFont="1" applyFill="1" applyBorder="1" applyProtection="1">
      <alignment vertical="top"/>
      <protection locked="0"/>
    </xf>
    <xf numFmtId="49" fontId="98" fillId="0" borderId="26"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6" xfId="0" applyNumberFormat="1" applyFont="1" applyBorder="1" applyAlignment="1">
      <alignment horizontal="left" vertical="top"/>
    </xf>
    <xf numFmtId="49" fontId="0" fillId="13" borderId="26" xfId="0" applyNumberFormat="1" applyFont="1" applyFill="1" applyBorder="1" applyAlignment="1">
      <alignment horizontal="left" vertical="top"/>
    </xf>
    <xf numFmtId="49" fontId="0" fillId="9" borderId="26"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6"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6" xfId="0" applyNumberFormat="1" applyFont="1" applyBorder="1" applyAlignment="1">
      <alignment vertical="center" wrapText="1"/>
    </xf>
    <xf numFmtId="49" fontId="18" fillId="0" borderId="26"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6"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6" borderId="0" xfId="0" applyNumberFormat="1" applyFont="1" applyFill="1" applyAlignment="1">
      <alignment vertical="center" wrapText="1"/>
    </xf>
    <xf numFmtId="0" fontId="28" fillId="0" borderId="0" xfId="0" applyNumberFormat="1" applyFont="1" applyAlignment="1">
      <alignment vertical="top" wrapText="1"/>
    </xf>
    <xf numFmtId="0" fontId="0" fillId="0" borderId="2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99"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6"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6" xfId="0" applyNumberFormat="1" applyFont="1" applyBorder="1" applyAlignment="1">
      <alignment horizontal="left" vertical="center" wrapText="1" indent="1"/>
    </xf>
    <xf numFmtId="49" fontId="86" fillId="10" borderId="31"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2" xfId="0" applyNumberFormat="1" applyFont="1" applyBorder="1" applyAlignment="1">
      <alignment horizontal="center" vertical="center"/>
    </xf>
    <xf numFmtId="49" fontId="76" fillId="0" borderId="32"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0"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1" xfId="0" applyNumberFormat="1" applyFont="1" applyBorder="1" applyAlignment="1">
      <alignment vertical="top" wrapText="1"/>
    </xf>
    <xf numFmtId="49" fontId="76" fillId="0" borderId="41" xfId="0" applyNumberFormat="1" applyFont="1" applyBorder="1" applyAlignment="1">
      <alignment horizontal="left" vertical="center" indent="1"/>
    </xf>
    <xf numFmtId="49" fontId="0" fillId="13" borderId="26"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1" fillId="0" borderId="3" xfId="0" applyNumberFormat="1" applyFont="1" applyBorder="1" applyAlignment="1">
      <alignment horizontal="center" vertical="center" wrapText="1"/>
    </xf>
    <xf numFmtId="49" fontId="101" fillId="0" borderId="8" xfId="0" applyNumberFormat="1" applyFont="1" applyBorder="1" applyAlignment="1">
      <alignment horizontal="center" vertical="center" wrapText="1"/>
    </xf>
    <xf numFmtId="0" fontId="5" fillId="26" borderId="3" xfId="12" applyFont="1" applyFill="1" applyBorder="1" applyAlignment="1">
      <alignment vertical="center"/>
    </xf>
    <xf numFmtId="0" fontId="28" fillId="27"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7"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xf>
    <xf numFmtId="4" fontId="5" fillId="9" borderId="8"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vertical="center" wrapText="1"/>
    </xf>
    <xf numFmtId="167" fontId="5" fillId="0" borderId="3" xfId="0" applyNumberFormat="1" applyFont="1" applyBorder="1" applyAlignment="1">
      <alignment horizontal="right" vertical="center" wrapText="1"/>
    </xf>
    <xf numFmtId="49" fontId="0" fillId="0" borderId="3" xfId="0" applyNumberFormat="1" applyFont="1" applyBorder="1" applyAlignment="1">
      <alignment horizontal="left" vertical="center" wrapText="1" indent="1"/>
    </xf>
    <xf numFmtId="49" fontId="0" fillId="0" borderId="8" xfId="0" applyNumberFormat="1" applyFont="1" applyBorder="1" applyAlignment="1">
      <alignment horizontal="left" vertical="center" wrapText="1"/>
    </xf>
    <xf numFmtId="49" fontId="0" fillId="28" borderId="0" xfId="0" applyNumberFormat="1" applyFont="1" applyFill="1" applyAlignment="1">
      <alignment vertical="center" wrapText="1"/>
    </xf>
    <xf numFmtId="1" fontId="5" fillId="12" borderId="49"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6"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49" fontId="5" fillId="9" borderId="5"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2"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pplyAlignment="1">
      <alignment horizontal="center" vertical="center" wrapText="1"/>
    </xf>
    <xf numFmtId="0" fontId="0" fillId="9" borderId="3" xfId="0" applyNumberFormat="1" applyFont="1" applyFill="1" applyBorder="1" applyAlignment="1" applyProtection="1">
      <alignment horizontal="left" vertical="center" wrapText="1" indent="2"/>
      <protection locked="0"/>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57" fillId="12" borderId="3" xfId="0" applyNumberFormat="1" applyFont="1" applyFill="1" applyBorder="1" applyAlignment="1" applyProtection="1">
      <alignment horizontal="left" vertical="center" wrapText="1" indent="1"/>
      <protection locked="0"/>
    </xf>
    <xf numFmtId="49" fontId="0" fillId="0" borderId="3" xfId="0" applyNumberFormat="1" applyFont="1" applyBorder="1" applyAlignment="1">
      <alignment horizontal="lef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9" fillId="9" borderId="3" xfId="0" applyNumberFormat="1" applyFont="1" applyFill="1" applyBorder="1" applyAlignment="1" applyProtection="1">
      <alignment horizontal="left" vertical="center" wrapText="1"/>
      <protection locked="0"/>
    </xf>
    <xf numFmtId="49" fontId="9" fillId="9" borderId="4" xfId="0" applyNumberFormat="1" applyFont="1" applyFill="1" applyBorder="1" applyAlignment="1" applyProtection="1">
      <alignment horizontal="left" vertical="center" wrapText="1"/>
      <protection locked="0"/>
    </xf>
    <xf numFmtId="0" fontId="11" fillId="0" borderId="0" xfId="0" applyNumberFormat="1" applyFont="1" applyAlignment="1"/>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51" xfId="0" applyNumberFormat="1" applyFont="1" applyBorder="1" applyAlignment="1">
      <alignment horizontal="center" vertical="center" wrapText="1"/>
    </xf>
    <xf numFmtId="49" fontId="17" fillId="0" borderId="52"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7"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7"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53" xfId="0" applyNumberFormat="1" applyFont="1" applyBorder="1" applyAlignment="1">
      <alignment horizontal="center" vertical="center" wrapText="1"/>
    </xf>
    <xf numFmtId="0" fontId="5" fillId="0" borderId="54"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0" fillId="0" borderId="3" xfId="0" applyNumberFormat="1" applyFont="1" applyBorder="1">
      <alignment vertical="top"/>
    </xf>
    <xf numFmtId="0" fontId="5" fillId="13" borderId="8" xfId="0" applyNumberFormat="1" applyFont="1" applyFill="1" applyBorder="1" applyAlignment="1">
      <alignment horizontal="left" vertical="center" wrapText="1" indent="2"/>
    </xf>
    <xf numFmtId="0" fontId="5" fillId="13" borderId="26"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0" xfId="0" applyNumberFormat="1" applyFont="1" applyBorder="1" applyAlignment="1">
      <alignment horizontal="center" vertical="center" wrapText="1"/>
    </xf>
    <xf numFmtId="0" fontId="5" fillId="0" borderId="50"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7"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6"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6"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6"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7"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6"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6"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7"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6"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6"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7"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6"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6"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6"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6"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7"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6"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7"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6"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6"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6"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49" fontId="73" fillId="0" borderId="0" xfId="0" applyNumberFormat="1" applyFont="1" applyAlignment="1">
      <alignment horizontal="center" vertical="center" wrapText="1"/>
    </xf>
    <xf numFmtId="0" fontId="29" fillId="0" borderId="0" xfId="0" applyNumberFormat="1" applyFont="1" applyAlignment="1">
      <alignment vertical="center"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6"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6"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5" fillId="12" borderId="3" xfId="0" applyNumberFormat="1" applyFont="1" applyFill="1" applyBorder="1" applyAlignment="1" applyProtection="1">
      <alignment horizontal="left" vertical="top" wrapText="1"/>
      <protection locked="0"/>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8" xfId="0" applyNumberFormat="1" applyFont="1" applyBorder="1" applyAlignment="1">
      <alignment horizontal="left" vertical="center" wrapText="1" indent="1"/>
    </xf>
    <xf numFmtId="49" fontId="28" fillId="0" borderId="26"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5" fillId="0" borderId="4" xfId="0" applyNumberFormat="1" applyFont="1" applyBorder="1" applyAlignment="1">
      <alignment horizontal="center" vertical="center" wrapText="1"/>
    </xf>
    <xf numFmtId="49" fontId="28" fillId="0" borderId="5" xfId="0" applyNumberFormat="1" applyFont="1" applyBorder="1" applyAlignment="1">
      <alignment horizontal="center" vertical="center" wrapText="1"/>
    </xf>
    <xf numFmtId="49" fontId="21" fillId="10" borderId="40"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56"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0"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4"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1"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98"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6"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5" fillId="0" borderId="55" xfId="0" applyNumberFormat="1" applyFont="1" applyBorder="1" applyAlignment="1">
      <alignment horizontal="center" vertical="center"/>
    </xf>
    <xf numFmtId="0" fontId="5" fillId="0" borderId="32"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6"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6"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6"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2"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6"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26" fillId="0" borderId="3" xfId="0" applyNumberFormat="1" applyFont="1" applyBorder="1" applyAlignment="1">
      <alignment horizontal="center" vertical="center"/>
    </xf>
    <xf numFmtId="0" fontId="0"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6"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6"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5" fillId="13" borderId="8" xfId="0" applyNumberFormat="1" applyFont="1" applyFill="1" applyBorder="1" applyAlignment="1">
      <alignment horizontal="left" vertical="center" wrapText="1"/>
    </xf>
    <xf numFmtId="0" fontId="5" fillId="13" borderId="26"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6"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7"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6"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plan@srte.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8" Type="http://schemas.openxmlformats.org/officeDocument/2006/relationships/hyperlink" Target="https://portal.eias.ru/Portal/DownloadPage.aspx?type=12&amp;guid=45041a31-4717-4fc8-81e8-b85b0a6ad7f8" TargetMode="External"/><Relationship Id="rId13" Type="http://schemas.openxmlformats.org/officeDocument/2006/relationships/hyperlink" Target="https://portal.eias.ru/Portal/DownloadPage.aspx?type=12&amp;guid=45041a31-4717-4fc8-81e8-b85b0a6ad7f8" TargetMode="External"/><Relationship Id="rId18" Type="http://schemas.openxmlformats.org/officeDocument/2006/relationships/hyperlink" Target="https://portal.eias.ru/Portal/DownloadPage.aspx?type=12&amp;guid=45041a31-4717-4fc8-81e8-b85b0a6ad7f8" TargetMode="External"/><Relationship Id="rId3" Type="http://schemas.openxmlformats.org/officeDocument/2006/relationships/hyperlink" Target="https://portal.eias.ru/Portal/DownloadPage.aspx?type=12&amp;guid=45041a31-4717-4fc8-81e8-b85b0a6ad7f8" TargetMode="External"/><Relationship Id="rId21" Type="http://schemas.openxmlformats.org/officeDocument/2006/relationships/hyperlink" Target="https://portal.eias.ru/Portal/DownloadPage.aspx?type=12&amp;guid=45041a31-4717-4fc8-81e8-b85b0a6ad7f8" TargetMode="External"/><Relationship Id="rId7" Type="http://schemas.openxmlformats.org/officeDocument/2006/relationships/hyperlink" Target="https://portal.eias.ru/Portal/DownloadPage.aspx?type=12&amp;guid=45041a31-4717-4fc8-81e8-b85b0a6ad7f8" TargetMode="External"/><Relationship Id="rId12" Type="http://schemas.openxmlformats.org/officeDocument/2006/relationships/hyperlink" Target="https://portal.eias.ru/Portal/DownloadPage.aspx?type=12&amp;guid=45041a31-4717-4fc8-81e8-b85b0a6ad7f8" TargetMode="External"/><Relationship Id="rId17" Type="http://schemas.openxmlformats.org/officeDocument/2006/relationships/hyperlink" Target="https://portal.eias.ru/Portal/DownloadPage.aspx?type=12&amp;guid=45041a31-4717-4fc8-81e8-b85b0a6ad7f8" TargetMode="External"/><Relationship Id="rId2" Type="http://schemas.openxmlformats.org/officeDocument/2006/relationships/hyperlink" Target="https://portal.eias.ru/Portal/DownloadPage.aspx?type=12&amp;guid=45041a31-4717-4fc8-81e8-b85b0a6ad7f8" TargetMode="External"/><Relationship Id="rId16" Type="http://schemas.openxmlformats.org/officeDocument/2006/relationships/hyperlink" Target="https://portal.eias.ru/Portal/DownloadPage.aspx?type=12&amp;guid=45041a31-4717-4fc8-81e8-b85b0a6ad7f8" TargetMode="External"/><Relationship Id="rId20" Type="http://schemas.openxmlformats.org/officeDocument/2006/relationships/hyperlink" Target="https://portal.eias.ru/Portal/DownloadPage.aspx?type=12&amp;guid=45041a31-4717-4fc8-81e8-b85b0a6ad7f8" TargetMode="External"/><Relationship Id="rId1" Type="http://schemas.openxmlformats.org/officeDocument/2006/relationships/hyperlink" Target="https://portal.eias.ru/Portal/DownloadPage.aspx?type=12&amp;guid=45041a31-4717-4fc8-81e8-b85b0a6ad7f8" TargetMode="External"/><Relationship Id="rId6" Type="http://schemas.openxmlformats.org/officeDocument/2006/relationships/hyperlink" Target="https://portal.eias.ru/Portal/DownloadPage.aspx?type=12&amp;guid=45041a31-4717-4fc8-81e8-b85b0a6ad7f8" TargetMode="External"/><Relationship Id="rId11" Type="http://schemas.openxmlformats.org/officeDocument/2006/relationships/hyperlink" Target="https://portal.eias.ru/Portal/DownloadPage.aspx?type=12&amp;guid=45041a31-4717-4fc8-81e8-b85b0a6ad7f8" TargetMode="External"/><Relationship Id="rId5" Type="http://schemas.openxmlformats.org/officeDocument/2006/relationships/hyperlink" Target="https://portal.eias.ru/Portal/DownloadPage.aspx?type=12&amp;guid=45041a31-4717-4fc8-81e8-b85b0a6ad7f8" TargetMode="External"/><Relationship Id="rId15" Type="http://schemas.openxmlformats.org/officeDocument/2006/relationships/hyperlink" Target="https://portal.eias.ru/Portal/DownloadPage.aspx?type=12&amp;guid=45041a31-4717-4fc8-81e8-b85b0a6ad7f8" TargetMode="External"/><Relationship Id="rId10" Type="http://schemas.openxmlformats.org/officeDocument/2006/relationships/hyperlink" Target="https://portal.eias.ru/Portal/DownloadPage.aspx?type=12&amp;guid=45041a31-4717-4fc8-81e8-b85b0a6ad7f8" TargetMode="External"/><Relationship Id="rId19" Type="http://schemas.openxmlformats.org/officeDocument/2006/relationships/hyperlink" Target="https://portal.eias.ru/Portal/DownloadPage.aspx?type=12&amp;guid=45041a31-4717-4fc8-81e8-b85b0a6ad7f8" TargetMode="External"/><Relationship Id="rId4" Type="http://schemas.openxmlformats.org/officeDocument/2006/relationships/hyperlink" Target="https://portal.eias.ru/Portal/DownloadPage.aspx?type=12&amp;guid=45041a31-4717-4fc8-81e8-b85b0a6ad7f8" TargetMode="External"/><Relationship Id="rId9" Type="http://schemas.openxmlformats.org/officeDocument/2006/relationships/hyperlink" Target="https://portal.eias.ru/Portal/DownloadPage.aspx?type=12&amp;guid=45041a31-4717-4fc8-81e8-b85b0a6ad7f8" TargetMode="External"/><Relationship Id="rId14" Type="http://schemas.openxmlformats.org/officeDocument/2006/relationships/hyperlink" Target="https://portal.eias.ru/Portal/DownloadPage.aspx?type=12&amp;guid=45041a31-4717-4fc8-81e8-b85b0a6ad7f8" TargetMode="Externa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36" zoomScale="90" workbookViewId="0">
      <selection activeCell="I68" sqref="I68"/>
    </sheetView>
  </sheetViews>
  <sheetFormatPr defaultColWidth="9.140625" defaultRowHeight="11.25" customHeight="1"/>
  <cols>
    <col min="1" max="1" width="10.7109375" style="686" hidden="1" customWidth="1"/>
    <col min="2" max="2" width="10.7109375" style="643" hidden="1" customWidth="1"/>
    <col min="3" max="3" width="3" style="463" customWidth="1"/>
    <col min="4" max="4" width="1" style="1423" customWidth="1"/>
    <col min="5" max="6" width="55" style="1423" customWidth="1"/>
    <col min="7" max="7" width="1" style="1844" customWidth="1"/>
    <col min="8" max="8" width="18" style="1423" hidden="1" customWidth="1"/>
    <col min="9" max="9" width="59" style="464" customWidth="1"/>
    <col min="10" max="10" width="52.140625" style="1154" hidden="1" customWidth="1"/>
    <col min="11" max="11" width="8" style="1423" customWidth="1"/>
    <col min="12" max="12" width="77" style="1423" customWidth="1"/>
    <col min="13" max="16" width="8" style="1423" customWidth="1"/>
    <col min="17" max="17" width="12" style="1423" hidden="1" customWidth="1"/>
  </cols>
  <sheetData>
    <row r="1" spans="1:17" s="553" customFormat="1" ht="3" customHeight="1">
      <c r="A1" s="682"/>
      <c r="B1" s="175"/>
      <c r="F1" s="176" t="s">
        <v>0</v>
      </c>
      <c r="G1" s="344"/>
      <c r="H1" s="9"/>
      <c r="I1" s="344"/>
      <c r="J1" s="770"/>
      <c r="Q1" s="176" t="s">
        <v>1</v>
      </c>
    </row>
    <row r="2" spans="1:17" s="1420" customFormat="1" ht="14.25" customHeight="1">
      <c r="A2" s="682"/>
      <c r="B2" s="36"/>
      <c r="E2" s="1499" t="e">
        <f>code</f>
        <v>#REF!</v>
      </c>
      <c r="F2" s="203"/>
      <c r="G2" s="179"/>
      <c r="H2" s="179"/>
      <c r="I2" s="179"/>
      <c r="J2" s="771"/>
      <c r="K2" s="179"/>
      <c r="Q2" s="9">
        <v>14</v>
      </c>
    </row>
    <row r="3" spans="1:17" ht="14.65" customHeight="1">
      <c r="E3" s="180" t="e">
        <f>version</f>
        <v>#REF!</v>
      </c>
      <c r="F3" s="203"/>
      <c r="G3" s="670"/>
      <c r="H3" s="670"/>
      <c r="I3" s="670"/>
      <c r="J3" s="772"/>
      <c r="K3" s="26"/>
      <c r="Q3" s="12">
        <v>14</v>
      </c>
    </row>
    <row r="4" spans="1:17" s="1400" customFormat="1" ht="6.4" customHeight="1">
      <c r="A4" s="683"/>
      <c r="B4" s="166"/>
      <c r="C4" s="167"/>
      <c r="D4" s="168"/>
      <c r="E4" s="177"/>
      <c r="F4" s="178"/>
      <c r="G4" s="671"/>
      <c r="H4" s="342"/>
      <c r="I4" s="344"/>
      <c r="J4" s="773"/>
      <c r="Q4" s="170">
        <v>6</v>
      </c>
    </row>
    <row r="5" spans="1:17" ht="39.75" customHeight="1">
      <c r="D5" s="13"/>
      <c r="E5" s="2246"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247"/>
      <c r="G5" s="672"/>
      <c r="J5" s="774"/>
      <c r="Q5" s="12">
        <v>38</v>
      </c>
    </row>
    <row r="6" spans="1:17" s="1400" customFormat="1" ht="6.4" customHeight="1">
      <c r="A6" s="683"/>
      <c r="B6" s="166"/>
      <c r="C6" s="167"/>
      <c r="D6" s="168"/>
      <c r="E6" s="171"/>
      <c r="F6" s="172"/>
      <c r="G6" s="672"/>
      <c r="H6" s="342"/>
      <c r="I6" s="344"/>
      <c r="J6" s="773"/>
      <c r="Q6" s="170">
        <v>6</v>
      </c>
    </row>
    <row r="7" spans="1:17" ht="21" customHeight="1">
      <c r="D7" s="13"/>
      <c r="E7" s="324" t="s">
        <v>2</v>
      </c>
      <c r="F7" s="149" t="s">
        <v>3</v>
      </c>
      <c r="G7" s="672"/>
      <c r="Q7" s="12">
        <v>20</v>
      </c>
    </row>
    <row r="8" spans="1:17" s="1400" customFormat="1" ht="6.4" customHeight="1">
      <c r="A8" s="684"/>
      <c r="B8" s="166"/>
      <c r="C8" s="167"/>
      <c r="D8" s="173"/>
      <c r="E8" s="171"/>
      <c r="F8" s="174"/>
      <c r="G8" s="15"/>
      <c r="H8" s="342"/>
      <c r="I8" s="344"/>
      <c r="J8" s="776"/>
      <c r="Q8" s="170">
        <v>6</v>
      </c>
    </row>
    <row r="9" spans="1:17" s="1423" customFormat="1" ht="19.5" hidden="1" customHeight="1">
      <c r="A9" s="683"/>
      <c r="B9" s="36"/>
      <c r="C9" s="341"/>
      <c r="D9" s="343"/>
      <c r="E9" s="966" t="s">
        <v>4</v>
      </c>
      <c r="F9" s="1674"/>
      <c r="G9" s="672"/>
      <c r="I9" s="1653" t="str">
        <f>IF(TITLE_STRUCTURE_INFO_ROIV="","","раскрывается "&amp;INDEX(ROIV_INFO_COMMENT,MATCH(TITLE_STRUCTURE_INFO_ROIV,ROIV_INFO_LIST,0)))</f>
        <v/>
      </c>
      <c r="J9" s="775"/>
      <c r="Q9" s="342">
        <v>0</v>
      </c>
    </row>
    <row r="10" spans="1:17" s="1400" customFormat="1" ht="24" hidden="1" customHeight="1">
      <c r="A10" s="684"/>
      <c r="B10" s="359"/>
      <c r="C10" s="360"/>
      <c r="D10" s="173"/>
      <c r="E10" s="966" t="s">
        <v>5</v>
      </c>
      <c r="F10" s="1816" t="s">
        <v>6</v>
      </c>
      <c r="G10" s="15"/>
      <c r="H10" s="342"/>
      <c r="I10" s="344"/>
      <c r="J10" s="776"/>
      <c r="Q10" s="363">
        <v>24</v>
      </c>
    </row>
    <row r="11" spans="1:17" ht="22.5" hidden="1" customHeight="1">
      <c r="A11" s="2249" t="s">
        <v>7</v>
      </c>
      <c r="D11" s="13"/>
      <c r="E11" s="966" t="s">
        <v>8</v>
      </c>
      <c r="F11" s="1491" t="s">
        <v>9</v>
      </c>
      <c r="G11" s="15"/>
      <c r="H11" s="673" t="s">
        <v>10</v>
      </c>
      <c r="J11" s="775" t="s">
        <v>11</v>
      </c>
      <c r="Q11" s="12">
        <v>0</v>
      </c>
    </row>
    <row r="12" spans="1:17" ht="22.5" hidden="1" customHeight="1">
      <c r="A12" s="2249"/>
      <c r="D12" s="13"/>
      <c r="E12" s="966" t="s">
        <v>12</v>
      </c>
      <c r="F12" s="1491"/>
      <c r="G12" s="11"/>
      <c r="J12" s="775" t="s">
        <v>13</v>
      </c>
      <c r="Q12" s="12">
        <v>0</v>
      </c>
    </row>
    <row r="13" spans="1:17" s="1423" customFormat="1" ht="22.5" hidden="1" customHeight="1">
      <c r="A13" s="687" t="s">
        <v>14</v>
      </c>
      <c r="B13" s="36"/>
      <c r="C13" s="341"/>
      <c r="D13" s="343"/>
      <c r="E13" s="1534" t="s">
        <v>15</v>
      </c>
      <c r="F13" s="1491" t="s">
        <v>9</v>
      </c>
      <c r="G13" s="15"/>
      <c r="H13" s="670"/>
      <c r="I13" s="344"/>
      <c r="J13" s="1535" t="s">
        <v>16</v>
      </c>
      <c r="Q13" s="342">
        <v>0</v>
      </c>
    </row>
    <row r="14" spans="1:17" s="1423" customFormat="1" ht="27" customHeight="1">
      <c r="A14" s="687" t="s">
        <v>17</v>
      </c>
      <c r="B14" s="36"/>
      <c r="C14" s="341"/>
      <c r="D14" s="343"/>
      <c r="E14" s="966" t="s">
        <v>18</v>
      </c>
      <c r="F14" s="1526">
        <v>2024</v>
      </c>
      <c r="G14" s="15"/>
      <c r="H14" s="670"/>
      <c r="I14" s="344"/>
      <c r="J14" s="775" t="s">
        <v>19</v>
      </c>
      <c r="Q14" s="342">
        <v>0</v>
      </c>
    </row>
    <row r="15" spans="1:17" s="1423" customFormat="1" ht="19.5" hidden="1" customHeight="1">
      <c r="A15" s="687" t="s">
        <v>20</v>
      </c>
      <c r="B15" s="36"/>
      <c r="C15" s="341"/>
      <c r="D15" s="343"/>
      <c r="E15" s="966" t="s">
        <v>21</v>
      </c>
      <c r="F15" s="1526"/>
      <c r="G15" s="15"/>
      <c r="H15" s="670"/>
      <c r="I15" s="344"/>
      <c r="J15" s="775" t="s">
        <v>22</v>
      </c>
      <c r="Q15" s="342">
        <v>0</v>
      </c>
    </row>
    <row r="16" spans="1:17" s="1400" customFormat="1" ht="6.4" customHeight="1">
      <c r="A16" s="684"/>
      <c r="B16" s="166"/>
      <c r="C16" s="167"/>
      <c r="D16" s="173"/>
      <c r="E16" s="171"/>
      <c r="F16" s="174"/>
      <c r="G16" s="15"/>
      <c r="H16" s="342"/>
      <c r="I16" s="344"/>
      <c r="J16" s="773"/>
      <c r="Q16" s="170">
        <v>6</v>
      </c>
    </row>
    <row r="17" spans="1:17" ht="21" customHeight="1">
      <c r="D17" s="13"/>
      <c r="E17" s="324" t="s">
        <v>23</v>
      </c>
      <c r="F17" s="1865" t="s">
        <v>24</v>
      </c>
      <c r="G17" s="11"/>
      <c r="H17" s="673" t="s">
        <v>10</v>
      </c>
      <c r="Q17" s="12">
        <v>20</v>
      </c>
    </row>
    <row r="18" spans="1:17" ht="25.5" hidden="1" customHeight="1">
      <c r="D18" s="13"/>
      <c r="E18" s="1534" t="s">
        <v>25</v>
      </c>
      <c r="F18" s="1492"/>
      <c r="G18" s="11"/>
      <c r="I18" s="674"/>
      <c r="J18" s="2248" t="s">
        <v>26</v>
      </c>
      <c r="Q18" s="12">
        <v>0</v>
      </c>
    </row>
    <row r="19" spans="1:17" ht="25.5" hidden="1" customHeight="1">
      <c r="D19" s="13"/>
      <c r="E19" s="966"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492"/>
      <c r="G19" s="11"/>
      <c r="I19" s="674"/>
      <c r="J19" s="2248"/>
      <c r="Q19" s="12">
        <v>0</v>
      </c>
    </row>
    <row r="20" spans="1:17" ht="22.5" hidden="1" customHeight="1">
      <c r="D20" s="13"/>
      <c r="E20" s="14"/>
      <c r="F20" s="204" t="str">
        <f>"Первичное "&amp;IF(TEMPLATE_GROUP="P","установление тарифов","предложение по тарифам")</f>
        <v>Первичное предложение по тарифам</v>
      </c>
      <c r="G20" s="11"/>
      <c r="I20" s="327"/>
      <c r="J20" s="774" t="s">
        <v>27</v>
      </c>
      <c r="Q20" s="12">
        <v>0</v>
      </c>
    </row>
    <row r="21" spans="1:17" ht="19.5" hidden="1" customHeight="1">
      <c r="D21" s="13"/>
      <c r="E21" s="324" t="str">
        <f>"Дата "&amp;IF(TEMPLATE_GROUP="P","документа","подачи заявления")&amp;" об утверждении тарифов"</f>
        <v>Дата подачи заявления об утверждении тарифов</v>
      </c>
      <c r="F21" s="1491"/>
      <c r="G21" s="11"/>
      <c r="I21" s="675"/>
      <c r="Q21" s="12">
        <v>0</v>
      </c>
    </row>
    <row r="22" spans="1:17" ht="19.5" hidden="1" customHeight="1">
      <c r="D22" s="13"/>
      <c r="E22" s="324" t="str">
        <f>"Номер "&amp;IF(TEMPLATE_GROUP="P","документа","подачи заявления")&amp;" об утверждении тарифов"</f>
        <v>Номер подачи заявления об утверждении тарифов</v>
      </c>
      <c r="F22" s="150"/>
      <c r="G22" s="11"/>
      <c r="I22" s="675"/>
      <c r="Q22" s="12">
        <v>0</v>
      </c>
    </row>
    <row r="23" spans="1:17" ht="22.5" hidden="1" customHeight="1">
      <c r="D23" s="13"/>
      <c r="E23" s="324" t="s">
        <v>28</v>
      </c>
      <c r="F23" s="150"/>
      <c r="G23" s="11"/>
      <c r="Q23" s="12">
        <v>0</v>
      </c>
    </row>
    <row r="24" spans="1:17" ht="19.5" hidden="1" customHeight="1">
      <c r="D24" s="13"/>
      <c r="E24" s="324" t="s">
        <v>29</v>
      </c>
      <c r="F24" s="150"/>
      <c r="G24" s="11"/>
      <c r="Q24" s="12">
        <v>0</v>
      </c>
    </row>
    <row r="25" spans="1:17" ht="22.5" hidden="1" customHeight="1">
      <c r="D25" s="13"/>
      <c r="E25" s="14"/>
      <c r="F25" s="204" t="str">
        <f>"Изменение "&amp;IF(TEMPLATE_GROUP="P","тарифов","предложения по тарифам")</f>
        <v>Изменение предложения по тарифам</v>
      </c>
      <c r="G25" s="11"/>
      <c r="J25" s="774" t="s">
        <v>30</v>
      </c>
      <c r="Q25" s="12">
        <v>0</v>
      </c>
    </row>
    <row r="26" spans="1:17" ht="19.5" hidden="1" customHeight="1">
      <c r="D26" s="13"/>
      <c r="E26" s="324" t="str">
        <f>"Дата "&amp;IF(TEMPLATE_GROUP="P","принятия решения","подачи заявления")&amp;" об изменении тарифов"</f>
        <v>Дата подачи заявления об изменении тарифов</v>
      </c>
      <c r="F26" s="1492"/>
      <c r="G26" s="11"/>
      <c r="Q26" s="12">
        <v>0</v>
      </c>
    </row>
    <row r="27" spans="1:17" ht="19.5" hidden="1" customHeight="1">
      <c r="D27" s="13"/>
      <c r="E27" s="966" t="str">
        <f>"Номер "&amp;IF(TEMPLATE_GROUP="P","принятия решения","заявления")&amp;" об изменении тарифов"</f>
        <v>Номер заявления об изменении тарифов</v>
      </c>
      <c r="F27" s="152"/>
      <c r="G27" s="11"/>
      <c r="Q27" s="12">
        <v>0</v>
      </c>
    </row>
    <row r="28" spans="1:17" ht="24.75" hidden="1" customHeight="1">
      <c r="D28" s="13"/>
      <c r="E28" s="324" t="s">
        <v>31</v>
      </c>
      <c r="F28" s="152"/>
      <c r="G28" s="11"/>
      <c r="Q28" s="12">
        <v>0</v>
      </c>
    </row>
    <row r="29" spans="1:17" ht="19.5" hidden="1" customHeight="1">
      <c r="D29" s="13"/>
      <c r="E29" s="324" t="s">
        <v>29</v>
      </c>
      <c r="F29" s="152"/>
      <c r="G29" s="11"/>
      <c r="Q29" s="12">
        <v>0</v>
      </c>
    </row>
    <row r="30" spans="1:17" s="1400" customFormat="1" ht="6.4" customHeight="1">
      <c r="A30" s="684"/>
      <c r="B30" s="166"/>
      <c r="C30" s="167"/>
      <c r="D30" s="173"/>
      <c r="E30" s="171"/>
      <c r="F30" s="174"/>
      <c r="G30" s="15"/>
      <c r="H30" s="342"/>
      <c r="I30" s="344"/>
      <c r="J30" s="773"/>
      <c r="Q30" s="170">
        <v>6</v>
      </c>
    </row>
    <row r="31" spans="1:17" ht="21" customHeight="1">
      <c r="C31" s="16"/>
      <c r="D31" s="17"/>
      <c r="E31" s="324" t="str">
        <f>"Наименование "&amp;IF(TEMPLATE_GROUP="ROIV","органа тарифного регулирования","ЮЛ / ИП")</f>
        <v>Наименование ЮЛ / ИП</v>
      </c>
      <c r="F31" s="151" t="s">
        <v>32</v>
      </c>
      <c r="G31" s="676"/>
      <c r="Q31" s="12">
        <v>20</v>
      </c>
    </row>
    <row r="32" spans="1:17" ht="21" hidden="1" customHeight="1">
      <c r="C32" s="16"/>
      <c r="D32" s="17"/>
      <c r="E32" s="325" t="s">
        <v>33</v>
      </c>
      <c r="F32" s="151"/>
      <c r="G32" s="676"/>
      <c r="Q32" s="12">
        <v>20</v>
      </c>
    </row>
    <row r="33" spans="1:17" ht="21" customHeight="1">
      <c r="C33" s="16"/>
      <c r="D33" s="17"/>
      <c r="E33" s="324" t="s">
        <v>34</v>
      </c>
      <c r="F33" s="151" t="s">
        <v>35</v>
      </c>
      <c r="G33" s="676"/>
      <c r="Q33" s="12">
        <v>20</v>
      </c>
    </row>
    <row r="34" spans="1:17" ht="21" customHeight="1">
      <c r="C34" s="16"/>
      <c r="D34" s="17"/>
      <c r="E34" s="324" t="s">
        <v>36</v>
      </c>
      <c r="F34" s="151" t="s">
        <v>37</v>
      </c>
      <c r="G34" s="676"/>
      <c r="H34" s="18"/>
      <c r="Q34" s="12">
        <v>20</v>
      </c>
    </row>
    <row r="35" spans="1:17" s="1400" customFormat="1" ht="11.45" customHeight="1">
      <c r="A35" s="684"/>
      <c r="B35" s="166"/>
      <c r="C35" s="167"/>
      <c r="D35" s="173"/>
      <c r="E35" s="171"/>
      <c r="F35" s="174"/>
      <c r="G35" s="15"/>
      <c r="H35" s="342"/>
      <c r="I35" s="344"/>
      <c r="J35" s="773"/>
      <c r="Q35" s="170">
        <v>11</v>
      </c>
    </row>
    <row r="36" spans="1:17" ht="19.5" customHeight="1">
      <c r="A36" s="778"/>
      <c r="D36" s="17"/>
      <c r="E36" s="324" t="s">
        <v>38</v>
      </c>
      <c r="F36" s="998" t="s">
        <v>39</v>
      </c>
      <c r="G36" s="15"/>
      <c r="Q36" s="12">
        <v>0</v>
      </c>
    </row>
    <row r="37" spans="1:17" ht="21" customHeight="1">
      <c r="A37" s="778"/>
      <c r="D37" s="17"/>
      <c r="E37" s="324" t="s">
        <v>40</v>
      </c>
      <c r="F37" s="998" t="s">
        <v>41</v>
      </c>
      <c r="G37" s="15"/>
      <c r="Q37" s="12">
        <v>20</v>
      </c>
    </row>
    <row r="38" spans="1:17" s="1400" customFormat="1" ht="6.4" customHeight="1">
      <c r="A38" s="684"/>
      <c r="B38" s="166"/>
      <c r="C38" s="167"/>
      <c r="D38" s="168"/>
      <c r="E38" s="169"/>
      <c r="F38" s="889"/>
      <c r="G38" s="11"/>
      <c r="H38" s="342"/>
      <c r="I38" s="344"/>
      <c r="J38" s="775"/>
      <c r="Q38" s="170">
        <v>6</v>
      </c>
    </row>
    <row r="39" spans="1:17" ht="36.75" customHeight="1">
      <c r="A39" s="684"/>
      <c r="D39" s="13"/>
      <c r="E39" s="324" t="s">
        <v>42</v>
      </c>
      <c r="F39" s="628" t="s">
        <v>6</v>
      </c>
      <c r="G39" s="11"/>
      <c r="H39" s="673" t="s">
        <v>10</v>
      </c>
      <c r="Q39" s="12">
        <v>35</v>
      </c>
    </row>
    <row r="40" spans="1:17" s="1400" customFormat="1" ht="6" hidden="1" customHeight="1">
      <c r="A40" s="683"/>
      <c r="B40" s="359"/>
      <c r="C40" s="360"/>
      <c r="D40" s="361"/>
      <c r="E40" s="362"/>
      <c r="F40" s="889"/>
      <c r="G40" s="11"/>
      <c r="H40" s="342"/>
      <c r="I40" s="344"/>
      <c r="J40" s="775"/>
      <c r="Q40" s="363">
        <v>6</v>
      </c>
    </row>
    <row r="41" spans="1:17" s="1423" customFormat="1" ht="26.25" hidden="1" customHeight="1">
      <c r="A41" s="687" t="s">
        <v>14</v>
      </c>
      <c r="B41" s="346"/>
      <c r="C41" s="341"/>
      <c r="D41" s="343"/>
      <c r="E41" s="324"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28" t="s">
        <v>6</v>
      </c>
      <c r="G41" s="11"/>
      <c r="I41" s="344"/>
      <c r="J41" s="775"/>
      <c r="Q41" s="342">
        <v>0</v>
      </c>
    </row>
    <row r="42" spans="1:17" s="1400" customFormat="1" ht="6" hidden="1" customHeight="1">
      <c r="A42" s="683"/>
      <c r="B42" s="359"/>
      <c r="C42" s="360"/>
      <c r="D42" s="361"/>
      <c r="E42" s="362"/>
      <c r="F42" s="889"/>
      <c r="G42" s="11"/>
      <c r="H42" s="342"/>
      <c r="I42" s="344"/>
      <c r="J42" s="773"/>
      <c r="Q42" s="363">
        <v>0</v>
      </c>
    </row>
    <row r="43" spans="1:17" s="1423" customFormat="1" ht="27" hidden="1" customHeight="1">
      <c r="A43" s="683"/>
      <c r="B43" s="346"/>
      <c r="C43" s="341"/>
      <c r="D43" s="343"/>
      <c r="E43" s="324" t="s">
        <v>43</v>
      </c>
      <c r="F43" s="628" t="s">
        <v>6</v>
      </c>
      <c r="G43" s="11"/>
      <c r="I43" s="344"/>
      <c r="J43" s="775"/>
      <c r="Q43" s="342">
        <v>0</v>
      </c>
    </row>
    <row r="44" spans="1:17" s="1423" customFormat="1" ht="27" hidden="1" customHeight="1">
      <c r="A44" s="683"/>
      <c r="B44" s="346"/>
      <c r="C44" s="341"/>
      <c r="D44" s="343"/>
      <c r="E44" s="966" t="s">
        <v>44</v>
      </c>
      <c r="F44" s="1641"/>
      <c r="G44" s="11"/>
      <c r="I44" s="344"/>
      <c r="J44" s="775"/>
      <c r="Q44" s="342">
        <v>0</v>
      </c>
    </row>
    <row r="45" spans="1:17" s="1400" customFormat="1" ht="6" hidden="1" customHeight="1">
      <c r="A45" s="683"/>
      <c r="B45" s="359"/>
      <c r="C45" s="360"/>
      <c r="D45" s="361"/>
      <c r="E45" s="362"/>
      <c r="F45" s="889"/>
      <c r="G45" s="11"/>
      <c r="H45" s="342"/>
      <c r="I45" s="344"/>
      <c r="J45" s="775"/>
      <c r="Q45" s="363">
        <v>0</v>
      </c>
    </row>
    <row r="46" spans="1:17" s="1400" customFormat="1" ht="24.75" hidden="1" customHeight="1">
      <c r="A46" s="683"/>
      <c r="B46" s="359"/>
      <c r="C46" s="360"/>
      <c r="D46" s="361"/>
      <c r="E46" s="966" t="s">
        <v>45</v>
      </c>
      <c r="F46" s="628" t="s">
        <v>6</v>
      </c>
      <c r="G46" s="11"/>
      <c r="H46" s="342"/>
      <c r="I46" s="344"/>
      <c r="J46" s="775"/>
      <c r="Q46" s="363">
        <v>0</v>
      </c>
    </row>
    <row r="47" spans="1:17" s="1423" customFormat="1" ht="24.75" hidden="1" customHeight="1">
      <c r="A47" s="683"/>
      <c r="B47" s="346"/>
      <c r="C47" s="341"/>
      <c r="D47" s="343"/>
      <c r="E47" s="966" t="s">
        <v>46</v>
      </c>
      <c r="F47" s="628" t="s">
        <v>6</v>
      </c>
      <c r="G47" s="11"/>
      <c r="I47" s="344"/>
      <c r="J47" s="775"/>
      <c r="Q47" s="342">
        <v>0</v>
      </c>
    </row>
    <row r="48" spans="1:17" s="1400" customFormat="1" ht="6" hidden="1" customHeight="1">
      <c r="A48" s="683"/>
      <c r="B48" s="166"/>
      <c r="C48" s="167"/>
      <c r="D48" s="168"/>
      <c r="E48" s="169"/>
      <c r="F48" s="889"/>
      <c r="G48" s="11"/>
      <c r="H48" s="342"/>
      <c r="I48" s="344"/>
      <c r="J48" s="775"/>
      <c r="Q48" s="170">
        <v>0</v>
      </c>
    </row>
    <row r="49" spans="1:17" ht="29.25" hidden="1" customHeight="1">
      <c r="B49" s="83"/>
      <c r="D49" s="13"/>
      <c r="E49" s="324"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28"/>
      <c r="G49" s="11"/>
      <c r="Q49" s="12">
        <v>0</v>
      </c>
    </row>
    <row r="50" spans="1:17" s="1400" customFormat="1" ht="6" customHeight="1">
      <c r="A50" s="684"/>
      <c r="B50" s="359"/>
      <c r="C50" s="360"/>
      <c r="D50" s="173"/>
      <c r="E50" s="171"/>
      <c r="F50" s="174"/>
      <c r="G50" s="15"/>
      <c r="H50" s="342"/>
      <c r="I50" s="344"/>
      <c r="J50" s="775"/>
      <c r="Q50" s="363">
        <v>0</v>
      </c>
    </row>
    <row r="51" spans="1:17" s="1423" customFormat="1" ht="28.5" customHeight="1">
      <c r="A51" s="685"/>
      <c r="B51" s="346"/>
      <c r="C51" s="463"/>
      <c r="D51" s="464"/>
      <c r="E51" s="324" t="s">
        <v>47</v>
      </c>
      <c r="F51" s="628" t="s">
        <v>6</v>
      </c>
      <c r="G51" s="465"/>
      <c r="I51" s="467"/>
      <c r="J51" s="777"/>
      <c r="P51" s="468"/>
      <c r="Q51" s="466">
        <v>0</v>
      </c>
    </row>
    <row r="52" spans="1:17" s="1400" customFormat="1" ht="6" customHeight="1">
      <c r="A52" s="684"/>
      <c r="B52" s="359"/>
      <c r="C52" s="360"/>
      <c r="D52" s="173"/>
      <c r="E52" s="171"/>
      <c r="F52" s="174"/>
      <c r="G52" s="15"/>
      <c r="H52" s="342"/>
      <c r="I52" s="344"/>
      <c r="J52" s="773"/>
      <c r="Q52" s="363">
        <v>0</v>
      </c>
    </row>
    <row r="53" spans="1:17" s="1423" customFormat="1" ht="27" customHeight="1">
      <c r="A53" s="685"/>
      <c r="B53" s="346"/>
      <c r="C53" s="463"/>
      <c r="D53" s="464"/>
      <c r="E53" s="324" t="s">
        <v>48</v>
      </c>
      <c r="F53" s="887" t="s">
        <v>6</v>
      </c>
      <c r="G53" s="465"/>
      <c r="I53" s="467"/>
      <c r="J53" s="777"/>
      <c r="P53" s="468"/>
      <c r="Q53" s="466">
        <v>0</v>
      </c>
    </row>
    <row r="54" spans="1:17" s="1423" customFormat="1" ht="27" hidden="1" customHeight="1">
      <c r="A54" s="685"/>
      <c r="B54" s="346"/>
      <c r="C54" s="463"/>
      <c r="D54" s="464"/>
      <c r="E54" s="324" t="s">
        <v>49</v>
      </c>
      <c r="F54" s="1533"/>
      <c r="G54" s="465"/>
      <c r="I54" s="467"/>
      <c r="J54" s="777"/>
      <c r="P54" s="468"/>
      <c r="Q54" s="466">
        <v>0</v>
      </c>
    </row>
    <row r="55" spans="1:17" s="1400" customFormat="1" ht="6" customHeight="1">
      <c r="A55" s="684"/>
      <c r="B55" s="359"/>
      <c r="C55" s="360"/>
      <c r="D55" s="173"/>
      <c r="E55" s="171"/>
      <c r="F55" s="174"/>
      <c r="G55" s="15"/>
      <c r="H55" s="342"/>
      <c r="I55" s="344"/>
      <c r="J55" s="773"/>
      <c r="Q55" s="363">
        <v>0</v>
      </c>
    </row>
    <row r="56" spans="1:17" s="1423" customFormat="1" ht="25.5" customHeight="1">
      <c r="A56" s="685"/>
      <c r="B56" s="346"/>
      <c r="C56" s="463"/>
      <c r="D56" s="464"/>
      <c r="E56" s="324" t="s">
        <v>50</v>
      </c>
      <c r="F56" s="887" t="s">
        <v>6</v>
      </c>
      <c r="G56" s="465"/>
      <c r="I56" s="467"/>
      <c r="J56" s="777"/>
      <c r="P56" s="468"/>
      <c r="Q56" s="466">
        <v>0</v>
      </c>
    </row>
    <row r="57" spans="1:17" s="1400" customFormat="1" ht="6" customHeight="1">
      <c r="A57" s="684"/>
      <c r="B57" s="359"/>
      <c r="C57" s="360"/>
      <c r="D57" s="173"/>
      <c r="E57" s="171"/>
      <c r="F57" s="174"/>
      <c r="G57" s="15"/>
      <c r="H57" s="342"/>
      <c r="I57" s="344"/>
      <c r="J57" s="773"/>
      <c r="Q57" s="363">
        <v>0</v>
      </c>
    </row>
    <row r="58" spans="1:17" s="1423" customFormat="1" ht="15" customHeight="1">
      <c r="A58" s="685"/>
      <c r="B58" s="346"/>
      <c r="C58" s="463"/>
      <c r="D58" s="464"/>
      <c r="E58" s="324" t="s">
        <v>51</v>
      </c>
      <c r="F58" s="887" t="s">
        <v>52</v>
      </c>
      <c r="G58" s="465"/>
      <c r="I58" s="467"/>
      <c r="J58" s="777"/>
      <c r="P58" s="468"/>
      <c r="Q58" s="466">
        <v>0</v>
      </c>
    </row>
    <row r="59" spans="1:17" s="1423" customFormat="1" ht="75" customHeight="1">
      <c r="A59" s="685"/>
      <c r="B59" s="346"/>
      <c r="C59" s="463"/>
      <c r="D59" s="464"/>
      <c r="E59" s="324"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987" t="s">
        <v>52</v>
      </c>
      <c r="G59" s="465"/>
      <c r="I59" s="467"/>
      <c r="J59" s="777"/>
      <c r="P59" s="468"/>
      <c r="Q59" s="466">
        <v>0</v>
      </c>
    </row>
    <row r="60" spans="1:17" s="1423" customFormat="1" ht="15" customHeight="1">
      <c r="A60" s="685"/>
      <c r="B60" s="346"/>
      <c r="C60" s="463"/>
      <c r="D60" s="464"/>
      <c r="E60" s="966" t="s">
        <v>53</v>
      </c>
      <c r="F60" s="998" t="s">
        <v>54</v>
      </c>
      <c r="G60" s="465"/>
      <c r="I60" s="467"/>
      <c r="J60" s="777"/>
      <c r="P60" s="468"/>
      <c r="Q60" s="466">
        <v>0</v>
      </c>
    </row>
    <row r="61" spans="1:17" s="1400" customFormat="1" ht="6" hidden="1" customHeight="1">
      <c r="A61" s="684"/>
      <c r="B61" s="359"/>
      <c r="C61" s="360"/>
      <c r="D61" s="361"/>
      <c r="E61" s="362"/>
      <c r="F61" s="889"/>
      <c r="G61" s="11"/>
      <c r="H61" s="342"/>
      <c r="I61" s="344"/>
      <c r="J61" s="775"/>
      <c r="Q61" s="363">
        <v>0</v>
      </c>
    </row>
    <row r="62" spans="1:17" s="1423" customFormat="1" ht="33.75" hidden="1" customHeight="1">
      <c r="A62" s="684"/>
      <c r="B62" s="36"/>
      <c r="C62" s="341"/>
      <c r="D62" s="343"/>
      <c r="E62" s="966" t="s">
        <v>55</v>
      </c>
      <c r="F62" s="1458"/>
      <c r="G62" s="11"/>
      <c r="H62" s="673" t="s">
        <v>10</v>
      </c>
      <c r="I62" s="344"/>
      <c r="J62" s="775"/>
      <c r="Q62" s="342">
        <v>0</v>
      </c>
    </row>
    <row r="63" spans="1:17" s="1400" customFormat="1" ht="6.4" customHeight="1">
      <c r="A63" s="684"/>
      <c r="B63" s="166"/>
      <c r="C63" s="167"/>
      <c r="D63" s="173"/>
      <c r="E63" s="171"/>
      <c r="F63" s="174"/>
      <c r="G63" s="15"/>
      <c r="H63" s="342"/>
      <c r="I63" s="344"/>
      <c r="J63" s="773"/>
      <c r="Q63" s="170">
        <v>6</v>
      </c>
    </row>
    <row r="64" spans="1:17" ht="21" customHeight="1">
      <c r="B64" s="37"/>
      <c r="D64" s="20"/>
      <c r="E64" s="324" t="s">
        <v>56</v>
      </c>
      <c r="F64" s="150" t="s">
        <v>57</v>
      </c>
      <c r="G64" s="15"/>
      <c r="Q64" s="12">
        <v>20</v>
      </c>
    </row>
    <row r="65" spans="1:17" ht="21" customHeight="1">
      <c r="B65" s="37"/>
      <c r="D65" s="20"/>
      <c r="E65" s="324" t="s">
        <v>58</v>
      </c>
      <c r="F65" s="150" t="s">
        <v>59</v>
      </c>
      <c r="G65" s="15"/>
      <c r="Q65" s="12">
        <v>20</v>
      </c>
    </row>
    <row r="66" spans="1:17" ht="36.75" customHeight="1">
      <c r="D66" s="13"/>
      <c r="E66" s="326" t="s">
        <v>60</v>
      </c>
      <c r="F66" s="890"/>
      <c r="G66" s="11"/>
      <c r="Q66" s="12">
        <v>35</v>
      </c>
    </row>
    <row r="67" spans="1:17" ht="21" customHeight="1">
      <c r="D67" s="343"/>
      <c r="E67" s="324" t="s">
        <v>61</v>
      </c>
      <c r="F67" s="205" t="s">
        <v>62</v>
      </c>
      <c r="G67" s="15"/>
      <c r="Q67" s="12">
        <v>20</v>
      </c>
    </row>
    <row r="68" spans="1:17" ht="21" customHeight="1">
      <c r="B68" s="37"/>
      <c r="D68" s="20"/>
      <c r="E68" s="324" t="s">
        <v>63</v>
      </c>
      <c r="F68" s="205" t="s">
        <v>64</v>
      </c>
      <c r="G68" s="15"/>
      <c r="Q68" s="12">
        <v>20</v>
      </c>
    </row>
    <row r="69" spans="1:17" ht="21" customHeight="1">
      <c r="B69" s="37"/>
      <c r="D69" s="20"/>
      <c r="E69" s="324" t="s">
        <v>65</v>
      </c>
      <c r="F69" s="205" t="s">
        <v>66</v>
      </c>
      <c r="G69" s="15"/>
      <c r="Q69" s="12">
        <v>20</v>
      </c>
    </row>
    <row r="70" spans="1:17" ht="21" customHeight="1">
      <c r="D70" s="343"/>
      <c r="E70" s="324" t="s">
        <v>67</v>
      </c>
      <c r="F70" s="1880" t="s">
        <v>68</v>
      </c>
      <c r="G70" s="11"/>
      <c r="Q70" s="12">
        <v>20</v>
      </c>
    </row>
    <row r="71" spans="1:17" ht="21" customHeight="1">
      <c r="D71" s="11"/>
      <c r="F71" s="69"/>
      <c r="G71" s="15"/>
      <c r="Q71" s="12">
        <v>20</v>
      </c>
    </row>
    <row r="72" spans="1:17" ht="21" customHeight="1">
      <c r="B72" s="37"/>
      <c r="D72" s="20"/>
      <c r="E72" s="19"/>
      <c r="F72" s="875" t="s">
        <v>0</v>
      </c>
      <c r="G72" s="15"/>
      <c r="Q72" s="12">
        <v>20</v>
      </c>
    </row>
    <row r="73" spans="1:17" ht="21" customHeight="1">
      <c r="B73" s="37"/>
      <c r="D73" s="20"/>
      <c r="E73" s="19"/>
      <c r="F73" s="70"/>
      <c r="G73" s="15"/>
      <c r="Q73" s="12">
        <v>20</v>
      </c>
    </row>
    <row r="74" spans="1:17" ht="21" customHeight="1">
      <c r="B74" s="37"/>
      <c r="D74" s="20"/>
      <c r="E74" s="24"/>
      <c r="F74" s="70"/>
      <c r="G74" s="15"/>
      <c r="Q74" s="12">
        <v>20</v>
      </c>
    </row>
    <row r="75" spans="1:17" ht="21" customHeight="1">
      <c r="B75" s="37"/>
      <c r="D75" s="20"/>
      <c r="E75" s="19"/>
      <c r="F75" s="70"/>
      <c r="G75" s="15"/>
      <c r="Q75" s="12">
        <v>20</v>
      </c>
    </row>
    <row r="76" spans="1:17" ht="11.45" customHeight="1">
      <c r="Q76" s="12">
        <v>11</v>
      </c>
    </row>
    <row r="77" spans="1:17" ht="11.45" customHeight="1">
      <c r="Q77" s="12">
        <v>11</v>
      </c>
    </row>
    <row r="78" spans="1:17" ht="11.45" customHeight="1">
      <c r="E78" s="323"/>
      <c r="F78" s="323"/>
      <c r="G78" s="323"/>
      <c r="H78" s="323"/>
      <c r="I78" s="323"/>
      <c r="Q78" s="12">
        <v>11</v>
      </c>
    </row>
    <row r="79" spans="1:17" ht="11.25" hidden="1" customHeight="1">
      <c r="A79" s="683" t="s">
        <v>69</v>
      </c>
      <c r="B79" s="36">
        <v>0</v>
      </c>
      <c r="C79" s="10">
        <v>3</v>
      </c>
      <c r="D79" s="12">
        <v>1</v>
      </c>
      <c r="E79" s="12">
        <v>55</v>
      </c>
      <c r="F79" s="12">
        <v>54</v>
      </c>
      <c r="G79" s="671">
        <v>1</v>
      </c>
      <c r="H79" s="342">
        <v>0</v>
      </c>
      <c r="I79" s="344">
        <v>59</v>
      </c>
      <c r="J79" s="775">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54" hidden="1"/>
    <col min="2" max="2" width="11" style="1154" hidden="1" customWidth="1"/>
    <col min="3" max="3" width="10.5703125" style="1154" hidden="1"/>
    <col min="4" max="4" width="11.85546875" style="1154" hidden="1" customWidth="1"/>
    <col min="5" max="5" width="10" style="1154" hidden="1" customWidth="1"/>
    <col min="6" max="6" width="8.7109375" style="1154" hidden="1" customWidth="1"/>
    <col min="7" max="7" width="7.5703125" style="1154" hidden="1" customWidth="1"/>
    <col min="8" max="8" width="11.42578125" style="1154" hidden="1" customWidth="1"/>
    <col min="9" max="9" width="12" style="1154" hidden="1" customWidth="1"/>
    <col min="10" max="10" width="9.85546875" style="1154" hidden="1" customWidth="1"/>
    <col min="11" max="11" width="11.42578125" style="1154" hidden="1" customWidth="1"/>
    <col min="12" max="12" width="19.140625" style="1866" hidden="1" customWidth="1"/>
    <col min="13" max="14" width="12.28515625" style="1535" hidden="1" customWidth="1"/>
    <col min="15" max="15" width="23.42578125" style="1535" hidden="1" customWidth="1"/>
    <col min="16" max="16" width="3" style="1857" customWidth="1"/>
    <col min="17" max="18" width="3" style="278" customWidth="1"/>
    <col min="19" max="19" width="12" style="1858" customWidth="1"/>
    <col min="20" max="20" width="35" style="1423" customWidth="1"/>
    <col min="21" max="21" width="0.140625" style="1423" customWidth="1"/>
    <col min="22" max="22" width="24.7109375" style="1423" hidden="1" customWidth="1"/>
    <col min="23" max="23" width="0.140625" style="1423" hidden="1" customWidth="1"/>
    <col min="24" max="25" width="24.7109375" style="1423" hidden="1" customWidth="1"/>
    <col min="26" max="26" width="11.7109375" style="1423" hidden="1" customWidth="1"/>
    <col min="27" max="27" width="3.7109375" style="1423" hidden="1" customWidth="1"/>
    <col min="28" max="28" width="11.7109375" style="1423" hidden="1" customWidth="1"/>
    <col min="29" max="29" width="8.5703125" style="1423" hidden="1" customWidth="1"/>
    <col min="30" max="30" width="24.7109375" style="1423" customWidth="1"/>
    <col min="31" max="31" width="0.140625" style="1423" customWidth="1"/>
    <col min="32" max="33" width="24" style="1423" customWidth="1"/>
    <col min="34" max="34" width="11" style="1423" customWidth="1"/>
    <col min="35" max="35" width="3.7109375" style="1423" customWidth="1"/>
    <col min="36" max="36" width="11" style="1423" customWidth="1"/>
    <col min="37" max="37" width="8.5703125" style="1423" hidden="1" customWidth="1"/>
    <col min="38" max="38" width="4" style="1423" customWidth="1"/>
    <col min="39" max="39" width="115" style="1423" customWidth="1"/>
    <col min="40" max="44" width="10" style="1430" customWidth="1"/>
    <col min="45" max="45" width="10.5703125" style="1423" hidden="1"/>
  </cols>
  <sheetData>
    <row r="1" spans="1:45" ht="22.5" hidden="1" customHeight="1">
      <c r="Y1" s="261"/>
      <c r="Z1" s="261"/>
      <c r="AG1" s="261"/>
      <c r="AH1" s="261"/>
      <c r="AS1" s="956" t="s">
        <v>1</v>
      </c>
    </row>
    <row r="2" spans="1:45" ht="21" hidden="1" customHeight="1">
      <c r="A2" s="1151"/>
      <c r="B2" s="1151"/>
      <c r="C2" s="1151"/>
      <c r="D2" s="1151"/>
      <c r="E2" s="2395">
        <v>1</v>
      </c>
      <c r="F2" s="1151"/>
      <c r="G2" s="1151"/>
      <c r="H2" s="1151"/>
      <c r="I2" s="1151"/>
      <c r="J2" s="1151"/>
      <c r="K2" s="1151"/>
      <c r="L2" s="1152"/>
      <c r="M2" s="1153"/>
      <c r="N2" s="1153"/>
      <c r="O2" s="1153"/>
      <c r="P2" s="294"/>
      <c r="Q2" s="293"/>
      <c r="R2" s="288"/>
      <c r="S2" s="1097" t="e">
        <f>INDEX(PT_DIFFERENTIATION_NUM_NTAR,MATCH(A2,PT_DIFFERENTIATION_NTAR_ID,0))</f>
        <v>#N/A</v>
      </c>
      <c r="T2" s="232" t="s">
        <v>214</v>
      </c>
      <c r="U2" s="234"/>
      <c r="V2" s="2389"/>
      <c r="W2" s="2390"/>
      <c r="X2" s="2390"/>
      <c r="Y2" s="2390"/>
      <c r="Z2" s="2390"/>
      <c r="AA2" s="2390"/>
      <c r="AB2" s="2390"/>
      <c r="AC2" s="2391"/>
      <c r="AD2" s="2389" t="e">
        <f>INDEX(PT_DIFFERENTIATION_NTAR,MATCH(A2,PT_DIFFERENTIATION_NTAR_ID,0))</f>
        <v>#N/A</v>
      </c>
      <c r="AE2" s="2390"/>
      <c r="AF2" s="2390"/>
      <c r="AG2" s="2390"/>
      <c r="AH2" s="2390"/>
      <c r="AI2" s="2390"/>
      <c r="AJ2" s="2390"/>
      <c r="AK2" s="2390"/>
      <c r="AL2" s="2391"/>
      <c r="AM2" s="1046" t="s">
        <v>480</v>
      </c>
      <c r="AO2" s="433"/>
      <c r="AP2" s="433" t="str">
        <f t="shared" ref="AP2:AP15" si="0">IF(T2="","",T2)</f>
        <v>Наименование тарифа</v>
      </c>
      <c r="AQ2" s="433"/>
      <c r="AR2" s="433"/>
      <c r="AS2" s="956">
        <v>0</v>
      </c>
    </row>
    <row r="3" spans="1:45" ht="21" hidden="1" customHeight="1">
      <c r="A3" s="1151"/>
      <c r="B3" s="1151"/>
      <c r="C3" s="1151"/>
      <c r="D3" s="1151"/>
      <c r="E3" s="2396"/>
      <c r="F3" s="2395">
        <v>1</v>
      </c>
      <c r="G3" s="1151"/>
      <c r="H3" s="1151"/>
      <c r="I3" s="1151"/>
      <c r="J3" s="1151"/>
      <c r="K3" s="1151"/>
      <c r="L3" s="1152"/>
      <c r="M3" s="1153"/>
      <c r="N3" s="1153"/>
      <c r="O3" s="1153"/>
      <c r="P3" s="1092"/>
      <c r="Q3" s="285"/>
      <c r="R3" s="286"/>
      <c r="S3" s="1097" t="e">
        <f>INDEX(PT_DIFFERENTIATION_NUM_TER,MATCH(B3,PT_DIFFERENTIATION_TER_ID,0))</f>
        <v>#N/A</v>
      </c>
      <c r="T3" s="242" t="s">
        <v>481</v>
      </c>
      <c r="U3" s="234"/>
      <c r="V3" s="2389"/>
      <c r="W3" s="2390"/>
      <c r="X3" s="2390"/>
      <c r="Y3" s="2390"/>
      <c r="Z3" s="2390"/>
      <c r="AA3" s="2390"/>
      <c r="AB3" s="2390"/>
      <c r="AC3" s="2391"/>
      <c r="AD3" s="2389" t="e">
        <f>INDEX(PT_DIFFERENTIATION_TER,MATCH(B3,PT_DIFFERENTIATION_TER_ID,0))</f>
        <v>#N/A</v>
      </c>
      <c r="AE3" s="2390"/>
      <c r="AF3" s="2390"/>
      <c r="AG3" s="2390"/>
      <c r="AH3" s="2390"/>
      <c r="AI3" s="2390"/>
      <c r="AJ3" s="2390"/>
      <c r="AK3" s="2390"/>
      <c r="AL3" s="2391"/>
      <c r="AM3" s="1046" t="s">
        <v>482</v>
      </c>
      <c r="AO3" s="433"/>
      <c r="AP3" s="433" t="str">
        <f t="shared" si="0"/>
        <v>Территория действия тарифа</v>
      </c>
      <c r="AQ3" s="433"/>
      <c r="AR3" s="433"/>
      <c r="AS3" s="956">
        <v>0</v>
      </c>
    </row>
    <row r="4" spans="1:45" ht="23.25" hidden="1" customHeight="1">
      <c r="A4" s="1151"/>
      <c r="B4" s="1151"/>
      <c r="C4" s="1151"/>
      <c r="D4" s="1151"/>
      <c r="E4" s="2396"/>
      <c r="F4" s="2396"/>
      <c r="G4" s="2395">
        <v>1</v>
      </c>
      <c r="H4" s="1151"/>
      <c r="I4" s="1151"/>
      <c r="J4" s="1151"/>
      <c r="K4" s="1151"/>
      <c r="L4" s="1152"/>
      <c r="M4" s="1153"/>
      <c r="N4" s="1153"/>
      <c r="O4" s="1153"/>
      <c r="P4" s="287"/>
      <c r="Q4" s="285"/>
      <c r="R4" s="286"/>
      <c r="S4" s="1097" t="e">
        <f>INDEX(PT_DIFFERENTIATION_NUM_CS,MATCH(C4,PT_DIFFERENTIATION_CS_ID,0))</f>
        <v>#N/A</v>
      </c>
      <c r="T4" s="243" t="s">
        <v>483</v>
      </c>
      <c r="U4" s="234"/>
      <c r="V4" s="2389"/>
      <c r="W4" s="2390"/>
      <c r="X4" s="2390"/>
      <c r="Y4" s="2390"/>
      <c r="Z4" s="2390"/>
      <c r="AA4" s="2390"/>
      <c r="AB4" s="2390"/>
      <c r="AC4" s="2391"/>
      <c r="AD4" s="2389" t="e">
        <f>INDEX(PT_DIFFERENTIATION_CS,MATCH(C4,PT_DIFFERENTIATION_CS_ID,0))</f>
        <v>#N/A</v>
      </c>
      <c r="AE4" s="2390"/>
      <c r="AF4" s="2390"/>
      <c r="AG4" s="2390"/>
      <c r="AH4" s="2390"/>
      <c r="AI4" s="2390"/>
      <c r="AJ4" s="2390"/>
      <c r="AK4" s="2390"/>
      <c r="AL4" s="2391"/>
      <c r="AM4" s="1046" t="s">
        <v>484</v>
      </c>
      <c r="AO4" s="433"/>
      <c r="AP4" s="433" t="str">
        <f t="shared" si="0"/>
        <v xml:space="preserve">Наименование системы теплоснабжения </v>
      </c>
      <c r="AQ4" s="433"/>
      <c r="AR4" s="433"/>
      <c r="AS4" s="956">
        <v>0</v>
      </c>
    </row>
    <row r="5" spans="1:45" ht="21" hidden="1" customHeight="1">
      <c r="A5" s="1151"/>
      <c r="B5" s="1151"/>
      <c r="C5" s="1151"/>
      <c r="D5" s="1151"/>
      <c r="E5" s="2396"/>
      <c r="F5" s="2396"/>
      <c r="G5" s="2396"/>
      <c r="H5" s="2395">
        <v>1</v>
      </c>
      <c r="I5" s="1151"/>
      <c r="J5" s="1151"/>
      <c r="K5" s="1151"/>
      <c r="L5" s="1152"/>
      <c r="M5" s="1153"/>
      <c r="N5" s="1153"/>
      <c r="O5" s="1153"/>
      <c r="P5" s="287"/>
      <c r="Q5" s="285"/>
      <c r="R5" s="286"/>
      <c r="S5" s="1097" t="e">
        <f>INDEX(PT_DIFFERENTIATION_NUM_IST_TE,MATCH(D5,PT_DIFFERENTIATION_IST_TE_ID,0))</f>
        <v>#N/A</v>
      </c>
      <c r="T5" s="244" t="s">
        <v>485</v>
      </c>
      <c r="U5" s="234"/>
      <c r="V5" s="2389"/>
      <c r="W5" s="2390"/>
      <c r="X5" s="2390"/>
      <c r="Y5" s="2390"/>
      <c r="Z5" s="2390"/>
      <c r="AA5" s="2390"/>
      <c r="AB5" s="2390"/>
      <c r="AC5" s="2391"/>
      <c r="AD5" s="2389" t="e">
        <f>INDEX(PT_DIFFERENTIATION_IST_TE,MATCH(D5,PT_DIFFERENTIATION_IST_TE_ID,0))</f>
        <v>#N/A</v>
      </c>
      <c r="AE5" s="2390"/>
      <c r="AF5" s="2390"/>
      <c r="AG5" s="2390"/>
      <c r="AH5" s="2390"/>
      <c r="AI5" s="2390"/>
      <c r="AJ5" s="2390"/>
      <c r="AK5" s="2390"/>
      <c r="AL5" s="2391"/>
      <c r="AM5" s="1046" t="s">
        <v>486</v>
      </c>
      <c r="AO5" s="433"/>
      <c r="AP5" s="433" t="str">
        <f t="shared" si="0"/>
        <v xml:space="preserve">Источник тепловой энергии  </v>
      </c>
      <c r="AQ5" s="433"/>
      <c r="AR5" s="433"/>
      <c r="AS5" s="956">
        <v>0</v>
      </c>
    </row>
    <row r="6" spans="1:45" ht="47.25" hidden="1" customHeight="1">
      <c r="A6" s="1151"/>
      <c r="B6" s="1151"/>
      <c r="C6" s="1151"/>
      <c r="D6" s="1151"/>
      <c r="E6" s="2396"/>
      <c r="F6" s="2396"/>
      <c r="G6" s="2396"/>
      <c r="H6" s="2396"/>
      <c r="I6" s="2397" t="e">
        <f>S5&amp;".1"</f>
        <v>#N/A</v>
      </c>
      <c r="J6" s="1151"/>
      <c r="K6" s="1151"/>
      <c r="L6" s="1152" t="s">
        <v>487</v>
      </c>
      <c r="M6" s="469"/>
      <c r="P6" s="2399">
        <v>1</v>
      </c>
      <c r="Q6" s="1093"/>
      <c r="R6" s="289"/>
      <c r="S6" s="1097" t="e">
        <f>$I6</f>
        <v>#N/A</v>
      </c>
      <c r="T6" s="219" t="s">
        <v>488</v>
      </c>
      <c r="U6" s="234"/>
      <c r="V6" s="2383"/>
      <c r="W6" s="2384"/>
      <c r="X6" s="2384"/>
      <c r="Y6" s="2384"/>
      <c r="Z6" s="2384"/>
      <c r="AA6" s="2384"/>
      <c r="AB6" s="2384"/>
      <c r="AC6" s="2385"/>
      <c r="AD6" s="2383"/>
      <c r="AE6" s="2384"/>
      <c r="AF6" s="2384"/>
      <c r="AG6" s="2384"/>
      <c r="AH6" s="2384"/>
      <c r="AI6" s="2384"/>
      <c r="AJ6" s="2384"/>
      <c r="AK6" s="2384"/>
      <c r="AL6" s="2385"/>
      <c r="AM6" s="1046" t="s">
        <v>489</v>
      </c>
      <c r="AO6" s="433"/>
      <c r="AP6" s="433" t="str">
        <f t="shared" si="0"/>
        <v>Схема подключения теплопотребляющей установки к коллектору источника тепловой энергии</v>
      </c>
      <c r="AQ6" s="433"/>
      <c r="AR6" s="433"/>
      <c r="AS6" s="956">
        <v>0</v>
      </c>
    </row>
    <row r="7" spans="1:45" ht="21" hidden="1" customHeight="1">
      <c r="A7" s="1151"/>
      <c r="B7" s="1151"/>
      <c r="C7" s="1151"/>
      <c r="D7" s="1151"/>
      <c r="E7" s="2396"/>
      <c r="F7" s="2396"/>
      <c r="G7" s="2396"/>
      <c r="H7" s="2396"/>
      <c r="I7" s="2398"/>
      <c r="J7" s="2397" t="e">
        <f>I6&amp;".1"</f>
        <v>#N/A</v>
      </c>
      <c r="K7" s="1151"/>
      <c r="L7" s="1152" t="s">
        <v>490</v>
      </c>
      <c r="M7" s="469"/>
      <c r="N7" s="1154"/>
      <c r="P7" s="2399"/>
      <c r="Q7" s="2399">
        <v>1</v>
      </c>
      <c r="R7" s="290"/>
      <c r="S7" s="1097" t="e">
        <f>$J7</f>
        <v>#N/A</v>
      </c>
      <c r="T7" s="220" t="s">
        <v>491</v>
      </c>
      <c r="U7" s="234"/>
      <c r="V7" s="2383"/>
      <c r="W7" s="2384"/>
      <c r="X7" s="2384"/>
      <c r="Y7" s="2384"/>
      <c r="Z7" s="2384"/>
      <c r="AA7" s="2384"/>
      <c r="AB7" s="2384"/>
      <c r="AC7" s="2385"/>
      <c r="AD7" s="2383"/>
      <c r="AE7" s="2384"/>
      <c r="AF7" s="2384"/>
      <c r="AG7" s="2384"/>
      <c r="AH7" s="2384"/>
      <c r="AI7" s="2384"/>
      <c r="AJ7" s="2384"/>
      <c r="AK7" s="2384"/>
      <c r="AL7" s="2385"/>
      <c r="AM7" s="1046" t="s">
        <v>492</v>
      </c>
      <c r="AO7" s="433"/>
      <c r="AP7" s="433" t="str">
        <f t="shared" si="0"/>
        <v>Группа потребителей</v>
      </c>
      <c r="AQ7" s="433"/>
      <c r="AR7" s="433"/>
      <c r="AS7" s="956">
        <v>0</v>
      </c>
    </row>
    <row r="8" spans="1:45" ht="21" hidden="1" customHeight="1">
      <c r="A8" s="1151"/>
      <c r="B8" s="1151"/>
      <c r="C8" s="1151"/>
      <c r="D8" s="1151"/>
      <c r="E8" s="2396"/>
      <c r="F8" s="2396"/>
      <c r="G8" s="2396"/>
      <c r="H8" s="2396"/>
      <c r="I8" s="2398"/>
      <c r="J8" s="2398"/>
      <c r="K8" s="2397" t="e">
        <f>J7&amp;".1"</f>
        <v>#N/A</v>
      </c>
      <c r="L8" s="1152" t="s">
        <v>493</v>
      </c>
      <c r="M8" s="469"/>
      <c r="N8" s="1154"/>
      <c r="O8" s="1154"/>
      <c r="P8" s="2399"/>
      <c r="Q8" s="2399"/>
      <c r="R8" s="290">
        <v>1</v>
      </c>
      <c r="S8" s="1097" t="e">
        <f>$K8</f>
        <v>#N/A</v>
      </c>
      <c r="T8" s="1135"/>
      <c r="U8" s="234"/>
      <c r="V8" s="658"/>
      <c r="W8" s="259"/>
      <c r="X8" s="658"/>
      <c r="Y8" s="1045"/>
      <c r="Z8" s="2400"/>
      <c r="AA8" s="2276" t="s">
        <v>52</v>
      </c>
      <c r="AB8" s="2400"/>
      <c r="AC8" s="2276" t="s">
        <v>52</v>
      </c>
      <c r="AD8" s="658"/>
      <c r="AE8" s="259"/>
      <c r="AF8" s="658"/>
      <c r="AG8" s="1045"/>
      <c r="AH8" s="2400"/>
      <c r="AI8" s="2276" t="s">
        <v>52</v>
      </c>
      <c r="AJ8" s="2400"/>
      <c r="AK8" s="2276" t="s">
        <v>52</v>
      </c>
      <c r="AL8" s="259"/>
      <c r="AM8" s="2418" t="s">
        <v>494</v>
      </c>
      <c r="AN8" s="444" t="e">
        <f ca="1">STRCHECKDATE(V9:AL9)</f>
        <v>#NAME?</v>
      </c>
      <c r="AO8" s="433"/>
      <c r="AP8" s="433" t="str">
        <f t="shared" si="0"/>
        <v/>
      </c>
      <c r="AQ8" s="433"/>
      <c r="AR8" s="433"/>
      <c r="AS8" s="956">
        <v>0</v>
      </c>
    </row>
    <row r="9" spans="1:45" ht="0.75" hidden="1" customHeight="1">
      <c r="A9" s="1151"/>
      <c r="B9" s="1151"/>
      <c r="C9" s="1151"/>
      <c r="D9" s="1151"/>
      <c r="E9" s="2396"/>
      <c r="F9" s="2396"/>
      <c r="G9" s="2396"/>
      <c r="H9" s="2396"/>
      <c r="I9" s="2398"/>
      <c r="J9" s="2398"/>
      <c r="K9" s="2397"/>
      <c r="L9" s="1152"/>
      <c r="M9" s="469"/>
      <c r="N9" s="1154"/>
      <c r="O9" s="1154"/>
      <c r="P9" s="2399"/>
      <c r="Q9" s="2399"/>
      <c r="R9" s="290"/>
      <c r="S9" s="1094"/>
      <c r="T9" s="234"/>
      <c r="U9" s="234"/>
      <c r="V9" s="259"/>
      <c r="W9" s="259"/>
      <c r="X9" s="259"/>
      <c r="Y9" s="262" t="str">
        <f>Z8&amp;"-"&amp;AB8</f>
        <v>-</v>
      </c>
      <c r="Z9" s="2401"/>
      <c r="AA9" s="2276"/>
      <c r="AB9" s="2401"/>
      <c r="AC9" s="2276"/>
      <c r="AD9" s="259"/>
      <c r="AE9" s="259"/>
      <c r="AF9" s="259"/>
      <c r="AG9" s="262" t="str">
        <f>AH8&amp;"-"&amp;AJ8</f>
        <v>-</v>
      </c>
      <c r="AH9" s="2401"/>
      <c r="AI9" s="2276"/>
      <c r="AJ9" s="2401"/>
      <c r="AK9" s="2276"/>
      <c r="AL9" s="259"/>
      <c r="AM9" s="2419"/>
      <c r="AO9" s="433"/>
      <c r="AP9" s="433" t="str">
        <f t="shared" si="0"/>
        <v/>
      </c>
      <c r="AQ9" s="433"/>
      <c r="AR9" s="433"/>
      <c r="AS9" s="956">
        <v>0</v>
      </c>
    </row>
    <row r="10" spans="1:45" ht="15" hidden="1" customHeight="1">
      <c r="A10" s="1151"/>
      <c r="B10" s="1151"/>
      <c r="C10" s="1151"/>
      <c r="D10" s="1151"/>
      <c r="E10" s="2396"/>
      <c r="F10" s="2396"/>
      <c r="G10" s="2396"/>
      <c r="H10" s="2396"/>
      <c r="I10" s="2398"/>
      <c r="J10" s="2397"/>
      <c r="K10" s="1151"/>
      <c r="L10" s="1152"/>
      <c r="M10" s="469"/>
      <c r="N10" s="1154"/>
      <c r="P10" s="2399"/>
      <c r="Q10" s="2399"/>
      <c r="R10" s="289"/>
      <c r="S10" s="1066"/>
      <c r="T10" s="222" t="s">
        <v>495</v>
      </c>
      <c r="U10" s="300"/>
      <c r="V10" s="300"/>
      <c r="W10" s="300"/>
      <c r="X10" s="300"/>
      <c r="Y10" s="300"/>
      <c r="Z10" s="300"/>
      <c r="AA10" s="300"/>
      <c r="AB10" s="300"/>
      <c r="AC10" s="300"/>
      <c r="AD10" s="300"/>
      <c r="AE10" s="300"/>
      <c r="AF10" s="300"/>
      <c r="AG10" s="300"/>
      <c r="AH10" s="300"/>
      <c r="AI10" s="300"/>
      <c r="AJ10" s="300"/>
      <c r="AK10" s="300"/>
      <c r="AL10" s="258"/>
      <c r="AM10" s="2420"/>
      <c r="AO10" s="433"/>
      <c r="AP10" s="433" t="str">
        <f t="shared" si="0"/>
        <v>Добавить вид теплоносителя (параметры теплоносителя)</v>
      </c>
      <c r="AQ10" s="433"/>
      <c r="AR10" s="433"/>
      <c r="AS10" s="956">
        <v>0</v>
      </c>
    </row>
    <row r="11" spans="1:45" ht="15" hidden="1" customHeight="1">
      <c r="A11" s="1151"/>
      <c r="B11" s="1151"/>
      <c r="C11" s="1151"/>
      <c r="D11" s="1151"/>
      <c r="E11" s="2396"/>
      <c r="F11" s="2396"/>
      <c r="G11" s="2396"/>
      <c r="H11" s="2396"/>
      <c r="I11" s="2397"/>
      <c r="J11" s="1151"/>
      <c r="K11" s="1151"/>
      <c r="L11" s="1152"/>
      <c r="M11" s="469"/>
      <c r="P11" s="2399"/>
      <c r="Q11" s="1093"/>
      <c r="R11" s="289"/>
      <c r="S11" s="1066"/>
      <c r="T11" s="221" t="s">
        <v>496</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956">
        <v>0</v>
      </c>
    </row>
    <row r="12" spans="1:45" ht="14.25" hidden="1" customHeight="1">
      <c r="A12" s="1151"/>
      <c r="B12" s="1151"/>
      <c r="C12" s="1151"/>
      <c r="D12" s="1151"/>
      <c r="E12" s="2396"/>
      <c r="F12" s="2396"/>
      <c r="G12" s="2396"/>
      <c r="H12" s="2395"/>
      <c r="I12" s="1151"/>
      <c r="J12" s="1151"/>
      <c r="K12" s="1151"/>
      <c r="L12" s="1152"/>
      <c r="M12" s="1153"/>
      <c r="N12" s="1153"/>
      <c r="O12" s="469"/>
      <c r="P12" s="293"/>
      <c r="Q12" s="308"/>
      <c r="R12" s="288"/>
      <c r="S12" s="1066"/>
      <c r="T12" s="298" t="s">
        <v>497</v>
      </c>
      <c r="U12" s="300"/>
      <c r="V12" s="300"/>
      <c r="W12" s="300"/>
      <c r="X12" s="300"/>
      <c r="Y12" s="300"/>
      <c r="Z12" s="300"/>
      <c r="AA12" s="300"/>
      <c r="AB12" s="300"/>
      <c r="AC12" s="299"/>
      <c r="AD12" s="300"/>
      <c r="AE12" s="300"/>
      <c r="AF12" s="300"/>
      <c r="AG12" s="300"/>
      <c r="AH12" s="300"/>
      <c r="AI12" s="300"/>
      <c r="AJ12" s="300"/>
      <c r="AK12" s="299"/>
      <c r="AL12" s="300"/>
      <c r="AM12" s="237"/>
      <c r="AO12" s="433"/>
      <c r="AP12" s="433" t="str">
        <f t="shared" si="0"/>
        <v>Добавить схему подключения</v>
      </c>
      <c r="AQ12" s="433"/>
      <c r="AR12" s="433"/>
      <c r="AS12" s="956">
        <v>0</v>
      </c>
    </row>
    <row r="13" spans="1:45" s="1430" customFormat="1" ht="0.75" hidden="1" customHeight="1">
      <c r="A13" s="1102"/>
      <c r="B13" s="1102"/>
      <c r="C13" s="1102"/>
      <c r="D13" s="1102"/>
      <c r="E13" s="2396"/>
      <c r="F13" s="2396"/>
      <c r="G13" s="2395"/>
      <c r="H13" s="1102"/>
      <c r="I13" s="1102"/>
      <c r="J13" s="1102"/>
      <c r="K13" s="1102"/>
      <c r="L13" s="1127"/>
      <c r="M13" s="1103"/>
      <c r="N13" s="1103"/>
      <c r="P13" s="1104"/>
      <c r="Q13" s="1105"/>
      <c r="R13" s="1104"/>
      <c r="S13" s="1106"/>
      <c r="T13" s="1107" t="s">
        <v>498</v>
      </c>
      <c r="U13" s="1108"/>
      <c r="V13" s="1108"/>
      <c r="W13" s="1108"/>
      <c r="X13" s="1108"/>
      <c r="Y13" s="1108"/>
      <c r="Z13" s="1108"/>
      <c r="AA13" s="1108"/>
      <c r="AB13" s="1108"/>
      <c r="AC13" s="1108"/>
      <c r="AD13" s="1108"/>
      <c r="AE13" s="1108"/>
      <c r="AF13" s="1108"/>
      <c r="AG13" s="1108"/>
      <c r="AH13" s="1108"/>
      <c r="AI13" s="1108"/>
      <c r="AJ13" s="1108"/>
      <c r="AK13" s="1108"/>
      <c r="AL13" s="1108"/>
      <c r="AM13" s="1108"/>
      <c r="AO13" s="688"/>
      <c r="AP13" s="688" t="str">
        <f t="shared" si="0"/>
        <v>Добавить источник для дифференциации</v>
      </c>
      <c r="AQ13" s="688"/>
      <c r="AR13" s="688"/>
      <c r="AS13" s="451">
        <v>0</v>
      </c>
    </row>
    <row r="14" spans="1:45" s="1430" customFormat="1" ht="0.75" hidden="1" customHeight="1">
      <c r="A14" s="1102"/>
      <c r="B14" s="1102"/>
      <c r="C14" s="1102"/>
      <c r="D14" s="1102"/>
      <c r="E14" s="2396"/>
      <c r="F14" s="2395"/>
      <c r="G14" s="1102"/>
      <c r="H14" s="1102"/>
      <c r="I14" s="1102"/>
      <c r="J14" s="1102"/>
      <c r="K14" s="1102"/>
      <c r="L14" s="1127"/>
      <c r="M14" s="1109"/>
      <c r="N14" s="1109"/>
      <c r="P14" s="1104"/>
      <c r="Q14" s="1105"/>
      <c r="R14" s="1104"/>
      <c r="S14" s="1110"/>
      <c r="T14" s="1111" t="s">
        <v>499</v>
      </c>
      <c r="U14" s="1112"/>
      <c r="V14" s="1112"/>
      <c r="W14" s="1112"/>
      <c r="X14" s="1112"/>
      <c r="Y14" s="1112"/>
      <c r="Z14" s="1112"/>
      <c r="AA14" s="1112"/>
      <c r="AB14" s="1112"/>
      <c r="AC14" s="1112"/>
      <c r="AD14" s="1112"/>
      <c r="AE14" s="1112"/>
      <c r="AF14" s="1112"/>
      <c r="AG14" s="1112"/>
      <c r="AH14" s="1112"/>
      <c r="AI14" s="1112"/>
      <c r="AJ14" s="1112"/>
      <c r="AK14" s="1112"/>
      <c r="AL14" s="1112"/>
      <c r="AM14" s="1112"/>
      <c r="AO14" s="688"/>
      <c r="AP14" s="688" t="str">
        <f t="shared" si="0"/>
        <v>Добавить централизованную систему для дифференциации</v>
      </c>
      <c r="AQ14" s="688"/>
      <c r="AR14" s="688"/>
      <c r="AS14" s="451">
        <v>0</v>
      </c>
    </row>
    <row r="15" spans="1:45" s="1430" customFormat="1" ht="0.75" hidden="1" customHeight="1">
      <c r="A15" s="1102"/>
      <c r="B15" s="1102"/>
      <c r="C15" s="1102"/>
      <c r="D15" s="1102"/>
      <c r="E15" s="2395"/>
      <c r="F15" s="1102"/>
      <c r="G15" s="1102"/>
      <c r="H15" s="1102"/>
      <c r="I15" s="1102"/>
      <c r="J15" s="1102"/>
      <c r="K15" s="1102"/>
      <c r="L15" s="1127"/>
      <c r="M15" s="1109"/>
      <c r="N15" s="1109"/>
      <c r="P15" s="1104"/>
      <c r="Q15" s="1105"/>
      <c r="R15" s="1104"/>
      <c r="S15" s="1110"/>
      <c r="T15" s="1113" t="s">
        <v>500</v>
      </c>
      <c r="U15" s="1112"/>
      <c r="V15" s="1112"/>
      <c r="W15" s="1112"/>
      <c r="X15" s="1112"/>
      <c r="Y15" s="1112"/>
      <c r="Z15" s="1112"/>
      <c r="AA15" s="1112"/>
      <c r="AB15" s="1112"/>
      <c r="AC15" s="1112"/>
      <c r="AD15" s="1112"/>
      <c r="AE15" s="1112"/>
      <c r="AF15" s="1112"/>
      <c r="AG15" s="1112"/>
      <c r="AH15" s="1112"/>
      <c r="AI15" s="1112"/>
      <c r="AJ15" s="1112"/>
      <c r="AK15" s="1112"/>
      <c r="AL15" s="1112"/>
      <c r="AM15" s="1112"/>
      <c r="AO15" s="688"/>
      <c r="AP15" s="688" t="str">
        <f t="shared" si="0"/>
        <v>Добавить территорию для дифференциации</v>
      </c>
      <c r="AQ15" s="688"/>
      <c r="AR15" s="688"/>
      <c r="AS15" s="451">
        <v>0</v>
      </c>
    </row>
    <row r="16" spans="1:45" ht="14.25" hidden="1" customHeight="1">
      <c r="AC16" s="261"/>
      <c r="AK16" s="261"/>
      <c r="AS16" s="956">
        <v>0</v>
      </c>
    </row>
    <row r="17" spans="1:45" ht="14.25" hidden="1" customHeight="1">
      <c r="P17" s="1099"/>
      <c r="AD17" s="1148"/>
      <c r="AE17" s="1148"/>
      <c r="AF17" s="1148"/>
      <c r="AG17" s="1149"/>
      <c r="AH17" s="2393"/>
      <c r="AI17" s="2392" t="s">
        <v>52</v>
      </c>
      <c r="AJ17" s="2393"/>
      <c r="AK17" s="2392" t="s">
        <v>52</v>
      </c>
      <c r="AS17" s="956">
        <v>0</v>
      </c>
    </row>
    <row r="18" spans="1:45" ht="14.25" hidden="1" customHeight="1">
      <c r="P18" s="1099"/>
      <c r="AD18" s="1148"/>
      <c r="AE18" s="1148"/>
      <c r="AF18" s="1148"/>
      <c r="AG18" s="262" t="str">
        <f>AH17&amp;"-"&amp;AJ17</f>
        <v>-</v>
      </c>
      <c r="AH18" s="2392"/>
      <c r="AI18" s="2392"/>
      <c r="AJ18" s="2392"/>
      <c r="AK18" s="2392"/>
      <c r="AS18" s="956">
        <v>0</v>
      </c>
    </row>
    <row r="19" spans="1:45" ht="14.25" hidden="1" customHeight="1">
      <c r="P19" s="1099"/>
      <c r="AK19" s="261"/>
      <c r="AS19" s="956">
        <v>0</v>
      </c>
    </row>
    <row r="20" spans="1:45" s="1154" customFormat="1" ht="22.5" hidden="1" customHeight="1">
      <c r="L20" s="1117"/>
      <c r="M20" s="1150"/>
      <c r="N20" s="1150"/>
      <c r="O20" s="1155" t="s">
        <v>501</v>
      </c>
      <c r="P20" s="1150"/>
      <c r="Q20" s="1159"/>
      <c r="R20" s="1159"/>
      <c r="S20" s="640"/>
      <c r="Z20" s="1155"/>
      <c r="AB20" s="1155"/>
      <c r="AH20" s="1155"/>
      <c r="AJ20" s="1155"/>
      <c r="AN20" s="444"/>
      <c r="AO20" s="444"/>
      <c r="AP20" s="444"/>
      <c r="AQ20" s="444"/>
      <c r="AR20" s="444"/>
      <c r="AS20" s="961">
        <v>0</v>
      </c>
    </row>
    <row r="21" spans="1:45" s="1154" customFormat="1" ht="14.25" hidden="1" customHeight="1">
      <c r="L21" s="1117"/>
      <c r="M21" s="1150"/>
      <c r="N21" s="1150"/>
      <c r="O21" s="1150"/>
      <c r="P21" s="1150"/>
      <c r="Q21" s="1159"/>
      <c r="R21" s="1159"/>
      <c r="S21" s="640"/>
      <c r="AN21" s="444"/>
      <c r="AO21" s="444"/>
      <c r="AP21" s="444"/>
      <c r="AQ21" s="444"/>
      <c r="AR21" s="444"/>
      <c r="AS21" s="961">
        <v>0</v>
      </c>
    </row>
    <row r="22" spans="1:45" s="1154" customFormat="1" ht="14.25" hidden="1" customHeight="1">
      <c r="L22" s="1117"/>
      <c r="M22" s="1150"/>
      <c r="N22" s="1150"/>
      <c r="O22" s="1152" t="s">
        <v>502</v>
      </c>
      <c r="P22" s="1150"/>
      <c r="Q22" s="1159"/>
      <c r="R22" s="1159"/>
      <c r="S22" s="640"/>
      <c r="T22" s="961" t="s">
        <v>503</v>
      </c>
      <c r="AA22" s="120" t="s">
        <v>504</v>
      </c>
      <c r="AC22" s="120" t="s">
        <v>505</v>
      </c>
      <c r="AD22" s="961" t="s">
        <v>503</v>
      </c>
      <c r="AI22" s="120" t="s">
        <v>506</v>
      </c>
      <c r="AK22" s="120" t="s">
        <v>505</v>
      </c>
      <c r="AN22" s="444"/>
      <c r="AO22" s="444"/>
      <c r="AP22" s="444"/>
      <c r="AQ22" s="444"/>
      <c r="AR22" s="444"/>
      <c r="AS22" s="961">
        <v>0</v>
      </c>
    </row>
    <row r="23" spans="1:45" ht="14.25" hidden="1" customHeight="1">
      <c r="O23" s="1152"/>
      <c r="P23" s="1099"/>
      <c r="AS23" s="956">
        <v>0</v>
      </c>
    </row>
    <row r="24" spans="1:45" ht="14.25" hidden="1" customHeight="1">
      <c r="O24" s="1152"/>
      <c r="P24" s="1099"/>
      <c r="AS24" s="956">
        <v>0</v>
      </c>
    </row>
    <row r="25" spans="1:45" ht="14.65" customHeight="1">
      <c r="Q25" s="309"/>
      <c r="R25" s="309"/>
      <c r="S25" s="1063"/>
      <c r="T25" s="296"/>
      <c r="U25" s="296"/>
      <c r="V25" s="442"/>
      <c r="W25" s="442"/>
      <c r="X25" s="442"/>
      <c r="Y25" s="442"/>
      <c r="Z25" s="442"/>
      <c r="AA25" s="442"/>
      <c r="AB25" s="442"/>
      <c r="AC25" s="442"/>
      <c r="AD25" s="442"/>
      <c r="AE25" s="442"/>
      <c r="AF25" s="442"/>
      <c r="AG25" s="442"/>
      <c r="AH25" s="442"/>
      <c r="AI25" s="442"/>
      <c r="AJ25" s="442"/>
      <c r="AK25" s="442"/>
      <c r="AS25" s="956">
        <v>14</v>
      </c>
    </row>
    <row r="26" spans="1:45" ht="14.65" customHeight="1">
      <c r="Q26" s="309"/>
      <c r="R26" s="309"/>
      <c r="S26" s="23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76"/>
      <c r="U26" s="2376"/>
      <c r="V26" s="2376"/>
      <c r="W26" s="2376"/>
      <c r="X26" s="2376"/>
      <c r="Y26" s="2376"/>
      <c r="Z26" s="2376"/>
      <c r="AA26" s="2376"/>
      <c r="AB26" s="2376"/>
      <c r="AC26" s="2376"/>
      <c r="AD26" s="2376"/>
      <c r="AE26" s="2376"/>
      <c r="AF26" s="2376"/>
      <c r="AG26" s="2376"/>
      <c r="AH26" s="2376"/>
      <c r="AI26" s="2376"/>
      <c r="AJ26" s="2376"/>
      <c r="AK26" s="1031"/>
      <c r="AS26" s="956">
        <v>14</v>
      </c>
    </row>
    <row r="27" spans="1:45" ht="14.65" customHeight="1">
      <c r="Q27" s="309"/>
      <c r="R27" s="309"/>
      <c r="S27" s="2349" t="str">
        <f>IF(org=0,"Не определено",org)</f>
        <v>ООО "Смоленскрегионтеплоэнерго"</v>
      </c>
      <c r="T27" s="2349"/>
      <c r="U27" s="2349"/>
      <c r="V27" s="2349"/>
      <c r="W27" s="2349"/>
      <c r="X27" s="2349"/>
      <c r="Y27" s="2349"/>
      <c r="Z27" s="2349"/>
      <c r="AA27" s="2349"/>
      <c r="AB27" s="2349"/>
      <c r="AC27" s="2349"/>
      <c r="AD27" s="2349"/>
      <c r="AE27" s="2349"/>
      <c r="AF27" s="2349"/>
      <c r="AG27" s="2349"/>
      <c r="AH27" s="2349"/>
      <c r="AI27" s="2349"/>
      <c r="AJ27" s="2349"/>
      <c r="AK27" s="1031"/>
      <c r="AS27" s="956">
        <v>14</v>
      </c>
    </row>
    <row r="28" spans="1:45" ht="14.25" hidden="1" customHeight="1">
      <c r="Q28" s="309"/>
      <c r="R28" s="309"/>
      <c r="S28" s="1063"/>
      <c r="T28" s="296"/>
      <c r="U28" s="296"/>
      <c r="V28" s="256"/>
      <c r="W28" s="256"/>
      <c r="X28" s="256"/>
      <c r="Y28" s="256"/>
      <c r="Z28" s="256"/>
      <c r="AA28" s="256"/>
      <c r="AB28" s="256"/>
      <c r="AC28" s="256"/>
      <c r="AD28" s="256"/>
      <c r="AE28" s="256"/>
      <c r="AF28" s="256"/>
      <c r="AG28" s="256"/>
      <c r="AH28" s="256"/>
      <c r="AI28" s="256"/>
      <c r="AJ28" s="256"/>
      <c r="AK28" s="256"/>
      <c r="AL28" s="442"/>
      <c r="AS28" s="956">
        <v>0</v>
      </c>
    </row>
    <row r="29" spans="1:45" s="1609" customFormat="1" ht="25.5" hidden="1" customHeight="1">
      <c r="A29" s="1156"/>
      <c r="B29" s="1156"/>
      <c r="C29" s="1156"/>
      <c r="D29" s="1156"/>
      <c r="E29" s="1156"/>
      <c r="F29" s="1156"/>
      <c r="G29" s="1156"/>
      <c r="H29" s="1156"/>
      <c r="I29" s="1156"/>
      <c r="J29" s="1156"/>
      <c r="K29" s="1156"/>
      <c r="L29" s="1157"/>
      <c r="M29" s="1156"/>
      <c r="N29" s="1156"/>
      <c r="O29" s="1156"/>
      <c r="S29" s="2386" t="s">
        <v>28</v>
      </c>
      <c r="T29" s="2386"/>
      <c r="U29" s="1160"/>
      <c r="V29" s="2388" t="str">
        <f>IF(TITLE_NAME_OR_PR_CHANGE="",IF(TITLE_NAME_OR_PR="","",TITLE_NAME_OR_PR),TITLE_NAME_OR_PR_CHANGE)</f>
        <v/>
      </c>
      <c r="W29" s="2388"/>
      <c r="X29" s="2388"/>
      <c r="Y29" s="2388"/>
      <c r="Z29" s="2388"/>
      <c r="AA29" s="2388"/>
      <c r="AB29" s="2388"/>
      <c r="AC29" s="260"/>
      <c r="AD29" s="2388" t="str">
        <f>IF(TITLE_NAME_OR_PR_CHANGE="",IF(TITLE_NAME_OR_PR="","",TITLE_NAME_OR_PR),TITLE_NAME_OR_PR_CHANGE)</f>
        <v/>
      </c>
      <c r="AE29" s="2388"/>
      <c r="AF29" s="2388"/>
      <c r="AG29" s="2388"/>
      <c r="AH29" s="2388"/>
      <c r="AI29" s="2388"/>
      <c r="AJ29" s="2388"/>
      <c r="AK29" s="260"/>
      <c r="AL29" s="260"/>
      <c r="AM29" s="214"/>
      <c r="AN29" s="301"/>
      <c r="AO29" s="301"/>
      <c r="AP29" s="301"/>
      <c r="AQ29" s="301"/>
      <c r="AR29" s="301"/>
      <c r="AS29" s="351">
        <v>0</v>
      </c>
    </row>
    <row r="30" spans="1:45" s="1609" customFormat="1" ht="18.75" hidden="1" customHeight="1">
      <c r="A30" s="1156"/>
      <c r="B30" s="1156"/>
      <c r="C30" s="1156"/>
      <c r="D30" s="1156"/>
      <c r="E30" s="1156"/>
      <c r="F30" s="1156"/>
      <c r="G30" s="1156"/>
      <c r="H30" s="1156"/>
      <c r="I30" s="1156"/>
      <c r="J30" s="1156"/>
      <c r="K30" s="1156"/>
      <c r="L30" s="1157"/>
      <c r="M30" s="1156"/>
      <c r="N30" s="1156"/>
      <c r="O30" s="1156"/>
      <c r="S30" s="2386" t="s">
        <v>507</v>
      </c>
      <c r="T30" s="2386"/>
      <c r="U30" s="1160"/>
      <c r="V30" s="2387" t="str">
        <f>IF(TITLE_DATE_PR_CHANGE="",IF(TITLE_DATE_PR="","",TITLE_DATE_PR),TITLE_DATE_PR_CHANGE)</f>
        <v/>
      </c>
      <c r="W30" s="2387"/>
      <c r="X30" s="2387"/>
      <c r="Y30" s="2387"/>
      <c r="Z30" s="2387"/>
      <c r="AA30" s="2387"/>
      <c r="AB30" s="2387"/>
      <c r="AC30" s="260"/>
      <c r="AD30" s="2387" t="str">
        <f>IF(TITLE_DATE_PR_CHANGE="",IF(TITLE_DATE_PR="","",TITLE_DATE_PR),TITLE_DATE_PR_CHANGE)</f>
        <v/>
      </c>
      <c r="AE30" s="2387"/>
      <c r="AF30" s="2387"/>
      <c r="AG30" s="2387"/>
      <c r="AH30" s="2387"/>
      <c r="AI30" s="2387"/>
      <c r="AJ30" s="2387"/>
      <c r="AK30" s="260"/>
      <c r="AL30" s="260"/>
      <c r="AM30" s="214"/>
      <c r="AN30" s="301"/>
      <c r="AO30" s="301"/>
      <c r="AP30" s="301"/>
      <c r="AQ30" s="301"/>
      <c r="AR30" s="301"/>
      <c r="AS30" s="351">
        <v>0</v>
      </c>
    </row>
    <row r="31" spans="1:45" s="1609" customFormat="1" ht="18.75" hidden="1" customHeight="1">
      <c r="A31" s="1156"/>
      <c r="B31" s="1156"/>
      <c r="C31" s="1156"/>
      <c r="D31" s="1156"/>
      <c r="E31" s="1156"/>
      <c r="F31" s="1156"/>
      <c r="G31" s="1156"/>
      <c r="H31" s="1156"/>
      <c r="I31" s="1156"/>
      <c r="J31" s="1156"/>
      <c r="K31" s="1156"/>
      <c r="L31" s="1157"/>
      <c r="M31" s="1156"/>
      <c r="N31" s="1156"/>
      <c r="O31" s="1156"/>
      <c r="S31" s="2386" t="s">
        <v>508</v>
      </c>
      <c r="T31" s="2386"/>
      <c r="U31" s="1160"/>
      <c r="V31" s="2388" t="str">
        <f>IF(TITLE_NUMBER_PR_CHANGE="",IF(TITLE_NUMBER_PR="","",TITLE_NUMBER_PR),TITLE_NUMBER_PR_CHANGE)</f>
        <v/>
      </c>
      <c r="W31" s="2388"/>
      <c r="X31" s="2388"/>
      <c r="Y31" s="2388"/>
      <c r="Z31" s="2388"/>
      <c r="AA31" s="2388"/>
      <c r="AB31" s="2388"/>
      <c r="AC31" s="260"/>
      <c r="AD31" s="2388" t="str">
        <f>IF(TITLE_NUMBER_PR_CHANGE="",IF(TITLE_NUMBER_PR="","",TITLE_NUMBER_PR),TITLE_NUMBER_PR_CHANGE)</f>
        <v/>
      </c>
      <c r="AE31" s="2388"/>
      <c r="AF31" s="2388"/>
      <c r="AG31" s="2388"/>
      <c r="AH31" s="2388"/>
      <c r="AI31" s="2388"/>
      <c r="AJ31" s="2388"/>
      <c r="AK31" s="260"/>
      <c r="AL31" s="260"/>
      <c r="AM31" s="214"/>
      <c r="AN31" s="301"/>
      <c r="AO31" s="301"/>
      <c r="AP31" s="301"/>
      <c r="AQ31" s="301"/>
      <c r="AR31" s="301"/>
      <c r="AS31" s="351">
        <v>0</v>
      </c>
    </row>
    <row r="32" spans="1:45" s="1609" customFormat="1" ht="18.75" hidden="1" customHeight="1">
      <c r="A32" s="1156"/>
      <c r="B32" s="1156"/>
      <c r="C32" s="1156"/>
      <c r="D32" s="1156"/>
      <c r="E32" s="1156"/>
      <c r="F32" s="1156"/>
      <c r="G32" s="1156"/>
      <c r="H32" s="1156"/>
      <c r="I32" s="1156"/>
      <c r="J32" s="1156"/>
      <c r="K32" s="1156"/>
      <c r="L32" s="1157"/>
      <c r="M32" s="1156"/>
      <c r="N32" s="1156"/>
      <c r="O32" s="1156"/>
      <c r="S32" s="2386" t="s">
        <v>29</v>
      </c>
      <c r="T32" s="2386"/>
      <c r="U32" s="1160"/>
      <c r="V32" s="2388" t="str">
        <f>IF(TITLE_IST_PUB_CHANGE="",IF(TITLE_IST_PUB="","",TITLE_IST_PUB),TITLE_IST_PUB_CHANGE)</f>
        <v/>
      </c>
      <c r="W32" s="2388"/>
      <c r="X32" s="2388"/>
      <c r="Y32" s="2388"/>
      <c r="Z32" s="2388"/>
      <c r="AA32" s="2388"/>
      <c r="AB32" s="2388"/>
      <c r="AC32" s="260"/>
      <c r="AD32" s="2388" t="str">
        <f>IF(TITLE_IST_PUB_CHANGE="",IF(TITLE_IST_PUB="","",TITLE_IST_PUB),TITLE_IST_PUB_CHANGE)</f>
        <v/>
      </c>
      <c r="AE32" s="2388"/>
      <c r="AF32" s="2388"/>
      <c r="AG32" s="2388"/>
      <c r="AH32" s="2388"/>
      <c r="AI32" s="2388"/>
      <c r="AJ32" s="2388"/>
      <c r="AK32" s="260"/>
      <c r="AL32" s="260"/>
      <c r="AM32" s="214"/>
      <c r="AN32" s="301"/>
      <c r="AO32" s="301"/>
      <c r="AP32" s="301"/>
      <c r="AQ32" s="301"/>
      <c r="AR32" s="301"/>
      <c r="AS32" s="351">
        <v>0</v>
      </c>
    </row>
    <row r="33" spans="1:45" ht="14.25" hidden="1" customHeight="1">
      <c r="P33" s="1116"/>
      <c r="Q33" s="309"/>
      <c r="R33" s="309"/>
      <c r="S33" s="1063"/>
      <c r="T33" s="296"/>
      <c r="U33" s="296"/>
      <c r="V33" s="256"/>
      <c r="W33" s="256"/>
      <c r="X33" s="256"/>
      <c r="Y33" s="256"/>
      <c r="Z33" s="256"/>
      <c r="AA33" s="256"/>
      <c r="AB33" s="256"/>
      <c r="AC33" s="256"/>
      <c r="AD33" s="256"/>
      <c r="AE33" s="256"/>
      <c r="AF33" s="256"/>
      <c r="AG33" s="256"/>
      <c r="AH33" s="256"/>
      <c r="AI33" s="256"/>
      <c r="AJ33" s="256"/>
      <c r="AK33" s="256"/>
      <c r="AL33" s="442"/>
      <c r="AS33" s="956">
        <v>0</v>
      </c>
    </row>
    <row r="34" spans="1:45" s="1609" customFormat="1" ht="18.75" hidden="1" customHeight="1">
      <c r="A34" s="1156"/>
      <c r="B34" s="1156"/>
      <c r="C34" s="1156"/>
      <c r="D34" s="1156"/>
      <c r="E34" s="1156"/>
      <c r="F34" s="1156"/>
      <c r="G34" s="1156"/>
      <c r="H34" s="1156"/>
      <c r="I34" s="1156"/>
      <c r="J34" s="1156"/>
      <c r="K34" s="1156"/>
      <c r="L34" s="1157"/>
      <c r="M34" s="1156"/>
      <c r="N34" s="1156"/>
      <c r="O34" s="1156"/>
      <c r="S34" s="2386" t="s">
        <v>509</v>
      </c>
      <c r="T34" s="2386"/>
      <c r="U34" s="1160"/>
      <c r="V34" s="2387" t="str">
        <f>IF(TITLE_DATE_PR_CHANGE="",IF(TITLE_DATE_PR="","",TITLE_DATE_PR),TITLE_DATE_PR_CHANGE)</f>
        <v/>
      </c>
      <c r="W34" s="2387"/>
      <c r="X34" s="2387"/>
      <c r="Y34" s="2387"/>
      <c r="Z34" s="2387"/>
      <c r="AA34" s="2387"/>
      <c r="AB34" s="2387"/>
      <c r="AC34" s="260"/>
      <c r="AD34" s="2387" t="str">
        <f>IF(TITLE_DATE_PR_CHANGE="",IF(TITLE_DATE_PR="","",TITLE_DATE_PR),TITLE_DATE_PR_CHANGE)</f>
        <v/>
      </c>
      <c r="AE34" s="2387"/>
      <c r="AF34" s="2387"/>
      <c r="AG34" s="2387"/>
      <c r="AH34" s="2387"/>
      <c r="AI34" s="2387"/>
      <c r="AJ34" s="2387"/>
      <c r="AK34" s="260"/>
      <c r="AL34" s="260"/>
      <c r="AM34" s="214"/>
      <c r="AN34" s="301"/>
      <c r="AO34" s="301"/>
      <c r="AP34" s="301"/>
      <c r="AQ34" s="301"/>
      <c r="AR34" s="301"/>
      <c r="AS34" s="351">
        <v>0</v>
      </c>
    </row>
    <row r="35" spans="1:45" s="1609" customFormat="1" ht="18.75" hidden="1" customHeight="1">
      <c r="A35" s="1156"/>
      <c r="B35" s="1156"/>
      <c r="C35" s="1156"/>
      <c r="D35" s="1156"/>
      <c r="E35" s="1156"/>
      <c r="F35" s="1156"/>
      <c r="G35" s="1156"/>
      <c r="H35" s="1156"/>
      <c r="I35" s="1156"/>
      <c r="J35" s="1156"/>
      <c r="K35" s="1156"/>
      <c r="L35" s="1157"/>
      <c r="M35" s="1156"/>
      <c r="N35" s="1156"/>
      <c r="O35" s="1156"/>
      <c r="S35" s="2386" t="s">
        <v>510</v>
      </c>
      <c r="T35" s="2386"/>
      <c r="U35" s="1160"/>
      <c r="V35" s="2388" t="str">
        <f>IF(TITLE_NUMBER_PR_CHANGE="",IF(TITLE_NUMBER_PR="","",TITLE_NUMBER_PR),TITLE_NUMBER_PR_CHANGE)</f>
        <v/>
      </c>
      <c r="W35" s="2388"/>
      <c r="X35" s="2388"/>
      <c r="Y35" s="2388"/>
      <c r="Z35" s="2388"/>
      <c r="AA35" s="2388"/>
      <c r="AB35" s="2388"/>
      <c r="AC35" s="260"/>
      <c r="AD35" s="2388" t="str">
        <f>IF(TITLE_NUMBER_PR_CHANGE="",IF(TITLE_NUMBER_PR="","",TITLE_NUMBER_PR),TITLE_NUMBER_PR_CHANGE)</f>
        <v/>
      </c>
      <c r="AE35" s="2388"/>
      <c r="AF35" s="2388"/>
      <c r="AG35" s="2388"/>
      <c r="AH35" s="2388"/>
      <c r="AI35" s="2388"/>
      <c r="AJ35" s="2388"/>
      <c r="AK35" s="260"/>
      <c r="AL35" s="260"/>
      <c r="AM35" s="214"/>
      <c r="AN35" s="301"/>
      <c r="AO35" s="301"/>
      <c r="AP35" s="301"/>
      <c r="AQ35" s="301"/>
      <c r="AR35" s="301"/>
      <c r="AS35" s="351">
        <v>0</v>
      </c>
    </row>
    <row r="36" spans="1:45" s="1609" customFormat="1" ht="0" hidden="1" customHeight="1">
      <c r="A36" s="1156"/>
      <c r="B36" s="1156"/>
      <c r="C36" s="1156"/>
      <c r="D36" s="1156"/>
      <c r="E36" s="1156"/>
      <c r="F36" s="1156"/>
      <c r="G36" s="1156"/>
      <c r="H36" s="1156"/>
      <c r="I36" s="1156"/>
      <c r="J36" s="1156"/>
      <c r="K36" s="1156"/>
      <c r="L36" s="1157"/>
      <c r="M36" s="1156"/>
      <c r="N36" s="1156"/>
      <c r="O36" s="1156"/>
      <c r="S36" s="257"/>
      <c r="T36" s="257"/>
      <c r="U36" s="1007"/>
      <c r="V36" s="260"/>
      <c r="W36" s="260"/>
      <c r="X36" s="260"/>
      <c r="Y36" s="260"/>
      <c r="Z36" s="260"/>
      <c r="AA36" s="260"/>
      <c r="AB36" s="260"/>
      <c r="AC36" s="212" t="s">
        <v>511</v>
      </c>
      <c r="AD36" s="260"/>
      <c r="AE36" s="260"/>
      <c r="AF36" s="260"/>
      <c r="AG36" s="260"/>
      <c r="AH36" s="260"/>
      <c r="AI36" s="260"/>
      <c r="AJ36" s="260"/>
      <c r="AK36" s="212" t="s">
        <v>511</v>
      </c>
      <c r="AN36" s="301"/>
      <c r="AO36" s="301"/>
      <c r="AP36" s="301"/>
      <c r="AQ36" s="301"/>
      <c r="AR36" s="301"/>
      <c r="AS36" s="351">
        <v>0</v>
      </c>
    </row>
    <row r="37" spans="1:45" ht="14.65" customHeight="1">
      <c r="Q37" s="309"/>
      <c r="R37" s="309"/>
      <c r="S37" s="1063"/>
      <c r="T37" s="296"/>
      <c r="U37" s="1032"/>
      <c r="V37" s="2407"/>
      <c r="W37" s="2407"/>
      <c r="X37" s="2407"/>
      <c r="Y37" s="2407"/>
      <c r="Z37" s="2407"/>
      <c r="AA37" s="2407"/>
      <c r="AB37" s="2407"/>
      <c r="AC37" s="2407"/>
      <c r="AD37" s="2407"/>
      <c r="AE37" s="2407"/>
      <c r="AF37" s="2407"/>
      <c r="AG37" s="2407"/>
      <c r="AH37" s="2407"/>
      <c r="AI37" s="2407"/>
      <c r="AJ37" s="2407"/>
      <c r="AK37" s="2407"/>
      <c r="AS37" s="956">
        <v>14</v>
      </c>
    </row>
    <row r="38" spans="1:45" ht="14.65" customHeight="1">
      <c r="Q38" s="309"/>
      <c r="R38" s="309"/>
      <c r="S38" s="2266" t="s">
        <v>384</v>
      </c>
      <c r="T38" s="2266"/>
      <c r="U38" s="2266"/>
      <c r="V38" s="2266"/>
      <c r="W38" s="2266"/>
      <c r="X38" s="2266"/>
      <c r="Y38" s="2266"/>
      <c r="Z38" s="2266"/>
      <c r="AA38" s="2266"/>
      <c r="AB38" s="2266"/>
      <c r="AC38" s="2266"/>
      <c r="AD38" s="2266"/>
      <c r="AE38" s="2266"/>
      <c r="AF38" s="2266"/>
      <c r="AG38" s="2266"/>
      <c r="AH38" s="2266"/>
      <c r="AI38" s="2266"/>
      <c r="AJ38" s="2266"/>
      <c r="AK38" s="2266"/>
      <c r="AL38" s="2266"/>
      <c r="AM38" s="2266" t="s">
        <v>385</v>
      </c>
      <c r="AS38" s="956">
        <v>14</v>
      </c>
    </row>
    <row r="39" spans="1:45" ht="14.65" customHeight="1">
      <c r="Q39" s="309"/>
      <c r="R39" s="309"/>
      <c r="S39" s="2408" t="s">
        <v>75</v>
      </c>
      <c r="T39" s="2357" t="s">
        <v>512</v>
      </c>
      <c r="U39" s="235"/>
      <c r="V39" s="2409" t="s">
        <v>513</v>
      </c>
      <c r="W39" s="2410"/>
      <c r="X39" s="2410"/>
      <c r="Y39" s="2410"/>
      <c r="Z39" s="2410"/>
      <c r="AA39" s="2410"/>
      <c r="AB39" s="2411"/>
      <c r="AC39" s="2412" t="s">
        <v>514</v>
      </c>
      <c r="AD39" s="2409" t="s">
        <v>513</v>
      </c>
      <c r="AE39" s="2410"/>
      <c r="AF39" s="2410"/>
      <c r="AG39" s="2410"/>
      <c r="AH39" s="2410"/>
      <c r="AI39" s="2410"/>
      <c r="AJ39" s="2411"/>
      <c r="AK39" s="2412" t="s">
        <v>515</v>
      </c>
      <c r="AL39" s="2415" t="s">
        <v>516</v>
      </c>
      <c r="AM39" s="2266"/>
      <c r="AS39" s="956">
        <v>14</v>
      </c>
    </row>
    <row r="40" spans="1:45" ht="35.65" customHeight="1">
      <c r="Q40" s="309"/>
      <c r="R40" s="309"/>
      <c r="S40" s="2408"/>
      <c r="T40" s="2357"/>
      <c r="U40" s="874"/>
      <c r="V40" s="2327" t="s">
        <v>517</v>
      </c>
      <c r="W40" s="2404" t="s">
        <v>518</v>
      </c>
      <c r="X40" s="2247" t="s">
        <v>519</v>
      </c>
      <c r="Y40" s="2246"/>
      <c r="Z40" s="2247" t="s">
        <v>520</v>
      </c>
      <c r="AA40" s="2252"/>
      <c r="AB40" s="2246"/>
      <c r="AC40" s="2413"/>
      <c r="AD40" s="2327" t="s">
        <v>517</v>
      </c>
      <c r="AE40" s="2404" t="s">
        <v>518</v>
      </c>
      <c r="AF40" s="2247" t="s">
        <v>519</v>
      </c>
      <c r="AG40" s="2246"/>
      <c r="AH40" s="2247" t="s">
        <v>520</v>
      </c>
      <c r="AI40" s="2252"/>
      <c r="AJ40" s="2246"/>
      <c r="AK40" s="2413"/>
      <c r="AL40" s="2416"/>
      <c r="AM40" s="2266"/>
      <c r="AS40" s="956">
        <v>34</v>
      </c>
    </row>
    <row r="41" spans="1:45" ht="35.65" customHeight="1">
      <c r="A41" s="1158"/>
      <c r="B41" s="1158" t="s">
        <v>226</v>
      </c>
      <c r="C41" s="1158" t="s">
        <v>227</v>
      </c>
      <c r="D41" s="1158" t="s">
        <v>228</v>
      </c>
      <c r="E41" s="1152" t="s">
        <v>521</v>
      </c>
      <c r="F41" s="1152" t="s">
        <v>522</v>
      </c>
      <c r="G41" s="1152" t="s">
        <v>523</v>
      </c>
      <c r="H41" s="1152" t="s">
        <v>524</v>
      </c>
      <c r="I41" s="1152" t="s">
        <v>525</v>
      </c>
      <c r="J41" s="1152" t="s">
        <v>526</v>
      </c>
      <c r="K41" s="1152" t="s">
        <v>527</v>
      </c>
      <c r="L41" s="1152" t="s">
        <v>502</v>
      </c>
      <c r="Q41" s="309"/>
      <c r="R41" s="309"/>
      <c r="S41" s="2408"/>
      <c r="T41" s="2357"/>
      <c r="U41" s="236"/>
      <c r="V41" s="2381"/>
      <c r="W41" s="2405"/>
      <c r="X41" s="1010" t="s">
        <v>528</v>
      </c>
      <c r="Y41" s="1010" t="s">
        <v>529</v>
      </c>
      <c r="Z41" s="1009" t="s">
        <v>530</v>
      </c>
      <c r="AA41" s="2362" t="s">
        <v>531</v>
      </c>
      <c r="AB41" s="2375"/>
      <c r="AC41" s="2414"/>
      <c r="AD41" s="2381"/>
      <c r="AE41" s="2405"/>
      <c r="AF41" s="1010" t="s">
        <v>528</v>
      </c>
      <c r="AG41" s="1010" t="s">
        <v>529</v>
      </c>
      <c r="AH41" s="1101" t="s">
        <v>530</v>
      </c>
      <c r="AI41" s="2362" t="s">
        <v>531</v>
      </c>
      <c r="AJ41" s="2375"/>
      <c r="AK41" s="2414"/>
      <c r="AL41" s="2417"/>
      <c r="AM41" s="2266"/>
      <c r="AS41" s="956">
        <v>34</v>
      </c>
    </row>
    <row r="42" spans="1:45" s="1429" customFormat="1" ht="11.25" hidden="1" customHeight="1">
      <c r="A42" s="1158"/>
      <c r="B42" s="1158"/>
      <c r="C42" s="1158"/>
      <c r="D42" s="1158"/>
      <c r="E42" s="1158"/>
      <c r="F42" s="1158"/>
      <c r="G42" s="1158"/>
      <c r="H42" s="1158"/>
      <c r="I42" s="1158"/>
      <c r="J42" s="1158"/>
      <c r="K42" s="1158"/>
      <c r="L42" s="1152"/>
      <c r="M42" s="1150"/>
      <c r="N42" s="1150"/>
      <c r="O42" s="1150"/>
      <c r="P42" s="1034"/>
      <c r="Q42" s="1035"/>
      <c r="R42" s="1042">
        <v>1</v>
      </c>
      <c r="S42" s="1065" t="s">
        <v>161</v>
      </c>
      <c r="T42" s="1043" t="s">
        <v>89</v>
      </c>
      <c r="U42" s="1033" t="str">
        <f ca="1">OFFSET(U42,0,-1)</f>
        <v>2</v>
      </c>
      <c r="V42" s="1044">
        <f ca="1">OFFSET(V42,0,-1)+1</f>
        <v>3</v>
      </c>
      <c r="W42" s="1044"/>
      <c r="X42" s="1044">
        <f ca="1">OFFSET(X42,0,-1)+1</f>
        <v>1</v>
      </c>
      <c r="Y42" s="1044">
        <f ca="1">OFFSET(Y42,0,-1)+1</f>
        <v>2</v>
      </c>
      <c r="Z42" s="1044">
        <f ca="1">OFFSET(Z42,0,-1)+1</f>
        <v>3</v>
      </c>
      <c r="AA42" s="2406">
        <f ca="1">OFFSET(AA42,0,-1)+1</f>
        <v>4</v>
      </c>
      <c r="AB42" s="2406"/>
      <c r="AC42" s="1044">
        <f ca="1">OFFSET(AC42,0,-2)+1</f>
        <v>5</v>
      </c>
      <c r="AD42" s="1100">
        <f ca="1">OFFSET(AD42,0,-1)+1</f>
        <v>6</v>
      </c>
      <c r="AE42" s="1100"/>
      <c r="AF42" s="1100">
        <f ca="1">OFFSET(AF42,0,-1)+1</f>
        <v>1</v>
      </c>
      <c r="AG42" s="1100">
        <f ca="1">OFFSET(AG42,0,-1)+1</f>
        <v>2</v>
      </c>
      <c r="AH42" s="1100">
        <f ca="1">OFFSET(AH42,0,-1)+1</f>
        <v>3</v>
      </c>
      <c r="AI42" s="2406">
        <f ca="1">OFFSET(AI42,0,-1)+1</f>
        <v>4</v>
      </c>
      <c r="AJ42" s="2406"/>
      <c r="AK42" s="1100">
        <f ca="1">OFFSET(AK42,0,-2)+1</f>
        <v>5</v>
      </c>
      <c r="AL42" s="1033">
        <f ca="1">OFFSET(AL42,0,-1)</f>
        <v>5</v>
      </c>
      <c r="AM42" s="1044">
        <f ca="1">OFFSET(AM42,0,-1)+1</f>
        <v>6</v>
      </c>
      <c r="AN42" s="444"/>
      <c r="AO42" s="444"/>
      <c r="AP42" s="444"/>
      <c r="AQ42" s="444"/>
      <c r="AR42" s="444"/>
      <c r="AS42" s="429">
        <v>0</v>
      </c>
    </row>
    <row r="43" spans="1:45" ht="24" customHeight="1">
      <c r="A43" s="1151" t="s">
        <v>242</v>
      </c>
      <c r="B43" s="1151"/>
      <c r="C43" s="1151"/>
      <c r="D43" s="1151"/>
      <c r="E43" s="2395">
        <v>1</v>
      </c>
      <c r="F43" s="1151"/>
      <c r="G43" s="1151"/>
      <c r="H43" s="1151"/>
      <c r="I43" s="1151"/>
      <c r="J43" s="1151"/>
      <c r="K43" s="1151"/>
      <c r="L43" s="1152"/>
      <c r="M43" s="1153"/>
      <c r="N43" s="1153"/>
      <c r="O43" s="1153"/>
      <c r="P43" s="294"/>
      <c r="Q43" s="293"/>
      <c r="R43" s="288"/>
      <c r="S43" s="1012">
        <f>INDEX(PT_DIFFERENTIATION_NUM_NTAR,MATCH(A43,PT_DIFFERENTIATION_NTAR_ID,0))</f>
        <v>0</v>
      </c>
      <c r="T43" s="232" t="s">
        <v>214</v>
      </c>
      <c r="U43" s="234"/>
      <c r="V43" s="2389"/>
      <c r="W43" s="2390"/>
      <c r="X43" s="2390"/>
      <c r="Y43" s="2390"/>
      <c r="Z43" s="2390"/>
      <c r="AA43" s="2390"/>
      <c r="AB43" s="2390"/>
      <c r="AC43" s="2391"/>
      <c r="AD43" s="2389" t="str">
        <f>INDEX(PT_DIFFERENTIATION_NTAR,MATCH(A43,PT_DIFFERENTIATION_NTAR_ID,0))</f>
        <v/>
      </c>
      <c r="AE43" s="2390"/>
      <c r="AF43" s="2390"/>
      <c r="AG43" s="2390"/>
      <c r="AH43" s="2390"/>
      <c r="AI43" s="2390"/>
      <c r="AJ43" s="2390"/>
      <c r="AK43" s="2390"/>
      <c r="AL43" s="2391"/>
      <c r="AM43" s="104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956">
        <v>23</v>
      </c>
    </row>
    <row r="44" spans="1:45" ht="24" customHeight="1">
      <c r="A44" s="1151" t="s">
        <v>242</v>
      </c>
      <c r="B44" s="1151" t="s">
        <v>243</v>
      </c>
      <c r="C44" s="1151"/>
      <c r="D44" s="1151"/>
      <c r="E44" s="2396"/>
      <c r="F44" s="2395">
        <v>1</v>
      </c>
      <c r="G44" s="1151"/>
      <c r="H44" s="1151"/>
      <c r="I44" s="1151"/>
      <c r="J44" s="1151"/>
      <c r="K44" s="1151"/>
      <c r="L44" s="1152"/>
      <c r="M44" s="1153"/>
      <c r="N44" s="1153"/>
      <c r="O44" s="1153"/>
      <c r="P44" s="455"/>
      <c r="Q44" s="285"/>
      <c r="R44" s="286"/>
      <c r="S44" s="1012" t="str">
        <f>INDEX(PT_DIFFERENTIATION_NUM_TER,MATCH(B44,PT_DIFFERENTIATION_TER_ID,0))</f>
        <v>.</v>
      </c>
      <c r="T44" s="242" t="s">
        <v>481</v>
      </c>
      <c r="U44" s="234"/>
      <c r="V44" s="2389"/>
      <c r="W44" s="2390"/>
      <c r="X44" s="2390"/>
      <c r="Y44" s="2390"/>
      <c r="Z44" s="2390"/>
      <c r="AA44" s="2390"/>
      <c r="AB44" s="2390"/>
      <c r="AC44" s="2391"/>
      <c r="AD44" s="2389" t="str">
        <f>INDEX(PT_DIFFERENTIATION_TER,MATCH(B44,PT_DIFFERENTIATION_TER_ID,0))</f>
        <v/>
      </c>
      <c r="AE44" s="2390"/>
      <c r="AF44" s="2390"/>
      <c r="AG44" s="2390"/>
      <c r="AH44" s="2390"/>
      <c r="AI44" s="2390"/>
      <c r="AJ44" s="2390"/>
      <c r="AK44" s="2390"/>
      <c r="AL44" s="2391"/>
      <c r="AM44" s="1046" t="s">
        <v>482</v>
      </c>
      <c r="AO44" s="433"/>
      <c r="AP44" s="433" t="str">
        <f t="shared" si="1"/>
        <v>Территория действия тарифа</v>
      </c>
      <c r="AQ44" s="433"/>
      <c r="AR44" s="433"/>
      <c r="AS44" s="956">
        <v>23</v>
      </c>
    </row>
    <row r="45" spans="1:45" ht="24" customHeight="1">
      <c r="A45" s="1151" t="s">
        <v>242</v>
      </c>
      <c r="B45" s="1151" t="s">
        <v>243</v>
      </c>
      <c r="C45" s="1151" t="s">
        <v>244</v>
      </c>
      <c r="D45" s="1151"/>
      <c r="E45" s="2396"/>
      <c r="F45" s="2396"/>
      <c r="G45" s="2395">
        <v>1</v>
      </c>
      <c r="H45" s="1151"/>
      <c r="I45" s="1151"/>
      <c r="J45" s="1151"/>
      <c r="K45" s="1151"/>
      <c r="L45" s="1152"/>
      <c r="M45" s="1153"/>
      <c r="N45" s="1153"/>
      <c r="O45" s="1153"/>
      <c r="P45" s="287"/>
      <c r="Q45" s="285"/>
      <c r="R45" s="286"/>
      <c r="S45" s="1012" t="str">
        <f>INDEX(PT_DIFFERENTIATION_NUM_CS,MATCH(C45,PT_DIFFERENTIATION_CS_ID,0))</f>
        <v>..</v>
      </c>
      <c r="T45" s="243" t="s">
        <v>483</v>
      </c>
      <c r="U45" s="234"/>
      <c r="V45" s="2389"/>
      <c r="W45" s="2390"/>
      <c r="X45" s="2390"/>
      <c r="Y45" s="2390"/>
      <c r="Z45" s="2390"/>
      <c r="AA45" s="2390"/>
      <c r="AB45" s="2390"/>
      <c r="AC45" s="2391"/>
      <c r="AD45" s="2389" t="str">
        <f>INDEX(PT_DIFFERENTIATION_CS,MATCH(C45,PT_DIFFERENTIATION_CS_ID,0))</f>
        <v/>
      </c>
      <c r="AE45" s="2390"/>
      <c r="AF45" s="2390"/>
      <c r="AG45" s="2390"/>
      <c r="AH45" s="2390"/>
      <c r="AI45" s="2390"/>
      <c r="AJ45" s="2390"/>
      <c r="AK45" s="2390"/>
      <c r="AL45" s="2391"/>
      <c r="AM45" s="1046" t="s">
        <v>484</v>
      </c>
      <c r="AO45" s="433"/>
      <c r="AP45" s="433" t="str">
        <f t="shared" si="1"/>
        <v xml:space="preserve">Наименование системы теплоснабжения </v>
      </c>
      <c r="AQ45" s="433"/>
      <c r="AR45" s="433"/>
      <c r="AS45" s="956">
        <v>23</v>
      </c>
    </row>
    <row r="46" spans="1:45" ht="24" customHeight="1">
      <c r="A46" s="1151" t="s">
        <v>242</v>
      </c>
      <c r="B46" s="1151" t="s">
        <v>243</v>
      </c>
      <c r="C46" s="1151" t="s">
        <v>244</v>
      </c>
      <c r="D46" s="1151" t="s">
        <v>245</v>
      </c>
      <c r="E46" s="2396"/>
      <c r="F46" s="2396"/>
      <c r="G46" s="2396"/>
      <c r="H46" s="2395">
        <v>1</v>
      </c>
      <c r="I46" s="1151"/>
      <c r="J46" s="1151"/>
      <c r="K46" s="1151"/>
      <c r="L46" s="1152"/>
      <c r="M46" s="1153"/>
      <c r="N46" s="1153"/>
      <c r="O46" s="1153"/>
      <c r="P46" s="287"/>
      <c r="Q46" s="285"/>
      <c r="R46" s="286"/>
      <c r="S46" s="1012" t="str">
        <f>INDEX(PT_DIFFERENTIATION_NUM_IST_TE,MATCH(D46,PT_DIFFERENTIATION_IST_TE_ID,0))</f>
        <v>...</v>
      </c>
      <c r="T46" s="244" t="s">
        <v>485</v>
      </c>
      <c r="U46" s="234"/>
      <c r="V46" s="2389"/>
      <c r="W46" s="2390"/>
      <c r="X46" s="2390"/>
      <c r="Y46" s="2390"/>
      <c r="Z46" s="2390"/>
      <c r="AA46" s="2390"/>
      <c r="AB46" s="2390"/>
      <c r="AC46" s="2391"/>
      <c r="AD46" s="2389" t="str">
        <f>INDEX(PT_DIFFERENTIATION_IST_TE,MATCH(D46,PT_DIFFERENTIATION_IST_TE_ID,0))</f>
        <v/>
      </c>
      <c r="AE46" s="2390"/>
      <c r="AF46" s="2390"/>
      <c r="AG46" s="2390"/>
      <c r="AH46" s="2390"/>
      <c r="AI46" s="2390"/>
      <c r="AJ46" s="2390"/>
      <c r="AK46" s="2390"/>
      <c r="AL46" s="2391"/>
      <c r="AM46" s="1046" t="s">
        <v>486</v>
      </c>
      <c r="AO46" s="433"/>
      <c r="AP46" s="433" t="str">
        <f t="shared" si="1"/>
        <v xml:space="preserve">Источник тепловой энергии  </v>
      </c>
      <c r="AQ46" s="433"/>
      <c r="AR46" s="433"/>
      <c r="AS46" s="956">
        <v>23</v>
      </c>
    </row>
    <row r="47" spans="1:45" ht="49.5" customHeight="1">
      <c r="A47" s="1151" t="s">
        <v>242</v>
      </c>
      <c r="B47" s="1151" t="s">
        <v>243</v>
      </c>
      <c r="C47" s="1151" t="s">
        <v>244</v>
      </c>
      <c r="D47" s="1151" t="s">
        <v>245</v>
      </c>
      <c r="E47" s="2396"/>
      <c r="F47" s="2396"/>
      <c r="G47" s="2396"/>
      <c r="H47" s="2396"/>
      <c r="I47" s="2397" t="str">
        <f>S46&amp;".1"</f>
        <v>....1</v>
      </c>
      <c r="J47" s="1151"/>
      <c r="K47" s="1151"/>
      <c r="L47" s="1152" t="s">
        <v>487</v>
      </c>
      <c r="P47" s="2399">
        <v>1</v>
      </c>
      <c r="Q47" s="1008"/>
      <c r="R47" s="289"/>
      <c r="S47" s="1012" t="str">
        <f>$I47</f>
        <v>....1</v>
      </c>
      <c r="T47" s="219" t="s">
        <v>488</v>
      </c>
      <c r="U47" s="234"/>
      <c r="V47" s="2383"/>
      <c r="W47" s="2384"/>
      <c r="X47" s="2384"/>
      <c r="Y47" s="2384"/>
      <c r="Z47" s="2384"/>
      <c r="AA47" s="2384"/>
      <c r="AB47" s="2384"/>
      <c r="AC47" s="2385"/>
      <c r="AD47" s="2383"/>
      <c r="AE47" s="2384"/>
      <c r="AF47" s="2384"/>
      <c r="AG47" s="2384"/>
      <c r="AH47" s="2384"/>
      <c r="AI47" s="2384"/>
      <c r="AJ47" s="2384"/>
      <c r="AK47" s="2384"/>
      <c r="AL47" s="2385"/>
      <c r="AM47" s="1046" t="s">
        <v>489</v>
      </c>
      <c r="AO47" s="433"/>
      <c r="AP47" s="433" t="str">
        <f t="shared" si="1"/>
        <v>Схема подключения теплопотребляющей установки к коллектору источника тепловой энергии</v>
      </c>
      <c r="AQ47" s="433"/>
      <c r="AR47" s="433"/>
      <c r="AS47" s="956">
        <v>47</v>
      </c>
    </row>
    <row r="48" spans="1:45" ht="24" customHeight="1">
      <c r="A48" s="1151" t="s">
        <v>242</v>
      </c>
      <c r="B48" s="1151" t="s">
        <v>243</v>
      </c>
      <c r="C48" s="1151" t="s">
        <v>244</v>
      </c>
      <c r="D48" s="1151" t="s">
        <v>245</v>
      </c>
      <c r="E48" s="2396"/>
      <c r="F48" s="2396"/>
      <c r="G48" s="2396"/>
      <c r="H48" s="2396"/>
      <c r="I48" s="2398"/>
      <c r="J48" s="2397" t="str">
        <f>I47&amp;".1"</f>
        <v>....1.1</v>
      </c>
      <c r="K48" s="1151"/>
      <c r="L48" s="1152" t="s">
        <v>490</v>
      </c>
      <c r="P48" s="2399"/>
      <c r="Q48" s="2399">
        <v>1</v>
      </c>
      <c r="R48" s="290"/>
      <c r="S48" s="1012" t="str">
        <f>$J48</f>
        <v>....1.1</v>
      </c>
      <c r="T48" s="220" t="s">
        <v>491</v>
      </c>
      <c r="U48" s="234"/>
      <c r="V48" s="2383"/>
      <c r="W48" s="2384"/>
      <c r="X48" s="2384"/>
      <c r="Y48" s="2384"/>
      <c r="Z48" s="2384"/>
      <c r="AA48" s="2384"/>
      <c r="AB48" s="2384"/>
      <c r="AC48" s="2385"/>
      <c r="AD48" s="2383"/>
      <c r="AE48" s="2384"/>
      <c r="AF48" s="2384"/>
      <c r="AG48" s="2384"/>
      <c r="AH48" s="2384"/>
      <c r="AI48" s="2384"/>
      <c r="AJ48" s="2384"/>
      <c r="AK48" s="2384"/>
      <c r="AL48" s="2385"/>
      <c r="AM48" s="1046" t="s">
        <v>492</v>
      </c>
      <c r="AO48" s="433"/>
      <c r="AP48" s="433" t="str">
        <f t="shared" si="1"/>
        <v>Группа потребителей</v>
      </c>
      <c r="AQ48" s="433"/>
      <c r="AR48" s="433"/>
      <c r="AS48" s="956">
        <v>23</v>
      </c>
    </row>
    <row r="49" spans="1:45" ht="24" customHeight="1">
      <c r="A49" s="1151" t="s">
        <v>242</v>
      </c>
      <c r="B49" s="1151" t="s">
        <v>243</v>
      </c>
      <c r="C49" s="1151" t="s">
        <v>244</v>
      </c>
      <c r="D49" s="1151" t="s">
        <v>245</v>
      </c>
      <c r="E49" s="2396"/>
      <c r="F49" s="2396"/>
      <c r="G49" s="2396"/>
      <c r="H49" s="2396"/>
      <c r="I49" s="2398"/>
      <c r="J49" s="2398"/>
      <c r="K49" s="2397" t="str">
        <f>J48&amp;".1"</f>
        <v>....1.1.1</v>
      </c>
      <c r="L49" s="1152" t="s">
        <v>493</v>
      </c>
      <c r="P49" s="2399"/>
      <c r="Q49" s="2399"/>
      <c r="R49" s="290">
        <v>1</v>
      </c>
      <c r="S49" s="1012" t="str">
        <f>$K49</f>
        <v>....1.1.1</v>
      </c>
      <c r="T49" s="1135"/>
      <c r="U49" s="234"/>
      <c r="V49" s="658"/>
      <c r="W49" s="259"/>
      <c r="X49" s="658"/>
      <c r="Y49" s="1045"/>
      <c r="Z49" s="2400"/>
      <c r="AA49" s="2276" t="s">
        <v>52</v>
      </c>
      <c r="AB49" s="2400"/>
      <c r="AC49" s="2276" t="s">
        <v>52</v>
      </c>
      <c r="AD49" s="658"/>
      <c r="AE49" s="259"/>
      <c r="AF49" s="658"/>
      <c r="AG49" s="1045"/>
      <c r="AH49" s="2400"/>
      <c r="AI49" s="2276" t="s">
        <v>52</v>
      </c>
      <c r="AJ49" s="2402"/>
      <c r="AK49" s="2276" t="s">
        <v>52</v>
      </c>
      <c r="AL49" s="1136"/>
      <c r="AM49" s="2418" t="s">
        <v>494</v>
      </c>
      <c r="AN49" s="444" t="e">
        <f ca="1">STRCHECKDATE(V50:AL50)</f>
        <v>#NAME?</v>
      </c>
      <c r="AO49" s="433"/>
      <c r="AP49" s="433" t="str">
        <f t="shared" si="1"/>
        <v/>
      </c>
      <c r="AQ49" s="433"/>
      <c r="AR49" s="433"/>
      <c r="AS49" s="956">
        <v>23</v>
      </c>
    </row>
    <row r="50" spans="1:45" ht="1.1499999999999999" customHeight="1">
      <c r="A50" s="1151" t="s">
        <v>242</v>
      </c>
      <c r="B50" s="1151" t="s">
        <v>243</v>
      </c>
      <c r="C50" s="1151" t="s">
        <v>244</v>
      </c>
      <c r="D50" s="1151" t="s">
        <v>245</v>
      </c>
      <c r="E50" s="2396"/>
      <c r="F50" s="2396"/>
      <c r="G50" s="2396"/>
      <c r="H50" s="2396"/>
      <c r="I50" s="2398"/>
      <c r="J50" s="2398"/>
      <c r="K50" s="2397"/>
      <c r="L50" s="1152"/>
      <c r="P50" s="2399"/>
      <c r="Q50" s="2399"/>
      <c r="R50" s="290"/>
      <c r="S50" s="1011"/>
      <c r="T50" s="234"/>
      <c r="U50" s="234"/>
      <c r="V50" s="259"/>
      <c r="W50" s="259"/>
      <c r="X50" s="259"/>
      <c r="Y50" s="262" t="str">
        <f>Z49&amp;"-"&amp;AB49</f>
        <v>-</v>
      </c>
      <c r="Z50" s="2401"/>
      <c r="AA50" s="2276"/>
      <c r="AB50" s="2401"/>
      <c r="AC50" s="2276"/>
      <c r="AD50" s="259"/>
      <c r="AE50" s="259"/>
      <c r="AF50" s="259"/>
      <c r="AG50" s="262" t="str">
        <f>AH49&amp;"-"&amp;AJ49</f>
        <v>-</v>
      </c>
      <c r="AH50" s="2401"/>
      <c r="AI50" s="2276"/>
      <c r="AJ50" s="2403"/>
      <c r="AK50" s="2276"/>
      <c r="AL50" s="1137"/>
      <c r="AM50" s="2419"/>
      <c r="AO50" s="433"/>
      <c r="AP50" s="433" t="str">
        <f t="shared" si="1"/>
        <v/>
      </c>
      <c r="AQ50" s="433"/>
      <c r="AR50" s="433"/>
      <c r="AS50" s="956">
        <v>1</v>
      </c>
    </row>
    <row r="51" spans="1:45" ht="11.45" customHeight="1">
      <c r="A51" s="1151" t="s">
        <v>242</v>
      </c>
      <c r="B51" s="1151" t="s">
        <v>243</v>
      </c>
      <c r="C51" s="1151" t="s">
        <v>244</v>
      </c>
      <c r="D51" s="1151" t="s">
        <v>245</v>
      </c>
      <c r="E51" s="2396"/>
      <c r="F51" s="2396"/>
      <c r="G51" s="2396"/>
      <c r="H51" s="2396"/>
      <c r="I51" s="2398"/>
      <c r="J51" s="2397"/>
      <c r="K51" s="1151"/>
      <c r="L51" s="1152"/>
      <c r="P51" s="2399"/>
      <c r="Q51" s="2399"/>
      <c r="R51" s="289"/>
      <c r="S51" s="1066"/>
      <c r="T51" s="222" t="s">
        <v>495</v>
      </c>
      <c r="U51" s="300"/>
      <c r="V51" s="300"/>
      <c r="W51" s="300"/>
      <c r="X51" s="300"/>
      <c r="Y51" s="300"/>
      <c r="Z51" s="300"/>
      <c r="AA51" s="300"/>
      <c r="AB51" s="300"/>
      <c r="AC51" s="300"/>
      <c r="AD51" s="300"/>
      <c r="AE51" s="300"/>
      <c r="AF51" s="300"/>
      <c r="AG51" s="300"/>
      <c r="AH51" s="300"/>
      <c r="AI51" s="300"/>
      <c r="AJ51" s="300"/>
      <c r="AK51" s="300"/>
      <c r="AL51" s="258"/>
      <c r="AM51" s="2420"/>
      <c r="AO51" s="433"/>
      <c r="AP51" s="433" t="str">
        <f t="shared" si="1"/>
        <v>Добавить вид теплоносителя (параметры теплоносителя)</v>
      </c>
      <c r="AQ51" s="433"/>
      <c r="AR51" s="433"/>
      <c r="AS51" s="956">
        <v>11</v>
      </c>
    </row>
    <row r="52" spans="1:45" ht="11.45" customHeight="1">
      <c r="A52" s="1151" t="s">
        <v>242</v>
      </c>
      <c r="B52" s="1151" t="s">
        <v>243</v>
      </c>
      <c r="C52" s="1151" t="s">
        <v>244</v>
      </c>
      <c r="D52" s="1151" t="s">
        <v>245</v>
      </c>
      <c r="E52" s="2396"/>
      <c r="F52" s="2396"/>
      <c r="G52" s="2396"/>
      <c r="H52" s="2396"/>
      <c r="I52" s="2397"/>
      <c r="J52" s="1151"/>
      <c r="K52" s="1151"/>
      <c r="L52" s="1152"/>
      <c r="P52" s="2399"/>
      <c r="Q52" s="1008"/>
      <c r="R52" s="289"/>
      <c r="S52" s="1066"/>
      <c r="T52" s="221" t="s">
        <v>496</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956">
        <v>11</v>
      </c>
    </row>
    <row r="53" spans="1:45" ht="14.65" customHeight="1">
      <c r="A53" s="1151" t="s">
        <v>242</v>
      </c>
      <c r="B53" s="1151" t="s">
        <v>243</v>
      </c>
      <c r="C53" s="1151" t="s">
        <v>244</v>
      </c>
      <c r="D53" s="1151" t="s">
        <v>245</v>
      </c>
      <c r="E53" s="2396"/>
      <c r="F53" s="2396"/>
      <c r="G53" s="2396"/>
      <c r="H53" s="2395"/>
      <c r="I53" s="1151"/>
      <c r="J53" s="1151"/>
      <c r="K53" s="1151"/>
      <c r="L53" s="1152"/>
      <c r="M53" s="1153"/>
      <c r="N53" s="1153"/>
      <c r="O53" s="469"/>
      <c r="P53" s="293"/>
      <c r="Q53" s="308"/>
      <c r="R53" s="288"/>
      <c r="S53" s="1066"/>
      <c r="T53" s="298" t="s">
        <v>497</v>
      </c>
      <c r="U53" s="300"/>
      <c r="V53" s="300"/>
      <c r="W53" s="300"/>
      <c r="X53" s="300"/>
      <c r="Y53" s="300"/>
      <c r="Z53" s="300"/>
      <c r="AA53" s="300"/>
      <c r="AB53" s="300"/>
      <c r="AC53" s="299"/>
      <c r="AD53" s="300"/>
      <c r="AE53" s="300"/>
      <c r="AF53" s="300"/>
      <c r="AG53" s="300"/>
      <c r="AH53" s="300"/>
      <c r="AI53" s="300"/>
      <c r="AJ53" s="300"/>
      <c r="AK53" s="299"/>
      <c r="AL53" s="300"/>
      <c r="AM53" s="237"/>
      <c r="AO53" s="433"/>
      <c r="AP53" s="433" t="str">
        <f t="shared" si="1"/>
        <v>Добавить схему подключения</v>
      </c>
      <c r="AQ53" s="433"/>
      <c r="AR53" s="433"/>
      <c r="AS53" s="956">
        <v>14</v>
      </c>
    </row>
    <row r="54" spans="1:45" s="1430" customFormat="1" ht="1.1499999999999999" customHeight="1">
      <c r="A54" s="1131" t="s">
        <v>242</v>
      </c>
      <c r="B54" s="1131" t="s">
        <v>243</v>
      </c>
      <c r="C54" s="1131" t="s">
        <v>244</v>
      </c>
      <c r="D54" s="1102"/>
      <c r="E54" s="2396"/>
      <c r="F54" s="2396"/>
      <c r="G54" s="2395"/>
      <c r="H54" s="1102"/>
      <c r="I54" s="1102"/>
      <c r="J54" s="1102"/>
      <c r="K54" s="1102"/>
      <c r="L54" s="1127"/>
      <c r="M54" s="1103"/>
      <c r="N54" s="1103"/>
      <c r="P54" s="1104"/>
      <c r="Q54" s="1105"/>
      <c r="R54" s="1104"/>
      <c r="S54" s="1110"/>
      <c r="T54" s="1113" t="s">
        <v>498</v>
      </c>
      <c r="U54" s="1112"/>
      <c r="V54" s="1112"/>
      <c r="W54" s="1112"/>
      <c r="X54" s="1112"/>
      <c r="Y54" s="1112"/>
      <c r="Z54" s="1112"/>
      <c r="AA54" s="1112"/>
      <c r="AB54" s="1112"/>
      <c r="AC54" s="1112"/>
      <c r="AD54" s="1112"/>
      <c r="AE54" s="1112"/>
      <c r="AF54" s="1112"/>
      <c r="AG54" s="1112"/>
      <c r="AH54" s="1112"/>
      <c r="AI54" s="1112"/>
      <c r="AJ54" s="1112"/>
      <c r="AK54" s="1112"/>
      <c r="AL54" s="1112"/>
      <c r="AM54" s="1112"/>
      <c r="AO54" s="688"/>
      <c r="AP54" s="688" t="str">
        <f t="shared" si="1"/>
        <v>Добавить источник для дифференциации</v>
      </c>
      <c r="AQ54" s="688"/>
      <c r="AR54" s="688"/>
      <c r="AS54" s="451">
        <v>1</v>
      </c>
    </row>
    <row r="55" spans="1:45" s="1430" customFormat="1" ht="1.1499999999999999" customHeight="1">
      <c r="A55" s="1131" t="s">
        <v>242</v>
      </c>
      <c r="B55" s="1131" t="s">
        <v>243</v>
      </c>
      <c r="C55" s="1102"/>
      <c r="D55" s="1102"/>
      <c r="E55" s="2396"/>
      <c r="F55" s="2395"/>
      <c r="G55" s="1102"/>
      <c r="H55" s="1102"/>
      <c r="I55" s="1102"/>
      <c r="J55" s="1102"/>
      <c r="K55" s="1102"/>
      <c r="L55" s="1127"/>
      <c r="M55" s="1109"/>
      <c r="N55" s="1109"/>
      <c r="P55" s="1104"/>
      <c r="Q55" s="1105"/>
      <c r="R55" s="1104"/>
      <c r="S55" s="1110"/>
      <c r="T55" s="1113" t="s">
        <v>499</v>
      </c>
      <c r="U55" s="1112"/>
      <c r="V55" s="1112"/>
      <c r="W55" s="1112"/>
      <c r="X55" s="1112"/>
      <c r="Y55" s="1112"/>
      <c r="Z55" s="1112"/>
      <c r="AA55" s="1112"/>
      <c r="AB55" s="1112"/>
      <c r="AC55" s="1112"/>
      <c r="AD55" s="1112"/>
      <c r="AE55" s="1112"/>
      <c r="AF55" s="1112"/>
      <c r="AG55" s="1112"/>
      <c r="AH55" s="1112"/>
      <c r="AI55" s="1112"/>
      <c r="AJ55" s="1112"/>
      <c r="AK55" s="1112"/>
      <c r="AL55" s="1112"/>
      <c r="AM55" s="1112"/>
      <c r="AO55" s="688"/>
      <c r="AP55" s="688" t="str">
        <f t="shared" si="1"/>
        <v>Добавить централизованную систему для дифференциации</v>
      </c>
      <c r="AQ55" s="688"/>
      <c r="AR55" s="688"/>
      <c r="AS55" s="451">
        <v>1</v>
      </c>
    </row>
    <row r="56" spans="1:45" s="1430" customFormat="1" ht="1.1499999999999999" customHeight="1">
      <c r="A56" s="1131" t="s">
        <v>242</v>
      </c>
      <c r="B56" s="1131"/>
      <c r="C56" s="1131"/>
      <c r="D56" s="1131"/>
      <c r="E56" s="2395"/>
      <c r="F56" s="1131"/>
      <c r="G56" s="1131"/>
      <c r="H56" s="1131"/>
      <c r="I56" s="1131"/>
      <c r="J56" s="1131"/>
      <c r="K56" s="1131"/>
      <c r="L56" s="1134"/>
      <c r="M56" s="1109"/>
      <c r="N56" s="1109"/>
      <c r="O56" s="451"/>
      <c r="P56" s="313"/>
      <c r="Q56" s="1132"/>
      <c r="R56" s="313"/>
      <c r="S56" s="1110"/>
      <c r="T56" s="1113" t="s">
        <v>500</v>
      </c>
      <c r="U56" s="1112"/>
      <c r="V56" s="1112"/>
      <c r="W56" s="1112"/>
      <c r="X56" s="1112"/>
      <c r="Y56" s="1112"/>
      <c r="Z56" s="1112"/>
      <c r="AA56" s="1112"/>
      <c r="AB56" s="1112"/>
      <c r="AC56" s="1112"/>
      <c r="AD56" s="1112"/>
      <c r="AE56" s="1112"/>
      <c r="AF56" s="1112"/>
      <c r="AG56" s="1112"/>
      <c r="AH56" s="1112"/>
      <c r="AI56" s="1112"/>
      <c r="AJ56" s="1112"/>
      <c r="AK56" s="1112"/>
      <c r="AL56" s="1112"/>
      <c r="AM56" s="1112"/>
      <c r="AO56" s="433"/>
      <c r="AP56" s="433" t="str">
        <f t="shared" si="1"/>
        <v>Добавить территорию для дифференциации</v>
      </c>
      <c r="AQ56" s="433"/>
      <c r="AR56" s="433"/>
      <c r="AS56" s="444">
        <v>1</v>
      </c>
    </row>
    <row r="57" spans="1:45" s="1430" customFormat="1" ht="1.1499999999999999" customHeight="1">
      <c r="A57" s="1102"/>
      <c r="B57" s="1102"/>
      <c r="C57" s="1102"/>
      <c r="D57" s="1102"/>
      <c r="E57" s="1131"/>
      <c r="F57" s="1102"/>
      <c r="G57" s="1102"/>
      <c r="H57" s="1102"/>
      <c r="I57" s="1102"/>
      <c r="J57" s="1102"/>
      <c r="K57" s="1102"/>
      <c r="L57" s="1127"/>
      <c r="M57" s="1109"/>
      <c r="N57" s="1109"/>
      <c r="P57" s="1104"/>
      <c r="Q57" s="1105"/>
      <c r="R57" s="1104"/>
      <c r="S57" s="1110"/>
      <c r="T57" s="1113" t="s">
        <v>532</v>
      </c>
      <c r="U57" s="1112"/>
      <c r="V57" s="1112"/>
      <c r="W57" s="1112"/>
      <c r="X57" s="1112"/>
      <c r="Y57" s="1112"/>
      <c r="Z57" s="1112"/>
      <c r="AA57" s="1112"/>
      <c r="AB57" s="1112"/>
      <c r="AC57" s="1112"/>
      <c r="AD57" s="1112"/>
      <c r="AE57" s="1112"/>
      <c r="AF57" s="1112"/>
      <c r="AG57" s="1112"/>
      <c r="AH57" s="1112"/>
      <c r="AI57" s="1112"/>
      <c r="AJ57" s="1112"/>
      <c r="AK57" s="1112"/>
      <c r="AL57" s="1112"/>
      <c r="AM57" s="1112"/>
      <c r="AO57" s="688"/>
      <c r="AP57" s="688" t="str">
        <f t="shared" si="1"/>
        <v>Добавить наименование тарифа</v>
      </c>
      <c r="AQ57" s="688"/>
      <c r="AR57" s="688"/>
      <c r="AS57" s="451">
        <v>1</v>
      </c>
    </row>
    <row r="58" spans="1:45" ht="11.45" customHeight="1">
      <c r="M58" s="961"/>
      <c r="N58" s="961"/>
      <c r="O58" s="469"/>
      <c r="P58" s="956"/>
      <c r="Q58" s="956"/>
      <c r="R58" s="956"/>
      <c r="S58" s="956"/>
      <c r="AN58" s="956"/>
      <c r="AO58" s="956"/>
      <c r="AP58" s="956"/>
      <c r="AQ58" s="956"/>
      <c r="AR58" s="956"/>
      <c r="AS58" s="956">
        <v>11</v>
      </c>
    </row>
    <row r="59" spans="1:45" ht="28.5" customHeight="1">
      <c r="O59" s="469"/>
      <c r="S59" s="1041"/>
      <c r="T59" s="2394"/>
      <c r="U59" s="2394"/>
      <c r="V59" s="2394"/>
      <c r="W59" s="2394"/>
      <c r="X59" s="2394"/>
      <c r="Y59" s="2394"/>
      <c r="Z59" s="2394"/>
      <c r="AA59" s="2394"/>
      <c r="AB59" s="2394"/>
      <c r="AC59" s="2394"/>
      <c r="AD59" s="2394"/>
      <c r="AE59" s="2394"/>
      <c r="AF59" s="2394"/>
      <c r="AG59" s="2394"/>
      <c r="AH59" s="2394"/>
      <c r="AI59" s="2394"/>
      <c r="AJ59" s="2394"/>
      <c r="AK59" s="2394"/>
      <c r="AL59" s="2394"/>
      <c r="AM59" s="2394"/>
      <c r="AS59" s="956">
        <v>27</v>
      </c>
    </row>
    <row r="60" spans="1:45" ht="67.150000000000006" customHeight="1">
      <c r="O60" s="469"/>
      <c r="P60" s="1091"/>
      <c r="T60" s="2394"/>
      <c r="U60" s="2394"/>
      <c r="V60" s="2394"/>
      <c r="W60" s="2394"/>
      <c r="X60" s="2394"/>
      <c r="Y60" s="2394"/>
      <c r="Z60" s="2394"/>
      <c r="AA60" s="2394"/>
      <c r="AB60" s="2394"/>
      <c r="AC60" s="2394"/>
      <c r="AD60" s="2394"/>
      <c r="AE60" s="2394"/>
      <c r="AF60" s="2394"/>
      <c r="AG60" s="2394"/>
      <c r="AH60" s="2394"/>
      <c r="AI60" s="2394"/>
      <c r="AJ60" s="2394"/>
      <c r="AK60" s="2394"/>
      <c r="AL60" s="2394"/>
      <c r="AM60" s="2394"/>
      <c r="AS60" s="956">
        <v>64</v>
      </c>
    </row>
    <row r="61" spans="1:45" ht="14.65" customHeight="1">
      <c r="O61" s="469"/>
      <c r="AS61" s="956">
        <v>14</v>
      </c>
    </row>
    <row r="62" spans="1:45" ht="18.75" customHeight="1">
      <c r="O62" s="469"/>
      <c r="P62" s="1116"/>
      <c r="S62" s="1041"/>
      <c r="T62" s="2394"/>
      <c r="U62" s="2394"/>
      <c r="V62" s="2394"/>
      <c r="W62" s="2394"/>
      <c r="X62" s="2394"/>
      <c r="Y62" s="2394"/>
      <c r="Z62" s="2394"/>
      <c r="AA62" s="2394"/>
      <c r="AB62" s="2394"/>
      <c r="AC62" s="2394"/>
      <c r="AD62" s="2394"/>
      <c r="AE62" s="2394"/>
      <c r="AF62" s="2394"/>
      <c r="AG62" s="2394"/>
      <c r="AH62" s="2394"/>
      <c r="AI62" s="2394"/>
      <c r="AJ62" s="2394"/>
      <c r="AK62" s="2394"/>
      <c r="AL62" s="2394"/>
      <c r="AM62" s="2394"/>
      <c r="AS62" s="956">
        <v>18</v>
      </c>
    </row>
    <row r="63" spans="1:45" ht="18.75" customHeight="1">
      <c r="O63" s="469"/>
      <c r="P63" s="1116"/>
      <c r="T63" s="2394"/>
      <c r="U63" s="2394"/>
      <c r="V63" s="2394"/>
      <c r="W63" s="2394"/>
      <c r="X63" s="2394"/>
      <c r="Y63" s="2394"/>
      <c r="Z63" s="2394"/>
      <c r="AA63" s="2394"/>
      <c r="AB63" s="2394"/>
      <c r="AC63" s="2394"/>
      <c r="AD63" s="2394"/>
      <c r="AE63" s="2394"/>
      <c r="AF63" s="2394"/>
      <c r="AG63" s="2394"/>
      <c r="AH63" s="2394"/>
      <c r="AI63" s="2394"/>
      <c r="AJ63" s="2394"/>
      <c r="AK63" s="2394"/>
      <c r="AL63" s="2394"/>
      <c r="AM63" s="2394"/>
      <c r="AS63" s="956">
        <v>18</v>
      </c>
    </row>
    <row r="64" spans="1:45" ht="29.25" customHeight="1">
      <c r="O64" s="469"/>
      <c r="P64" s="1116"/>
      <c r="S64" s="1041"/>
      <c r="T64" s="2394"/>
      <c r="U64" s="2394"/>
      <c r="V64" s="2394"/>
      <c r="W64" s="2394"/>
      <c r="X64" s="2394"/>
      <c r="Y64" s="2394"/>
      <c r="Z64" s="2394"/>
      <c r="AA64" s="2394"/>
      <c r="AB64" s="2394"/>
      <c r="AC64" s="2394"/>
      <c r="AD64" s="2394"/>
      <c r="AE64" s="2394"/>
      <c r="AF64" s="2394"/>
      <c r="AG64" s="2394"/>
      <c r="AH64" s="2394"/>
      <c r="AI64" s="2394"/>
      <c r="AJ64" s="2394"/>
      <c r="AK64" s="2394"/>
      <c r="AL64" s="2394"/>
      <c r="AM64" s="2394"/>
      <c r="AS64" s="956">
        <v>28</v>
      </c>
    </row>
    <row r="65" spans="1:45" ht="22.5" hidden="1" customHeight="1">
      <c r="A65" s="961" t="s">
        <v>69</v>
      </c>
      <c r="B65" s="961">
        <v>0</v>
      </c>
      <c r="C65" s="961">
        <v>0</v>
      </c>
      <c r="D65" s="961">
        <v>0</v>
      </c>
      <c r="E65" s="961">
        <v>0</v>
      </c>
      <c r="F65" s="961">
        <v>0</v>
      </c>
      <c r="G65" s="961">
        <v>0</v>
      </c>
      <c r="H65" s="961">
        <v>0</v>
      </c>
      <c r="I65" s="961">
        <v>0</v>
      </c>
      <c r="J65" s="961">
        <v>0</v>
      </c>
      <c r="K65" s="961">
        <v>0</v>
      </c>
      <c r="L65" s="1117">
        <v>0</v>
      </c>
      <c r="M65" s="1150">
        <v>0</v>
      </c>
      <c r="N65" s="1150">
        <v>0</v>
      </c>
      <c r="O65" s="1150">
        <v>0</v>
      </c>
      <c r="P65" s="1006">
        <v>3</v>
      </c>
      <c r="Q65" s="278">
        <v>3</v>
      </c>
      <c r="R65" s="278">
        <v>3</v>
      </c>
      <c r="S65" s="512">
        <v>12</v>
      </c>
      <c r="T65" s="956">
        <v>35</v>
      </c>
      <c r="U65" s="956">
        <v>0</v>
      </c>
      <c r="V65" s="956">
        <v>0</v>
      </c>
      <c r="W65" s="956">
        <v>0</v>
      </c>
      <c r="X65" s="956">
        <v>0</v>
      </c>
      <c r="Y65" s="956">
        <v>0</v>
      </c>
      <c r="Z65" s="956">
        <v>0</v>
      </c>
      <c r="AA65" s="956">
        <v>0</v>
      </c>
      <c r="AB65" s="956">
        <v>0</v>
      </c>
      <c r="AC65" s="956">
        <v>0</v>
      </c>
      <c r="AD65" s="956">
        <v>24</v>
      </c>
      <c r="AE65" s="956">
        <v>0</v>
      </c>
      <c r="AF65" s="956">
        <v>24</v>
      </c>
      <c r="AG65" s="956">
        <v>24</v>
      </c>
      <c r="AH65" s="956">
        <v>11</v>
      </c>
      <c r="AI65" s="956">
        <v>3</v>
      </c>
      <c r="AJ65" s="956">
        <v>11</v>
      </c>
      <c r="AK65" s="956">
        <v>0</v>
      </c>
      <c r="AL65" s="956">
        <v>4</v>
      </c>
      <c r="AM65" s="956">
        <v>115</v>
      </c>
      <c r="AN65" s="444">
        <v>10</v>
      </c>
      <c r="AO65" s="444">
        <v>10</v>
      </c>
      <c r="AP65" s="444">
        <v>10</v>
      </c>
      <c r="AQ65" s="444">
        <v>10</v>
      </c>
      <c r="AR65" s="444">
        <v>10</v>
      </c>
      <c r="AS65" s="956">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54" hidden="1"/>
    <col min="2" max="2" width="11" style="1154" hidden="1" customWidth="1"/>
    <col min="3" max="3" width="10.5703125" style="1154" hidden="1"/>
    <col min="4" max="4" width="11.85546875" style="1154" hidden="1" customWidth="1"/>
    <col min="5" max="5" width="10" style="1154" hidden="1" customWidth="1"/>
    <col min="6" max="6" width="8.7109375" style="1154" hidden="1" customWidth="1"/>
    <col min="7" max="7" width="7.5703125" style="1154" hidden="1" customWidth="1"/>
    <col min="8" max="8" width="11.42578125" style="1154" hidden="1" customWidth="1"/>
    <col min="9" max="9" width="12" style="1154" hidden="1" customWidth="1"/>
    <col min="10" max="10" width="9.85546875" style="1154" hidden="1" customWidth="1"/>
    <col min="11" max="11" width="11.42578125" style="1154" hidden="1" customWidth="1"/>
    <col min="12" max="12" width="19.140625" style="1866" hidden="1" customWidth="1"/>
    <col min="13" max="14" width="12.28515625" style="1535" hidden="1" customWidth="1"/>
    <col min="15" max="15" width="23.42578125" style="1535" hidden="1" customWidth="1"/>
    <col min="16" max="16" width="3" style="1857" customWidth="1"/>
    <col min="17" max="18" width="3" style="278" customWidth="1"/>
    <col min="19" max="19" width="12" style="1858" customWidth="1"/>
    <col min="20" max="20" width="31" style="1423" customWidth="1"/>
    <col min="21" max="21" width="0.140625" style="1423" customWidth="1"/>
    <col min="22" max="22" width="24.7109375" style="1423" hidden="1" customWidth="1"/>
    <col min="23" max="23" width="0.140625" style="1423" hidden="1" customWidth="1"/>
    <col min="24" max="25" width="24.7109375" style="1423" hidden="1" customWidth="1"/>
    <col min="26" max="26" width="11.7109375" style="1423" hidden="1" customWidth="1"/>
    <col min="27" max="27" width="3.7109375" style="1423" hidden="1" customWidth="1"/>
    <col min="28" max="28" width="11.7109375" style="1423" hidden="1" customWidth="1"/>
    <col min="29" max="29" width="8.5703125" style="1423" hidden="1" customWidth="1"/>
    <col min="30" max="30" width="24.7109375" style="1423" customWidth="1"/>
    <col min="31" max="31" width="0.140625" style="1423" customWidth="1"/>
    <col min="32" max="33" width="24" style="1423" customWidth="1"/>
    <col min="34" max="34" width="11" style="1423" customWidth="1"/>
    <col min="35" max="35" width="3.7109375" style="1423" customWidth="1"/>
    <col min="36" max="36" width="11" style="1423" customWidth="1"/>
    <col min="37" max="37" width="8.5703125" style="1423" hidden="1" customWidth="1"/>
    <col min="38" max="38" width="4" style="1423" customWidth="1"/>
    <col min="39" max="39" width="115" style="1423" customWidth="1"/>
    <col min="40" max="44" width="10" style="1430" customWidth="1"/>
    <col min="45" max="45" width="10.5703125" style="1423" hidden="1"/>
  </cols>
  <sheetData>
    <row r="1" spans="1:45" ht="22.5" hidden="1" customHeight="1">
      <c r="Y1" s="261"/>
      <c r="Z1" s="261"/>
      <c r="AG1" s="261"/>
      <c r="AH1" s="261"/>
      <c r="AS1" s="956" t="s">
        <v>1</v>
      </c>
    </row>
    <row r="2" spans="1:45" ht="21" hidden="1" customHeight="1">
      <c r="A2" s="1151"/>
      <c r="B2" s="1151"/>
      <c r="C2" s="1151"/>
      <c r="D2" s="1151"/>
      <c r="E2" s="2395">
        <v>1</v>
      </c>
      <c r="F2" s="1151"/>
      <c r="G2" s="1151"/>
      <c r="H2" s="1151"/>
      <c r="I2" s="1151"/>
      <c r="J2" s="1151"/>
      <c r="K2" s="1151"/>
      <c r="L2" s="1152"/>
      <c r="M2" s="1153"/>
      <c r="N2" s="1153"/>
      <c r="O2" s="1153"/>
      <c r="P2" s="294"/>
      <c r="Q2" s="293"/>
      <c r="R2" s="288"/>
      <c r="S2" s="1124" t="e">
        <f>INDEX(PT_DIFFERENTIATION_NUM_NTAR,MATCH(A2,PT_DIFFERENTIATION_NTAR_ID,0))</f>
        <v>#N/A</v>
      </c>
      <c r="T2" s="232" t="s">
        <v>214</v>
      </c>
      <c r="U2" s="234"/>
      <c r="V2" s="2389"/>
      <c r="W2" s="2390"/>
      <c r="X2" s="2390"/>
      <c r="Y2" s="2390"/>
      <c r="Z2" s="2390"/>
      <c r="AA2" s="2390"/>
      <c r="AB2" s="2390"/>
      <c r="AC2" s="2391"/>
      <c r="AD2" s="2389" t="e">
        <f>INDEX(PT_DIFFERENTIATION_NTAR,MATCH(A2,PT_DIFFERENTIATION_NTAR_ID,0))</f>
        <v>#N/A</v>
      </c>
      <c r="AE2" s="2390"/>
      <c r="AF2" s="2390"/>
      <c r="AG2" s="2390"/>
      <c r="AH2" s="2390"/>
      <c r="AI2" s="2390"/>
      <c r="AJ2" s="2390"/>
      <c r="AK2" s="2390"/>
      <c r="AL2" s="2391"/>
      <c r="AM2" s="1046" t="s">
        <v>480</v>
      </c>
      <c r="AO2" s="433"/>
      <c r="AP2" s="433" t="str">
        <f t="shared" ref="AP2:AP15" si="0">IF(T2="","",T2)</f>
        <v>Наименование тарифа</v>
      </c>
      <c r="AQ2" s="433"/>
      <c r="AR2" s="433"/>
      <c r="AS2" s="956">
        <v>0</v>
      </c>
    </row>
    <row r="3" spans="1:45" ht="21" hidden="1" customHeight="1">
      <c r="A3" s="1151"/>
      <c r="B3" s="1151"/>
      <c r="C3" s="1151"/>
      <c r="D3" s="1151"/>
      <c r="E3" s="2396"/>
      <c r="F3" s="2395">
        <v>1</v>
      </c>
      <c r="G3" s="1151"/>
      <c r="H3" s="1151"/>
      <c r="I3" s="1151"/>
      <c r="J3" s="1151"/>
      <c r="K3" s="1151"/>
      <c r="L3" s="1152"/>
      <c r="M3" s="1153"/>
      <c r="N3" s="1153"/>
      <c r="O3" s="1153"/>
      <c r="P3" s="1120"/>
      <c r="Q3" s="285"/>
      <c r="R3" s="286"/>
      <c r="S3" s="1124" t="e">
        <f>INDEX(PT_DIFFERENTIATION_NUM_TER,MATCH(B3,PT_DIFFERENTIATION_TER_ID,0))</f>
        <v>#N/A</v>
      </c>
      <c r="T3" s="242" t="s">
        <v>481</v>
      </c>
      <c r="U3" s="234"/>
      <c r="V3" s="2389"/>
      <c r="W3" s="2390"/>
      <c r="X3" s="2390"/>
      <c r="Y3" s="2390"/>
      <c r="Z3" s="2390"/>
      <c r="AA3" s="2390"/>
      <c r="AB3" s="2390"/>
      <c r="AC3" s="2391"/>
      <c r="AD3" s="2389" t="e">
        <f>INDEX(PT_DIFFERENTIATION_TER,MATCH(B3,PT_DIFFERENTIATION_TER_ID,0))</f>
        <v>#N/A</v>
      </c>
      <c r="AE3" s="2390"/>
      <c r="AF3" s="2390"/>
      <c r="AG3" s="2390"/>
      <c r="AH3" s="2390"/>
      <c r="AI3" s="2390"/>
      <c r="AJ3" s="2390"/>
      <c r="AK3" s="2390"/>
      <c r="AL3" s="2391"/>
      <c r="AM3" s="1046" t="s">
        <v>482</v>
      </c>
      <c r="AO3" s="433"/>
      <c r="AP3" s="433" t="str">
        <f t="shared" si="0"/>
        <v>Территория действия тарифа</v>
      </c>
      <c r="AQ3" s="433"/>
      <c r="AR3" s="433"/>
      <c r="AS3" s="956">
        <v>0</v>
      </c>
    </row>
    <row r="4" spans="1:45" ht="23.25" hidden="1" customHeight="1">
      <c r="A4" s="1151"/>
      <c r="B4" s="1151"/>
      <c r="C4" s="1151"/>
      <c r="D4" s="1151"/>
      <c r="E4" s="2396"/>
      <c r="F4" s="2396"/>
      <c r="G4" s="2395">
        <v>1</v>
      </c>
      <c r="H4" s="1151"/>
      <c r="I4" s="1151"/>
      <c r="J4" s="1151"/>
      <c r="K4" s="1151"/>
      <c r="L4" s="1152"/>
      <c r="M4" s="1153"/>
      <c r="N4" s="1153"/>
      <c r="O4" s="1153"/>
      <c r="P4" s="287"/>
      <c r="Q4" s="285"/>
      <c r="R4" s="286"/>
      <c r="S4" s="1124" t="e">
        <f>INDEX(PT_DIFFERENTIATION_NUM_CS,MATCH(C4,PT_DIFFERENTIATION_CS_ID,0))</f>
        <v>#N/A</v>
      </c>
      <c r="T4" s="243" t="s">
        <v>483</v>
      </c>
      <c r="U4" s="234"/>
      <c r="V4" s="2389"/>
      <c r="W4" s="2390"/>
      <c r="X4" s="2390"/>
      <c r="Y4" s="2390"/>
      <c r="Z4" s="2390"/>
      <c r="AA4" s="2390"/>
      <c r="AB4" s="2390"/>
      <c r="AC4" s="2391"/>
      <c r="AD4" s="2389" t="e">
        <f>INDEX(PT_DIFFERENTIATION_CS,MATCH(C4,PT_DIFFERENTIATION_CS_ID,0))</f>
        <v>#N/A</v>
      </c>
      <c r="AE4" s="2390"/>
      <c r="AF4" s="2390"/>
      <c r="AG4" s="2390"/>
      <c r="AH4" s="2390"/>
      <c r="AI4" s="2390"/>
      <c r="AJ4" s="2390"/>
      <c r="AK4" s="2390"/>
      <c r="AL4" s="2391"/>
      <c r="AM4" s="1046" t="s">
        <v>484</v>
      </c>
      <c r="AO4" s="433"/>
      <c r="AP4" s="433" t="str">
        <f t="shared" si="0"/>
        <v xml:space="preserve">Наименование системы теплоснабжения </v>
      </c>
      <c r="AQ4" s="433"/>
      <c r="AR4" s="433"/>
      <c r="AS4" s="956">
        <v>0</v>
      </c>
    </row>
    <row r="5" spans="1:45" ht="21" hidden="1" customHeight="1">
      <c r="A5" s="1151"/>
      <c r="B5" s="1151"/>
      <c r="C5" s="1151"/>
      <c r="D5" s="1151"/>
      <c r="E5" s="2396"/>
      <c r="F5" s="2396"/>
      <c r="G5" s="2396"/>
      <c r="H5" s="2395">
        <v>1</v>
      </c>
      <c r="I5" s="1151"/>
      <c r="J5" s="1151"/>
      <c r="K5" s="1151"/>
      <c r="L5" s="1152"/>
      <c r="M5" s="1153"/>
      <c r="N5" s="1153"/>
      <c r="O5" s="1153"/>
      <c r="P5" s="287"/>
      <c r="Q5" s="285"/>
      <c r="R5" s="286"/>
      <c r="S5" s="1124" t="e">
        <f>INDEX(PT_DIFFERENTIATION_NUM_IST_TE,MATCH(D5,PT_DIFFERENTIATION_IST_TE_ID,0))</f>
        <v>#N/A</v>
      </c>
      <c r="T5" s="244" t="s">
        <v>485</v>
      </c>
      <c r="U5" s="234"/>
      <c r="V5" s="2389"/>
      <c r="W5" s="2390"/>
      <c r="X5" s="2390"/>
      <c r="Y5" s="2390"/>
      <c r="Z5" s="2390"/>
      <c r="AA5" s="2390"/>
      <c r="AB5" s="2390"/>
      <c r="AC5" s="2391"/>
      <c r="AD5" s="2389" t="e">
        <f>INDEX(PT_DIFFERENTIATION_IST_TE,MATCH(D5,PT_DIFFERENTIATION_IST_TE_ID,0))</f>
        <v>#N/A</v>
      </c>
      <c r="AE5" s="2390"/>
      <c r="AF5" s="2390"/>
      <c r="AG5" s="2390"/>
      <c r="AH5" s="2390"/>
      <c r="AI5" s="2390"/>
      <c r="AJ5" s="2390"/>
      <c r="AK5" s="2390"/>
      <c r="AL5" s="2391"/>
      <c r="AM5" s="1046" t="s">
        <v>486</v>
      </c>
      <c r="AO5" s="433"/>
      <c r="AP5" s="433" t="str">
        <f t="shared" si="0"/>
        <v xml:space="preserve">Источник тепловой энергии  </v>
      </c>
      <c r="AQ5" s="433"/>
      <c r="AR5" s="433"/>
      <c r="AS5" s="956">
        <v>0</v>
      </c>
    </row>
    <row r="6" spans="1:45" ht="47.25" hidden="1" customHeight="1">
      <c r="A6" s="1151"/>
      <c r="B6" s="1151"/>
      <c r="C6" s="1151"/>
      <c r="D6" s="1151"/>
      <c r="E6" s="2396"/>
      <c r="F6" s="2396"/>
      <c r="G6" s="2396"/>
      <c r="H6" s="2396"/>
      <c r="I6" s="2397" t="e">
        <f>S5&amp;".1"</f>
        <v>#N/A</v>
      </c>
      <c r="J6" s="1151"/>
      <c r="K6" s="1151"/>
      <c r="L6" s="1152" t="s">
        <v>487</v>
      </c>
      <c r="M6" s="469"/>
      <c r="P6" s="2399">
        <v>1</v>
      </c>
      <c r="Q6" s="1119"/>
      <c r="R6" s="289"/>
      <c r="S6" s="1124" t="e">
        <f>$I6</f>
        <v>#N/A</v>
      </c>
      <c r="T6" s="219" t="s">
        <v>488</v>
      </c>
      <c r="U6" s="234"/>
      <c r="V6" s="2383"/>
      <c r="W6" s="2384"/>
      <c r="X6" s="2384"/>
      <c r="Y6" s="2384"/>
      <c r="Z6" s="2384"/>
      <c r="AA6" s="2384"/>
      <c r="AB6" s="2384"/>
      <c r="AC6" s="2385"/>
      <c r="AD6" s="2383"/>
      <c r="AE6" s="2384"/>
      <c r="AF6" s="2384"/>
      <c r="AG6" s="2384"/>
      <c r="AH6" s="2384"/>
      <c r="AI6" s="2384"/>
      <c r="AJ6" s="2384"/>
      <c r="AK6" s="2384"/>
      <c r="AL6" s="2385"/>
      <c r="AM6" s="1046" t="s">
        <v>489</v>
      </c>
      <c r="AO6" s="433"/>
      <c r="AP6" s="433" t="str">
        <f t="shared" si="0"/>
        <v>Схема подключения теплопотребляющей установки к коллектору источника тепловой энергии</v>
      </c>
      <c r="AQ6" s="433"/>
      <c r="AR6" s="433"/>
      <c r="AS6" s="956">
        <v>0</v>
      </c>
    </row>
    <row r="7" spans="1:45" ht="21" hidden="1" customHeight="1">
      <c r="A7" s="1151"/>
      <c r="B7" s="1151"/>
      <c r="C7" s="1151"/>
      <c r="D7" s="1151"/>
      <c r="E7" s="2396"/>
      <c r="F7" s="2396"/>
      <c r="G7" s="2396"/>
      <c r="H7" s="2396"/>
      <c r="I7" s="2398"/>
      <c r="J7" s="2397" t="e">
        <f>I6&amp;".1"</f>
        <v>#N/A</v>
      </c>
      <c r="K7" s="1151"/>
      <c r="L7" s="1152" t="s">
        <v>490</v>
      </c>
      <c r="M7" s="469"/>
      <c r="N7" s="1154"/>
      <c r="P7" s="2399"/>
      <c r="Q7" s="2399">
        <v>1</v>
      </c>
      <c r="R7" s="290"/>
      <c r="S7" s="1124" t="e">
        <f>$J7</f>
        <v>#N/A</v>
      </c>
      <c r="T7" s="220" t="s">
        <v>491</v>
      </c>
      <c r="U7" s="234"/>
      <c r="V7" s="2383"/>
      <c r="W7" s="2384"/>
      <c r="X7" s="2384"/>
      <c r="Y7" s="2384"/>
      <c r="Z7" s="2384"/>
      <c r="AA7" s="2384"/>
      <c r="AB7" s="2384"/>
      <c r="AC7" s="2385"/>
      <c r="AD7" s="2383"/>
      <c r="AE7" s="2384"/>
      <c r="AF7" s="2384"/>
      <c r="AG7" s="2384"/>
      <c r="AH7" s="2384"/>
      <c r="AI7" s="2384"/>
      <c r="AJ7" s="2384"/>
      <c r="AK7" s="2384"/>
      <c r="AL7" s="2385"/>
      <c r="AM7" s="1046" t="s">
        <v>492</v>
      </c>
      <c r="AO7" s="433"/>
      <c r="AP7" s="433" t="str">
        <f t="shared" si="0"/>
        <v>Группа потребителей</v>
      </c>
      <c r="AQ7" s="433"/>
      <c r="AR7" s="433"/>
      <c r="AS7" s="956">
        <v>0</v>
      </c>
    </row>
    <row r="8" spans="1:45" ht="21" hidden="1" customHeight="1">
      <c r="A8" s="1151"/>
      <c r="B8" s="1151"/>
      <c r="C8" s="1151"/>
      <c r="D8" s="1151"/>
      <c r="E8" s="2396"/>
      <c r="F8" s="2396"/>
      <c r="G8" s="2396"/>
      <c r="H8" s="2396"/>
      <c r="I8" s="2398"/>
      <c r="J8" s="2398"/>
      <c r="K8" s="2397" t="e">
        <f>J7&amp;".1"</f>
        <v>#N/A</v>
      </c>
      <c r="L8" s="1152" t="s">
        <v>493</v>
      </c>
      <c r="M8" s="469"/>
      <c r="N8" s="1154"/>
      <c r="O8" s="1154"/>
      <c r="P8" s="2399"/>
      <c r="Q8" s="2399"/>
      <c r="R8" s="290">
        <v>1</v>
      </c>
      <c r="S8" s="1124" t="e">
        <f>$K8</f>
        <v>#N/A</v>
      </c>
      <c r="T8" s="1135"/>
      <c r="U8" s="234"/>
      <c r="V8" s="658"/>
      <c r="W8" s="259"/>
      <c r="X8" s="658"/>
      <c r="Y8" s="1045"/>
      <c r="Z8" s="2400"/>
      <c r="AA8" s="2276" t="s">
        <v>52</v>
      </c>
      <c r="AB8" s="2400"/>
      <c r="AC8" s="2276" t="s">
        <v>52</v>
      </c>
      <c r="AD8" s="658"/>
      <c r="AE8" s="259"/>
      <c r="AF8" s="658"/>
      <c r="AG8" s="1045"/>
      <c r="AH8" s="2400"/>
      <c r="AI8" s="2276" t="s">
        <v>52</v>
      </c>
      <c r="AJ8" s="2400"/>
      <c r="AK8" s="2276" t="s">
        <v>52</v>
      </c>
      <c r="AL8" s="259"/>
      <c r="AM8" s="2418" t="s">
        <v>494</v>
      </c>
      <c r="AN8" s="444" t="e">
        <f ca="1">STRCHECKDATE(V9:AL9)</f>
        <v>#NAME?</v>
      </c>
      <c r="AO8" s="433"/>
      <c r="AP8" s="433" t="str">
        <f t="shared" si="0"/>
        <v/>
      </c>
      <c r="AQ8" s="433"/>
      <c r="AR8" s="433"/>
      <c r="AS8" s="956">
        <v>0</v>
      </c>
    </row>
    <row r="9" spans="1:45" ht="0.75" hidden="1" customHeight="1">
      <c r="A9" s="1151"/>
      <c r="B9" s="1151"/>
      <c r="C9" s="1151"/>
      <c r="D9" s="1151"/>
      <c r="E9" s="2396"/>
      <c r="F9" s="2396"/>
      <c r="G9" s="2396"/>
      <c r="H9" s="2396"/>
      <c r="I9" s="2398"/>
      <c r="J9" s="2398"/>
      <c r="K9" s="2397"/>
      <c r="L9" s="1152"/>
      <c r="M9" s="469"/>
      <c r="N9" s="1154"/>
      <c r="O9" s="1154"/>
      <c r="P9" s="2399"/>
      <c r="Q9" s="2399"/>
      <c r="R9" s="290"/>
      <c r="S9" s="1130"/>
      <c r="T9" s="234"/>
      <c r="U9" s="234"/>
      <c r="V9" s="259"/>
      <c r="W9" s="259"/>
      <c r="X9" s="259"/>
      <c r="Y9" s="262" t="str">
        <f>Z8&amp;"-"&amp;AB8</f>
        <v>-</v>
      </c>
      <c r="Z9" s="2401"/>
      <c r="AA9" s="2276"/>
      <c r="AB9" s="2401"/>
      <c r="AC9" s="2276"/>
      <c r="AD9" s="259"/>
      <c r="AE9" s="259"/>
      <c r="AF9" s="259"/>
      <c r="AG9" s="262" t="str">
        <f>AH8&amp;"-"&amp;AJ8</f>
        <v>-</v>
      </c>
      <c r="AH9" s="2401"/>
      <c r="AI9" s="2276"/>
      <c r="AJ9" s="2401"/>
      <c r="AK9" s="2276"/>
      <c r="AL9" s="259"/>
      <c r="AM9" s="2419"/>
      <c r="AO9" s="433"/>
      <c r="AP9" s="433" t="str">
        <f t="shared" si="0"/>
        <v/>
      </c>
      <c r="AQ9" s="433"/>
      <c r="AR9" s="433"/>
      <c r="AS9" s="956">
        <v>0</v>
      </c>
    </row>
    <row r="10" spans="1:45" ht="15" hidden="1" customHeight="1">
      <c r="A10" s="1151"/>
      <c r="B10" s="1151"/>
      <c r="C10" s="1151"/>
      <c r="D10" s="1151"/>
      <c r="E10" s="2396"/>
      <c r="F10" s="2396"/>
      <c r="G10" s="2396"/>
      <c r="H10" s="2396"/>
      <c r="I10" s="2398"/>
      <c r="J10" s="2397"/>
      <c r="K10" s="1151"/>
      <c r="L10" s="1152"/>
      <c r="M10" s="469"/>
      <c r="N10" s="1154"/>
      <c r="P10" s="2399"/>
      <c r="Q10" s="2399"/>
      <c r="R10" s="289"/>
      <c r="S10" s="1066"/>
      <c r="T10" s="222" t="s">
        <v>495</v>
      </c>
      <c r="U10" s="300"/>
      <c r="V10" s="300"/>
      <c r="W10" s="300"/>
      <c r="X10" s="300"/>
      <c r="Y10" s="300"/>
      <c r="Z10" s="300"/>
      <c r="AA10" s="300"/>
      <c r="AB10" s="300"/>
      <c r="AC10" s="300"/>
      <c r="AD10" s="300"/>
      <c r="AE10" s="300"/>
      <c r="AF10" s="300"/>
      <c r="AG10" s="300"/>
      <c r="AH10" s="300"/>
      <c r="AI10" s="300"/>
      <c r="AJ10" s="300"/>
      <c r="AK10" s="300"/>
      <c r="AL10" s="258"/>
      <c r="AM10" s="2420"/>
      <c r="AO10" s="433"/>
      <c r="AP10" s="433" t="str">
        <f t="shared" si="0"/>
        <v>Добавить вид теплоносителя (параметры теплоносителя)</v>
      </c>
      <c r="AQ10" s="433"/>
      <c r="AR10" s="433"/>
      <c r="AS10" s="956">
        <v>0</v>
      </c>
    </row>
    <row r="11" spans="1:45" ht="15" hidden="1" customHeight="1">
      <c r="A11" s="1151"/>
      <c r="B11" s="1151"/>
      <c r="C11" s="1151"/>
      <c r="D11" s="1151"/>
      <c r="E11" s="2396"/>
      <c r="F11" s="2396"/>
      <c r="G11" s="2396"/>
      <c r="H11" s="2396"/>
      <c r="I11" s="2397"/>
      <c r="J11" s="1151"/>
      <c r="K11" s="1151"/>
      <c r="L11" s="1152"/>
      <c r="M11" s="469"/>
      <c r="P11" s="2399"/>
      <c r="Q11" s="1119"/>
      <c r="R11" s="289"/>
      <c r="S11" s="1066"/>
      <c r="T11" s="221" t="s">
        <v>496</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956">
        <v>0</v>
      </c>
    </row>
    <row r="12" spans="1:45" ht="14.25" hidden="1" customHeight="1">
      <c r="A12" s="1151"/>
      <c r="B12" s="1151"/>
      <c r="C12" s="1151"/>
      <c r="D12" s="1151"/>
      <c r="E12" s="2396"/>
      <c r="F12" s="2396"/>
      <c r="G12" s="2396"/>
      <c r="H12" s="2395"/>
      <c r="I12" s="1151"/>
      <c r="J12" s="1151"/>
      <c r="K12" s="1151"/>
      <c r="L12" s="1152"/>
      <c r="M12" s="1153"/>
      <c r="N12" s="1153"/>
      <c r="O12" s="469"/>
      <c r="P12" s="293"/>
      <c r="Q12" s="308"/>
      <c r="R12" s="288"/>
      <c r="S12" s="1066"/>
      <c r="T12" s="298" t="s">
        <v>497</v>
      </c>
      <c r="U12" s="300"/>
      <c r="V12" s="300"/>
      <c r="W12" s="300"/>
      <c r="X12" s="300"/>
      <c r="Y12" s="300"/>
      <c r="Z12" s="300"/>
      <c r="AA12" s="300"/>
      <c r="AB12" s="300"/>
      <c r="AC12" s="299"/>
      <c r="AD12" s="300"/>
      <c r="AE12" s="300"/>
      <c r="AF12" s="300"/>
      <c r="AG12" s="300"/>
      <c r="AH12" s="300"/>
      <c r="AI12" s="300"/>
      <c r="AJ12" s="300"/>
      <c r="AK12" s="299"/>
      <c r="AL12" s="300"/>
      <c r="AM12" s="237"/>
      <c r="AO12" s="433"/>
      <c r="AP12" s="433" t="str">
        <f t="shared" si="0"/>
        <v>Добавить схему подключения</v>
      </c>
      <c r="AQ12" s="433"/>
      <c r="AR12" s="433"/>
      <c r="AS12" s="956">
        <v>0</v>
      </c>
    </row>
    <row r="13" spans="1:45" s="1430" customFormat="1" ht="0.75" hidden="1" customHeight="1">
      <c r="A13" s="1102"/>
      <c r="B13" s="1102"/>
      <c r="C13" s="1102"/>
      <c r="D13" s="1102"/>
      <c r="E13" s="2396"/>
      <c r="F13" s="2396"/>
      <c r="G13" s="2395"/>
      <c r="H13" s="1102"/>
      <c r="I13" s="1102"/>
      <c r="J13" s="1102"/>
      <c r="K13" s="1102"/>
      <c r="L13" s="1127"/>
      <c r="M13" s="1103"/>
      <c r="N13" s="1103"/>
      <c r="P13" s="1104"/>
      <c r="Q13" s="1105"/>
      <c r="R13" s="1104"/>
      <c r="S13" s="1106"/>
      <c r="T13" s="1107" t="s">
        <v>498</v>
      </c>
      <c r="U13" s="1108"/>
      <c r="V13" s="1108"/>
      <c r="W13" s="1108"/>
      <c r="X13" s="1108"/>
      <c r="Y13" s="1108"/>
      <c r="Z13" s="1108"/>
      <c r="AA13" s="1108"/>
      <c r="AB13" s="1108"/>
      <c r="AC13" s="1108"/>
      <c r="AD13" s="1108"/>
      <c r="AE13" s="1108"/>
      <c r="AF13" s="1108"/>
      <c r="AG13" s="1108"/>
      <c r="AH13" s="1108"/>
      <c r="AI13" s="1108"/>
      <c r="AJ13" s="1108"/>
      <c r="AK13" s="1108"/>
      <c r="AL13" s="1108"/>
      <c r="AM13" s="1108"/>
      <c r="AO13" s="688"/>
      <c r="AP13" s="688" t="str">
        <f t="shared" si="0"/>
        <v>Добавить источник для дифференциации</v>
      </c>
      <c r="AQ13" s="688"/>
      <c r="AR13" s="688"/>
      <c r="AS13" s="451">
        <v>0</v>
      </c>
    </row>
    <row r="14" spans="1:45" s="1430" customFormat="1" ht="0.75" hidden="1" customHeight="1">
      <c r="A14" s="1102"/>
      <c r="B14" s="1102"/>
      <c r="C14" s="1102"/>
      <c r="D14" s="1102"/>
      <c r="E14" s="2396"/>
      <c r="F14" s="2395"/>
      <c r="G14" s="1102"/>
      <c r="H14" s="1102"/>
      <c r="I14" s="1102"/>
      <c r="J14" s="1102"/>
      <c r="K14" s="1102"/>
      <c r="L14" s="1127"/>
      <c r="M14" s="1109"/>
      <c r="N14" s="1109"/>
      <c r="P14" s="1104"/>
      <c r="Q14" s="1105"/>
      <c r="R14" s="1104"/>
      <c r="S14" s="1110"/>
      <c r="T14" s="1111" t="s">
        <v>499</v>
      </c>
      <c r="U14" s="1112"/>
      <c r="V14" s="1112"/>
      <c r="W14" s="1112"/>
      <c r="X14" s="1112"/>
      <c r="Y14" s="1112"/>
      <c r="Z14" s="1112"/>
      <c r="AA14" s="1112"/>
      <c r="AB14" s="1112"/>
      <c r="AC14" s="1112"/>
      <c r="AD14" s="1112"/>
      <c r="AE14" s="1112"/>
      <c r="AF14" s="1112"/>
      <c r="AG14" s="1112"/>
      <c r="AH14" s="1112"/>
      <c r="AI14" s="1112"/>
      <c r="AJ14" s="1112"/>
      <c r="AK14" s="1112"/>
      <c r="AL14" s="1112"/>
      <c r="AM14" s="1112"/>
      <c r="AO14" s="688"/>
      <c r="AP14" s="688" t="str">
        <f t="shared" si="0"/>
        <v>Добавить централизованную систему для дифференциации</v>
      </c>
      <c r="AQ14" s="688"/>
      <c r="AR14" s="688"/>
      <c r="AS14" s="451">
        <v>0</v>
      </c>
    </row>
    <row r="15" spans="1:45" s="1430" customFormat="1" ht="0.75" hidden="1" customHeight="1">
      <c r="A15" s="1102"/>
      <c r="B15" s="1102"/>
      <c r="C15" s="1102"/>
      <c r="D15" s="1102"/>
      <c r="E15" s="2395"/>
      <c r="F15" s="1102"/>
      <c r="G15" s="1102"/>
      <c r="H15" s="1102"/>
      <c r="I15" s="1102"/>
      <c r="J15" s="1102"/>
      <c r="K15" s="1102"/>
      <c r="L15" s="1127"/>
      <c r="M15" s="1109"/>
      <c r="N15" s="1109"/>
      <c r="P15" s="1104"/>
      <c r="Q15" s="1105"/>
      <c r="R15" s="1104"/>
      <c r="S15" s="1110"/>
      <c r="T15" s="1113" t="s">
        <v>500</v>
      </c>
      <c r="U15" s="1112"/>
      <c r="V15" s="1112"/>
      <c r="W15" s="1112"/>
      <c r="X15" s="1112"/>
      <c r="Y15" s="1112"/>
      <c r="Z15" s="1112"/>
      <c r="AA15" s="1112"/>
      <c r="AB15" s="1112"/>
      <c r="AC15" s="1112"/>
      <c r="AD15" s="1112"/>
      <c r="AE15" s="1112"/>
      <c r="AF15" s="1112"/>
      <c r="AG15" s="1112"/>
      <c r="AH15" s="1112"/>
      <c r="AI15" s="1112"/>
      <c r="AJ15" s="1112"/>
      <c r="AK15" s="1112"/>
      <c r="AL15" s="1112"/>
      <c r="AM15" s="1112"/>
      <c r="AO15" s="688"/>
      <c r="AP15" s="688" t="str">
        <f t="shared" si="0"/>
        <v>Добавить территорию для дифференциации</v>
      </c>
      <c r="AQ15" s="688"/>
      <c r="AR15" s="688"/>
      <c r="AS15" s="451">
        <v>0</v>
      </c>
    </row>
    <row r="16" spans="1:45" ht="14.25" hidden="1" customHeight="1">
      <c r="AC16" s="261"/>
      <c r="AK16" s="261"/>
      <c r="AS16" s="956">
        <v>0</v>
      </c>
    </row>
    <row r="17" spans="1:45" ht="14.25" hidden="1" customHeight="1">
      <c r="AD17" s="1148"/>
      <c r="AE17" s="1148"/>
      <c r="AF17" s="1148"/>
      <c r="AG17" s="1149"/>
      <c r="AH17" s="2393"/>
      <c r="AI17" s="2392" t="s">
        <v>52</v>
      </c>
      <c r="AJ17" s="2393"/>
      <c r="AK17" s="2392" t="s">
        <v>52</v>
      </c>
      <c r="AS17" s="956">
        <v>0</v>
      </c>
    </row>
    <row r="18" spans="1:45" ht="14.25" hidden="1" customHeight="1">
      <c r="AD18" s="1148"/>
      <c r="AE18" s="1148"/>
      <c r="AF18" s="1148"/>
      <c r="AG18" s="262" t="str">
        <f>AH17&amp;"-"&amp;AJ17</f>
        <v>-</v>
      </c>
      <c r="AH18" s="2392"/>
      <c r="AI18" s="2392"/>
      <c r="AJ18" s="2392"/>
      <c r="AK18" s="2392"/>
      <c r="AS18" s="956">
        <v>0</v>
      </c>
    </row>
    <row r="19" spans="1:45" ht="14.25" hidden="1" customHeight="1">
      <c r="AK19" s="261"/>
      <c r="AS19" s="956">
        <v>0</v>
      </c>
    </row>
    <row r="20" spans="1:45" s="1154" customFormat="1" ht="22.5" hidden="1" customHeight="1">
      <c r="L20" s="1117"/>
      <c r="M20" s="1150"/>
      <c r="N20" s="1150"/>
      <c r="O20" s="1155" t="s">
        <v>501</v>
      </c>
      <c r="P20" s="1150"/>
      <c r="Q20" s="1159"/>
      <c r="R20" s="1159"/>
      <c r="S20" s="640"/>
      <c r="Z20" s="1155"/>
      <c r="AB20" s="1155"/>
      <c r="AH20" s="1155"/>
      <c r="AJ20" s="1155"/>
      <c r="AN20" s="444"/>
      <c r="AO20" s="444"/>
      <c r="AP20" s="444"/>
      <c r="AQ20" s="444"/>
      <c r="AR20" s="444"/>
      <c r="AS20" s="961">
        <v>0</v>
      </c>
    </row>
    <row r="21" spans="1:45" s="1154" customFormat="1" ht="14.25" hidden="1" customHeight="1">
      <c r="L21" s="1117"/>
      <c r="M21" s="1150"/>
      <c r="N21" s="1150"/>
      <c r="O21" s="1150"/>
      <c r="P21" s="1150"/>
      <c r="Q21" s="1159"/>
      <c r="R21" s="1159"/>
      <c r="S21" s="640"/>
      <c r="AN21" s="444"/>
      <c r="AO21" s="444"/>
      <c r="AP21" s="444"/>
      <c r="AQ21" s="444"/>
      <c r="AR21" s="444"/>
      <c r="AS21" s="961">
        <v>0</v>
      </c>
    </row>
    <row r="22" spans="1:45" s="1154" customFormat="1" ht="14.25" hidden="1" customHeight="1">
      <c r="L22" s="1117"/>
      <c r="M22" s="1150"/>
      <c r="N22" s="1150"/>
      <c r="O22" s="1152" t="s">
        <v>502</v>
      </c>
      <c r="P22" s="1150"/>
      <c r="Q22" s="1159"/>
      <c r="R22" s="1159"/>
      <c r="S22" s="640"/>
      <c r="T22" s="961" t="s">
        <v>503</v>
      </c>
      <c r="AA22" s="120" t="s">
        <v>504</v>
      </c>
      <c r="AC22" s="120" t="s">
        <v>505</v>
      </c>
      <c r="AD22" s="961" t="s">
        <v>503</v>
      </c>
      <c r="AI22" s="120" t="s">
        <v>506</v>
      </c>
      <c r="AK22" s="120" t="s">
        <v>505</v>
      </c>
      <c r="AN22" s="444"/>
      <c r="AO22" s="444"/>
      <c r="AP22" s="444"/>
      <c r="AQ22" s="444"/>
      <c r="AR22" s="444"/>
      <c r="AS22" s="961">
        <v>0</v>
      </c>
    </row>
    <row r="23" spans="1:45" ht="14.25" hidden="1" customHeight="1">
      <c r="O23" s="1152"/>
      <c r="AS23" s="956">
        <v>0</v>
      </c>
    </row>
    <row r="24" spans="1:45" ht="14.25" hidden="1" customHeight="1">
      <c r="O24" s="1152"/>
      <c r="AS24" s="956">
        <v>0</v>
      </c>
    </row>
    <row r="25" spans="1:45" ht="14.65" customHeight="1">
      <c r="Q25" s="309"/>
      <c r="R25" s="309"/>
      <c r="S25" s="1063"/>
      <c r="T25" s="296"/>
      <c r="U25" s="296"/>
      <c r="V25" s="442"/>
      <c r="W25" s="442"/>
      <c r="X25" s="442"/>
      <c r="Y25" s="442"/>
      <c r="Z25" s="442"/>
      <c r="AA25" s="442"/>
      <c r="AB25" s="442"/>
      <c r="AC25" s="442"/>
      <c r="AD25" s="442"/>
      <c r="AE25" s="442"/>
      <c r="AF25" s="442"/>
      <c r="AG25" s="442"/>
      <c r="AH25" s="442"/>
      <c r="AI25" s="442"/>
      <c r="AJ25" s="442"/>
      <c r="AK25" s="442"/>
      <c r="AS25" s="956">
        <v>14</v>
      </c>
    </row>
    <row r="26" spans="1:45" ht="14.65" customHeight="1">
      <c r="Q26" s="309"/>
      <c r="R26" s="309"/>
      <c r="S26" s="23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76"/>
      <c r="U26" s="2376"/>
      <c r="V26" s="2376"/>
      <c r="W26" s="2376"/>
      <c r="X26" s="2376"/>
      <c r="Y26" s="2376"/>
      <c r="Z26" s="2376"/>
      <c r="AA26" s="2376"/>
      <c r="AB26" s="2376"/>
      <c r="AC26" s="2376"/>
      <c r="AD26" s="2376"/>
      <c r="AE26" s="2376"/>
      <c r="AF26" s="2376"/>
      <c r="AG26" s="2376"/>
      <c r="AH26" s="2376"/>
      <c r="AI26" s="2376"/>
      <c r="AJ26" s="2376"/>
      <c r="AK26" s="1031"/>
      <c r="AS26" s="956">
        <v>14</v>
      </c>
    </row>
    <row r="27" spans="1:45" ht="14.65" customHeight="1">
      <c r="Q27" s="309"/>
      <c r="R27" s="309"/>
      <c r="S27" s="2349" t="str">
        <f>IF(org=0,"Не определено",org)</f>
        <v>ООО "Смоленскрегионтеплоэнерго"</v>
      </c>
      <c r="T27" s="2349"/>
      <c r="U27" s="2349"/>
      <c r="V27" s="2349"/>
      <c r="W27" s="2349"/>
      <c r="X27" s="2349"/>
      <c r="Y27" s="2349"/>
      <c r="Z27" s="2349"/>
      <c r="AA27" s="2349"/>
      <c r="AB27" s="2349"/>
      <c r="AC27" s="2349"/>
      <c r="AD27" s="2349"/>
      <c r="AE27" s="2349"/>
      <c r="AF27" s="2349"/>
      <c r="AG27" s="2349"/>
      <c r="AH27" s="2349"/>
      <c r="AI27" s="2349"/>
      <c r="AJ27" s="2349"/>
      <c r="AK27" s="1031"/>
      <c r="AS27" s="956">
        <v>14</v>
      </c>
    </row>
    <row r="28" spans="1:45" ht="14.25" hidden="1" customHeight="1">
      <c r="Q28" s="309"/>
      <c r="R28" s="309"/>
      <c r="S28" s="1063"/>
      <c r="T28" s="296"/>
      <c r="U28" s="296"/>
      <c r="V28" s="256"/>
      <c r="W28" s="256"/>
      <c r="X28" s="256"/>
      <c r="Y28" s="256"/>
      <c r="Z28" s="256"/>
      <c r="AA28" s="256"/>
      <c r="AB28" s="256"/>
      <c r="AC28" s="256"/>
      <c r="AD28" s="256"/>
      <c r="AE28" s="256"/>
      <c r="AF28" s="256"/>
      <c r="AG28" s="256"/>
      <c r="AH28" s="256"/>
      <c r="AI28" s="256"/>
      <c r="AJ28" s="256"/>
      <c r="AK28" s="256"/>
      <c r="AL28" s="442"/>
      <c r="AS28" s="956">
        <v>0</v>
      </c>
    </row>
    <row r="29" spans="1:45" s="1609" customFormat="1" ht="25.5" hidden="1" customHeight="1">
      <c r="A29" s="1156"/>
      <c r="B29" s="1156"/>
      <c r="C29" s="1156"/>
      <c r="D29" s="1156"/>
      <c r="E29" s="1156"/>
      <c r="F29" s="1156"/>
      <c r="G29" s="1156"/>
      <c r="H29" s="1156"/>
      <c r="I29" s="1156"/>
      <c r="J29" s="1156"/>
      <c r="K29" s="1156"/>
      <c r="L29" s="1157"/>
      <c r="M29" s="1156"/>
      <c r="N29" s="1156"/>
      <c r="O29" s="1156"/>
      <c r="S29" s="2386" t="s">
        <v>28</v>
      </c>
      <c r="T29" s="2386"/>
      <c r="U29" s="1160"/>
      <c r="V29" s="2388" t="str">
        <f>IF(TITLE_NAME_OR_PR_CHANGE="",IF(TITLE_NAME_OR_PR="","",TITLE_NAME_OR_PR),TITLE_NAME_OR_PR_CHANGE)</f>
        <v/>
      </c>
      <c r="W29" s="2388"/>
      <c r="X29" s="2388"/>
      <c r="Y29" s="2388"/>
      <c r="Z29" s="2388"/>
      <c r="AA29" s="2388"/>
      <c r="AB29" s="2388"/>
      <c r="AC29" s="260"/>
      <c r="AD29" s="2388" t="str">
        <f>IF(TITLE_NAME_OR_PR_CHANGE="",IF(TITLE_NAME_OR_PR="","",TITLE_NAME_OR_PR),TITLE_NAME_OR_PR_CHANGE)</f>
        <v/>
      </c>
      <c r="AE29" s="2388"/>
      <c r="AF29" s="2388"/>
      <c r="AG29" s="2388"/>
      <c r="AH29" s="2388"/>
      <c r="AI29" s="2388"/>
      <c r="AJ29" s="2388"/>
      <c r="AK29" s="260"/>
      <c r="AL29" s="260"/>
      <c r="AM29" s="214"/>
      <c r="AN29" s="301"/>
      <c r="AO29" s="301"/>
      <c r="AP29" s="301"/>
      <c r="AQ29" s="301"/>
      <c r="AR29" s="301"/>
      <c r="AS29" s="351">
        <v>0</v>
      </c>
    </row>
    <row r="30" spans="1:45" s="1609" customFormat="1" ht="18.75" hidden="1" customHeight="1">
      <c r="A30" s="1156"/>
      <c r="B30" s="1156"/>
      <c r="C30" s="1156"/>
      <c r="D30" s="1156"/>
      <c r="E30" s="1156"/>
      <c r="F30" s="1156"/>
      <c r="G30" s="1156"/>
      <c r="H30" s="1156"/>
      <c r="I30" s="1156"/>
      <c r="J30" s="1156"/>
      <c r="K30" s="1156"/>
      <c r="L30" s="1157"/>
      <c r="M30" s="1156"/>
      <c r="N30" s="1156"/>
      <c r="O30" s="1156"/>
      <c r="S30" s="2386" t="s">
        <v>507</v>
      </c>
      <c r="T30" s="2386"/>
      <c r="U30" s="1160"/>
      <c r="V30" s="2387" t="str">
        <f>IF(TITLE_DATE_PR_CHANGE="",IF(TITLE_DATE_PR="","",TITLE_DATE_PR),TITLE_DATE_PR_CHANGE)</f>
        <v/>
      </c>
      <c r="W30" s="2387"/>
      <c r="X30" s="2387"/>
      <c r="Y30" s="2387"/>
      <c r="Z30" s="2387"/>
      <c r="AA30" s="2387"/>
      <c r="AB30" s="2387"/>
      <c r="AC30" s="260"/>
      <c r="AD30" s="2387" t="str">
        <f>IF(TITLE_DATE_PR_CHANGE="",IF(TITLE_DATE_PR="","",TITLE_DATE_PR),TITLE_DATE_PR_CHANGE)</f>
        <v/>
      </c>
      <c r="AE30" s="2387"/>
      <c r="AF30" s="2387"/>
      <c r="AG30" s="2387"/>
      <c r="AH30" s="2387"/>
      <c r="AI30" s="2387"/>
      <c r="AJ30" s="2387"/>
      <c r="AK30" s="260"/>
      <c r="AL30" s="260"/>
      <c r="AM30" s="214"/>
      <c r="AN30" s="301"/>
      <c r="AO30" s="301"/>
      <c r="AP30" s="301"/>
      <c r="AQ30" s="301"/>
      <c r="AR30" s="301"/>
      <c r="AS30" s="351">
        <v>0</v>
      </c>
    </row>
    <row r="31" spans="1:45" s="1609" customFormat="1" ht="18.75" hidden="1" customHeight="1">
      <c r="A31" s="1156"/>
      <c r="B31" s="1156"/>
      <c r="C31" s="1156"/>
      <c r="D31" s="1156"/>
      <c r="E31" s="1156"/>
      <c r="F31" s="1156"/>
      <c r="G31" s="1156"/>
      <c r="H31" s="1156"/>
      <c r="I31" s="1156"/>
      <c r="J31" s="1156"/>
      <c r="K31" s="1156"/>
      <c r="L31" s="1157"/>
      <c r="M31" s="1156"/>
      <c r="N31" s="1156"/>
      <c r="O31" s="1156"/>
      <c r="S31" s="2386" t="s">
        <v>508</v>
      </c>
      <c r="T31" s="2386"/>
      <c r="U31" s="1160"/>
      <c r="V31" s="2388" t="str">
        <f>IF(TITLE_NUMBER_PR_CHANGE="",IF(TITLE_NUMBER_PR="","",TITLE_NUMBER_PR),TITLE_NUMBER_PR_CHANGE)</f>
        <v/>
      </c>
      <c r="W31" s="2388"/>
      <c r="X31" s="2388"/>
      <c r="Y31" s="2388"/>
      <c r="Z31" s="2388"/>
      <c r="AA31" s="2388"/>
      <c r="AB31" s="2388"/>
      <c r="AC31" s="260"/>
      <c r="AD31" s="2388" t="str">
        <f>IF(TITLE_NUMBER_PR_CHANGE="",IF(TITLE_NUMBER_PR="","",TITLE_NUMBER_PR),TITLE_NUMBER_PR_CHANGE)</f>
        <v/>
      </c>
      <c r="AE31" s="2388"/>
      <c r="AF31" s="2388"/>
      <c r="AG31" s="2388"/>
      <c r="AH31" s="2388"/>
      <c r="AI31" s="2388"/>
      <c r="AJ31" s="2388"/>
      <c r="AK31" s="260"/>
      <c r="AL31" s="260"/>
      <c r="AM31" s="214"/>
      <c r="AN31" s="301"/>
      <c r="AO31" s="301"/>
      <c r="AP31" s="301"/>
      <c r="AQ31" s="301"/>
      <c r="AR31" s="301"/>
      <c r="AS31" s="351">
        <v>0</v>
      </c>
    </row>
    <row r="32" spans="1:45" s="1609" customFormat="1" ht="18.75" hidden="1" customHeight="1">
      <c r="A32" s="1156"/>
      <c r="B32" s="1156"/>
      <c r="C32" s="1156"/>
      <c r="D32" s="1156"/>
      <c r="E32" s="1156"/>
      <c r="F32" s="1156"/>
      <c r="G32" s="1156"/>
      <c r="H32" s="1156"/>
      <c r="I32" s="1156"/>
      <c r="J32" s="1156"/>
      <c r="K32" s="1156"/>
      <c r="L32" s="1157"/>
      <c r="M32" s="1156"/>
      <c r="N32" s="1156"/>
      <c r="O32" s="1156"/>
      <c r="S32" s="2386" t="s">
        <v>29</v>
      </c>
      <c r="T32" s="2386"/>
      <c r="U32" s="1160"/>
      <c r="V32" s="2388" t="str">
        <f>IF(TITLE_IST_PUB_CHANGE="",IF(TITLE_IST_PUB="","",TITLE_IST_PUB),TITLE_IST_PUB_CHANGE)</f>
        <v/>
      </c>
      <c r="W32" s="2388"/>
      <c r="X32" s="2388"/>
      <c r="Y32" s="2388"/>
      <c r="Z32" s="2388"/>
      <c r="AA32" s="2388"/>
      <c r="AB32" s="2388"/>
      <c r="AC32" s="260"/>
      <c r="AD32" s="2388" t="str">
        <f>IF(TITLE_IST_PUB_CHANGE="",IF(TITLE_IST_PUB="","",TITLE_IST_PUB),TITLE_IST_PUB_CHANGE)</f>
        <v/>
      </c>
      <c r="AE32" s="2388"/>
      <c r="AF32" s="2388"/>
      <c r="AG32" s="2388"/>
      <c r="AH32" s="2388"/>
      <c r="AI32" s="2388"/>
      <c r="AJ32" s="2388"/>
      <c r="AK32" s="260"/>
      <c r="AL32" s="260"/>
      <c r="AM32" s="214"/>
      <c r="AN32" s="301"/>
      <c r="AO32" s="301"/>
      <c r="AP32" s="301"/>
      <c r="AQ32" s="301"/>
      <c r="AR32" s="301"/>
      <c r="AS32" s="351">
        <v>0</v>
      </c>
    </row>
    <row r="33" spans="1:45" ht="14.25" hidden="1" customHeight="1">
      <c r="Q33" s="309"/>
      <c r="R33" s="309"/>
      <c r="S33" s="1063"/>
      <c r="T33" s="296"/>
      <c r="U33" s="296"/>
      <c r="V33" s="256"/>
      <c r="W33" s="256"/>
      <c r="X33" s="256"/>
      <c r="Y33" s="256"/>
      <c r="Z33" s="256"/>
      <c r="AA33" s="256"/>
      <c r="AB33" s="256"/>
      <c r="AC33" s="256"/>
      <c r="AD33" s="256"/>
      <c r="AE33" s="256"/>
      <c r="AF33" s="256"/>
      <c r="AG33" s="256"/>
      <c r="AH33" s="256"/>
      <c r="AI33" s="256"/>
      <c r="AJ33" s="256"/>
      <c r="AK33" s="256"/>
      <c r="AL33" s="442"/>
      <c r="AS33" s="956">
        <v>0</v>
      </c>
    </row>
    <row r="34" spans="1:45" s="1609" customFormat="1" ht="18.75" hidden="1" customHeight="1">
      <c r="A34" s="1156"/>
      <c r="B34" s="1156"/>
      <c r="C34" s="1156"/>
      <c r="D34" s="1156"/>
      <c r="E34" s="1156"/>
      <c r="F34" s="1156"/>
      <c r="G34" s="1156"/>
      <c r="H34" s="1156"/>
      <c r="I34" s="1156"/>
      <c r="J34" s="1156"/>
      <c r="K34" s="1156"/>
      <c r="L34" s="1157"/>
      <c r="M34" s="1156"/>
      <c r="N34" s="1156"/>
      <c r="O34" s="1156"/>
      <c r="S34" s="2386" t="s">
        <v>509</v>
      </c>
      <c r="T34" s="2386"/>
      <c r="U34" s="1160"/>
      <c r="V34" s="2387" t="str">
        <f>IF(TITLE_DATE_PR_CHANGE="",IF(TITLE_DATE_PR="","",TITLE_DATE_PR),TITLE_DATE_PR_CHANGE)</f>
        <v/>
      </c>
      <c r="W34" s="2387"/>
      <c r="X34" s="2387"/>
      <c r="Y34" s="2387"/>
      <c r="Z34" s="2387"/>
      <c r="AA34" s="2387"/>
      <c r="AB34" s="2387"/>
      <c r="AC34" s="260"/>
      <c r="AD34" s="2387" t="str">
        <f>IF(TITLE_DATE_PR_CHANGE="",IF(TITLE_DATE_PR="","",TITLE_DATE_PR),TITLE_DATE_PR_CHANGE)</f>
        <v/>
      </c>
      <c r="AE34" s="2387"/>
      <c r="AF34" s="2387"/>
      <c r="AG34" s="2387"/>
      <c r="AH34" s="2387"/>
      <c r="AI34" s="2387"/>
      <c r="AJ34" s="2387"/>
      <c r="AK34" s="260"/>
      <c r="AL34" s="260"/>
      <c r="AM34" s="214"/>
      <c r="AN34" s="301"/>
      <c r="AO34" s="301"/>
      <c r="AP34" s="301"/>
      <c r="AQ34" s="301"/>
      <c r="AR34" s="301"/>
      <c r="AS34" s="351">
        <v>0</v>
      </c>
    </row>
    <row r="35" spans="1:45" s="1609" customFormat="1" ht="18.75" hidden="1" customHeight="1">
      <c r="A35" s="1156"/>
      <c r="B35" s="1156"/>
      <c r="C35" s="1156"/>
      <c r="D35" s="1156"/>
      <c r="E35" s="1156"/>
      <c r="F35" s="1156"/>
      <c r="G35" s="1156"/>
      <c r="H35" s="1156"/>
      <c r="I35" s="1156"/>
      <c r="J35" s="1156"/>
      <c r="K35" s="1156"/>
      <c r="L35" s="1157"/>
      <c r="M35" s="1156"/>
      <c r="N35" s="1156"/>
      <c r="O35" s="1156"/>
      <c r="S35" s="2386" t="s">
        <v>510</v>
      </c>
      <c r="T35" s="2386"/>
      <c r="U35" s="1160"/>
      <c r="V35" s="2388" t="str">
        <f>IF(TITLE_NUMBER_PR_CHANGE="",IF(TITLE_NUMBER_PR="","",TITLE_NUMBER_PR),TITLE_NUMBER_PR_CHANGE)</f>
        <v/>
      </c>
      <c r="W35" s="2388"/>
      <c r="X35" s="2388"/>
      <c r="Y35" s="2388"/>
      <c r="Z35" s="2388"/>
      <c r="AA35" s="2388"/>
      <c r="AB35" s="2388"/>
      <c r="AC35" s="260"/>
      <c r="AD35" s="2388" t="str">
        <f>IF(TITLE_NUMBER_PR_CHANGE="",IF(TITLE_NUMBER_PR="","",TITLE_NUMBER_PR),TITLE_NUMBER_PR_CHANGE)</f>
        <v/>
      </c>
      <c r="AE35" s="2388"/>
      <c r="AF35" s="2388"/>
      <c r="AG35" s="2388"/>
      <c r="AH35" s="2388"/>
      <c r="AI35" s="2388"/>
      <c r="AJ35" s="2388"/>
      <c r="AK35" s="260"/>
      <c r="AL35" s="260"/>
      <c r="AM35" s="214"/>
      <c r="AN35" s="301"/>
      <c r="AO35" s="301"/>
      <c r="AP35" s="301"/>
      <c r="AQ35" s="301"/>
      <c r="AR35" s="301"/>
      <c r="AS35" s="351">
        <v>0</v>
      </c>
    </row>
    <row r="36" spans="1:45" s="1609" customFormat="1" ht="0" hidden="1" customHeight="1">
      <c r="A36" s="1156"/>
      <c r="B36" s="1156"/>
      <c r="C36" s="1156"/>
      <c r="D36" s="1156"/>
      <c r="E36" s="1156"/>
      <c r="F36" s="1156"/>
      <c r="G36" s="1156"/>
      <c r="H36" s="1156"/>
      <c r="I36" s="1156"/>
      <c r="J36" s="1156"/>
      <c r="K36" s="1156"/>
      <c r="L36" s="1157"/>
      <c r="M36" s="1156"/>
      <c r="N36" s="1156"/>
      <c r="O36" s="1156"/>
      <c r="S36" s="257"/>
      <c r="T36" s="257"/>
      <c r="U36" s="1128"/>
      <c r="V36" s="260"/>
      <c r="W36" s="260"/>
      <c r="X36" s="260"/>
      <c r="Y36" s="260"/>
      <c r="Z36" s="260"/>
      <c r="AA36" s="260"/>
      <c r="AB36" s="260"/>
      <c r="AC36" s="212" t="s">
        <v>511</v>
      </c>
      <c r="AD36" s="260"/>
      <c r="AE36" s="260"/>
      <c r="AF36" s="260"/>
      <c r="AG36" s="260"/>
      <c r="AH36" s="260"/>
      <c r="AI36" s="260"/>
      <c r="AJ36" s="260"/>
      <c r="AK36" s="212" t="s">
        <v>511</v>
      </c>
      <c r="AN36" s="301"/>
      <c r="AO36" s="301"/>
      <c r="AP36" s="301"/>
      <c r="AQ36" s="301"/>
      <c r="AR36" s="301"/>
      <c r="AS36" s="351">
        <v>0</v>
      </c>
    </row>
    <row r="37" spans="1:45" ht="14.65" customHeight="1">
      <c r="Q37" s="309"/>
      <c r="R37" s="309"/>
      <c r="S37" s="1063"/>
      <c r="T37" s="296"/>
      <c r="U37" s="1032"/>
      <c r="V37" s="2407"/>
      <c r="W37" s="2407"/>
      <c r="X37" s="2407"/>
      <c r="Y37" s="2407"/>
      <c r="Z37" s="2407"/>
      <c r="AA37" s="2407"/>
      <c r="AB37" s="2407"/>
      <c r="AC37" s="2407"/>
      <c r="AD37" s="2407"/>
      <c r="AE37" s="2407"/>
      <c r="AF37" s="2407"/>
      <c r="AG37" s="2407"/>
      <c r="AH37" s="2407"/>
      <c r="AI37" s="2407"/>
      <c r="AJ37" s="2407"/>
      <c r="AK37" s="2407"/>
      <c r="AS37" s="956">
        <v>14</v>
      </c>
    </row>
    <row r="38" spans="1:45" ht="14.65" customHeight="1">
      <c r="Q38" s="309"/>
      <c r="R38" s="309"/>
      <c r="S38" s="2266" t="s">
        <v>384</v>
      </c>
      <c r="T38" s="2266"/>
      <c r="U38" s="2266"/>
      <c r="V38" s="2266"/>
      <c r="W38" s="2266"/>
      <c r="X38" s="2266"/>
      <c r="Y38" s="2266"/>
      <c r="Z38" s="2266"/>
      <c r="AA38" s="2266"/>
      <c r="AB38" s="2266"/>
      <c r="AC38" s="2266"/>
      <c r="AD38" s="2266"/>
      <c r="AE38" s="2266"/>
      <c r="AF38" s="2266"/>
      <c r="AG38" s="2266"/>
      <c r="AH38" s="2266"/>
      <c r="AI38" s="2266"/>
      <c r="AJ38" s="2266"/>
      <c r="AK38" s="2266"/>
      <c r="AL38" s="2266"/>
      <c r="AM38" s="2266" t="s">
        <v>385</v>
      </c>
      <c r="AS38" s="956">
        <v>14</v>
      </c>
    </row>
    <row r="39" spans="1:45" ht="14.65" customHeight="1">
      <c r="Q39" s="309"/>
      <c r="R39" s="309"/>
      <c r="S39" s="2408" t="s">
        <v>75</v>
      </c>
      <c r="T39" s="2357" t="s">
        <v>512</v>
      </c>
      <c r="U39" s="235"/>
      <c r="V39" s="2409" t="s">
        <v>513</v>
      </c>
      <c r="W39" s="2410"/>
      <c r="X39" s="2410"/>
      <c r="Y39" s="2410"/>
      <c r="Z39" s="2410"/>
      <c r="AA39" s="2410"/>
      <c r="AB39" s="2411"/>
      <c r="AC39" s="2412" t="s">
        <v>514</v>
      </c>
      <c r="AD39" s="2409" t="s">
        <v>513</v>
      </c>
      <c r="AE39" s="2410"/>
      <c r="AF39" s="2410"/>
      <c r="AG39" s="2410"/>
      <c r="AH39" s="2410"/>
      <c r="AI39" s="2410"/>
      <c r="AJ39" s="2411"/>
      <c r="AK39" s="2412" t="s">
        <v>515</v>
      </c>
      <c r="AL39" s="2415" t="s">
        <v>516</v>
      </c>
      <c r="AM39" s="2266"/>
      <c r="AS39" s="956">
        <v>14</v>
      </c>
    </row>
    <row r="40" spans="1:45" ht="35.65" customHeight="1">
      <c r="Q40" s="309"/>
      <c r="R40" s="309"/>
      <c r="S40" s="2408"/>
      <c r="T40" s="2357"/>
      <c r="U40" s="874"/>
      <c r="V40" s="2327" t="s">
        <v>517</v>
      </c>
      <c r="W40" s="2404" t="s">
        <v>518</v>
      </c>
      <c r="X40" s="2247" t="s">
        <v>519</v>
      </c>
      <c r="Y40" s="2246"/>
      <c r="Z40" s="2247" t="s">
        <v>533</v>
      </c>
      <c r="AA40" s="2252"/>
      <c r="AB40" s="2246"/>
      <c r="AC40" s="2413"/>
      <c r="AD40" s="2327" t="s">
        <v>517</v>
      </c>
      <c r="AE40" s="2404" t="s">
        <v>518</v>
      </c>
      <c r="AF40" s="2247" t="s">
        <v>519</v>
      </c>
      <c r="AG40" s="2246"/>
      <c r="AH40" s="2247" t="s">
        <v>520</v>
      </c>
      <c r="AI40" s="2252"/>
      <c r="AJ40" s="2246"/>
      <c r="AK40" s="2413"/>
      <c r="AL40" s="2416"/>
      <c r="AM40" s="2266"/>
      <c r="AS40" s="956">
        <v>34</v>
      </c>
    </row>
    <row r="41" spans="1:45" ht="35.65" customHeight="1">
      <c r="A41" s="1158"/>
      <c r="B41" s="1158" t="s">
        <v>226</v>
      </c>
      <c r="C41" s="1158" t="s">
        <v>227</v>
      </c>
      <c r="D41" s="1158" t="s">
        <v>228</v>
      </c>
      <c r="E41" s="1152" t="s">
        <v>521</v>
      </c>
      <c r="F41" s="1152" t="s">
        <v>522</v>
      </c>
      <c r="G41" s="1152" t="s">
        <v>523</v>
      </c>
      <c r="H41" s="1152" t="s">
        <v>524</v>
      </c>
      <c r="I41" s="1152" t="s">
        <v>525</v>
      </c>
      <c r="J41" s="1152" t="s">
        <v>526</v>
      </c>
      <c r="K41" s="1152" t="s">
        <v>527</v>
      </c>
      <c r="L41" s="1152" t="s">
        <v>502</v>
      </c>
      <c r="Q41" s="309"/>
      <c r="R41" s="309"/>
      <c r="S41" s="2408"/>
      <c r="T41" s="2357"/>
      <c r="U41" s="236"/>
      <c r="V41" s="2381"/>
      <c r="W41" s="2405"/>
      <c r="X41" s="1010" t="s">
        <v>528</v>
      </c>
      <c r="Y41" s="1010" t="s">
        <v>529</v>
      </c>
      <c r="Z41" s="1126" t="s">
        <v>530</v>
      </c>
      <c r="AA41" s="2362" t="s">
        <v>531</v>
      </c>
      <c r="AB41" s="2375"/>
      <c r="AC41" s="2414"/>
      <c r="AD41" s="2381"/>
      <c r="AE41" s="2405"/>
      <c r="AF41" s="1010" t="s">
        <v>528</v>
      </c>
      <c r="AG41" s="1010" t="s">
        <v>529</v>
      </c>
      <c r="AH41" s="1126" t="s">
        <v>530</v>
      </c>
      <c r="AI41" s="2362" t="s">
        <v>531</v>
      </c>
      <c r="AJ41" s="2375"/>
      <c r="AK41" s="2414"/>
      <c r="AL41" s="2417"/>
      <c r="AM41" s="2266"/>
      <c r="AS41" s="956">
        <v>34</v>
      </c>
    </row>
    <row r="42" spans="1:45" s="1429" customFormat="1" ht="11.25" hidden="1" customHeight="1">
      <c r="A42" s="1158"/>
      <c r="B42" s="1158"/>
      <c r="C42" s="1158"/>
      <c r="D42" s="1158"/>
      <c r="E42" s="1158"/>
      <c r="F42" s="1158"/>
      <c r="G42" s="1158"/>
      <c r="H42" s="1158"/>
      <c r="I42" s="1158"/>
      <c r="J42" s="1158"/>
      <c r="K42" s="1158"/>
      <c r="L42" s="1152"/>
      <c r="M42" s="1150"/>
      <c r="N42" s="1150"/>
      <c r="O42" s="1150"/>
      <c r="P42" s="1034"/>
      <c r="Q42" s="1035"/>
      <c r="R42" s="1042">
        <v>1</v>
      </c>
      <c r="S42" s="1065" t="s">
        <v>161</v>
      </c>
      <c r="T42" s="1043" t="s">
        <v>89</v>
      </c>
      <c r="U42" s="1033" t="str">
        <f ca="1">OFFSET(U42,0,-1)</f>
        <v>2</v>
      </c>
      <c r="V42" s="1123">
        <f ca="1">OFFSET(V42,0,-1)+1</f>
        <v>3</v>
      </c>
      <c r="W42" s="1123"/>
      <c r="X42" s="1123">
        <f ca="1">OFFSET(X42,0,-1)+1</f>
        <v>1</v>
      </c>
      <c r="Y42" s="1123">
        <f ca="1">OFFSET(Y42,0,-1)+1</f>
        <v>2</v>
      </c>
      <c r="Z42" s="1123">
        <f ca="1">OFFSET(Z42,0,-1)+1</f>
        <v>3</v>
      </c>
      <c r="AA42" s="2406">
        <f ca="1">OFFSET(AA42,0,-1)+1</f>
        <v>4</v>
      </c>
      <c r="AB42" s="2406"/>
      <c r="AC42" s="1123">
        <f ca="1">OFFSET(AC42,0,-2)+1</f>
        <v>5</v>
      </c>
      <c r="AD42" s="1123">
        <f ca="1">OFFSET(AD42,0,-1)+1</f>
        <v>6</v>
      </c>
      <c r="AE42" s="1123"/>
      <c r="AF42" s="1123">
        <f ca="1">OFFSET(AF42,0,-1)+1</f>
        <v>1</v>
      </c>
      <c r="AG42" s="1123">
        <f ca="1">OFFSET(AG42,0,-1)+1</f>
        <v>2</v>
      </c>
      <c r="AH42" s="1123">
        <f ca="1">OFFSET(AH42,0,-1)+1</f>
        <v>3</v>
      </c>
      <c r="AI42" s="2406">
        <f ca="1">OFFSET(AI42,0,-1)+1</f>
        <v>4</v>
      </c>
      <c r="AJ42" s="2406"/>
      <c r="AK42" s="1123">
        <f ca="1">OFFSET(AK42,0,-2)+1</f>
        <v>5</v>
      </c>
      <c r="AL42" s="1033">
        <f ca="1">OFFSET(AL42,0,-1)</f>
        <v>5</v>
      </c>
      <c r="AM42" s="1123">
        <f ca="1">OFFSET(AM42,0,-1)+1</f>
        <v>6</v>
      </c>
      <c r="AN42" s="444"/>
      <c r="AO42" s="444"/>
      <c r="AP42" s="444"/>
      <c r="AQ42" s="444"/>
      <c r="AR42" s="444"/>
      <c r="AS42" s="429">
        <v>0</v>
      </c>
    </row>
    <row r="43" spans="1:45" ht="21.95" customHeight="1">
      <c r="A43" s="1151" t="s">
        <v>247</v>
      </c>
      <c r="B43" s="1151"/>
      <c r="C43" s="1151"/>
      <c r="D43" s="1151"/>
      <c r="E43" s="2395">
        <v>1</v>
      </c>
      <c r="F43" s="1151"/>
      <c r="G43" s="1151"/>
      <c r="H43" s="1151"/>
      <c r="I43" s="1151"/>
      <c r="J43" s="1151"/>
      <c r="K43" s="1151"/>
      <c r="L43" s="1152"/>
      <c r="M43" s="1153"/>
      <c r="N43" s="1153"/>
      <c r="O43" s="1153"/>
      <c r="P43" s="294"/>
      <c r="Q43" s="293"/>
      <c r="R43" s="288"/>
      <c r="S43" s="1124">
        <f>INDEX(PT_DIFFERENTIATION_NUM_NTAR,MATCH(A43,PT_DIFFERENTIATION_NTAR_ID,0))</f>
        <v>0</v>
      </c>
      <c r="T43" s="232" t="s">
        <v>214</v>
      </c>
      <c r="U43" s="234"/>
      <c r="V43" s="2389"/>
      <c r="W43" s="2390"/>
      <c r="X43" s="2390"/>
      <c r="Y43" s="2390"/>
      <c r="Z43" s="2390"/>
      <c r="AA43" s="2390"/>
      <c r="AB43" s="2390"/>
      <c r="AC43" s="2391"/>
      <c r="AD43" s="2389" t="str">
        <f>INDEX(PT_DIFFERENTIATION_NTAR,MATCH(A43,PT_DIFFERENTIATION_NTAR_ID,0))</f>
        <v/>
      </c>
      <c r="AE43" s="2390"/>
      <c r="AF43" s="2390"/>
      <c r="AG43" s="2390"/>
      <c r="AH43" s="2390"/>
      <c r="AI43" s="2390"/>
      <c r="AJ43" s="2390"/>
      <c r="AK43" s="2390"/>
      <c r="AL43" s="2391"/>
      <c r="AM43" s="104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956">
        <v>21</v>
      </c>
    </row>
    <row r="44" spans="1:45" ht="21.95" customHeight="1">
      <c r="A44" s="1151" t="s">
        <v>247</v>
      </c>
      <c r="B44" s="1151" t="s">
        <v>248</v>
      </c>
      <c r="C44" s="1151"/>
      <c r="D44" s="1151"/>
      <c r="E44" s="2396"/>
      <c r="F44" s="2395">
        <v>1</v>
      </c>
      <c r="G44" s="1151"/>
      <c r="H44" s="1151"/>
      <c r="I44" s="1151"/>
      <c r="J44" s="1151"/>
      <c r="K44" s="1151"/>
      <c r="L44" s="1152"/>
      <c r="M44" s="1153"/>
      <c r="N44" s="1153"/>
      <c r="O44" s="1153"/>
      <c r="P44" s="1120"/>
      <c r="Q44" s="285"/>
      <c r="R44" s="286"/>
      <c r="S44" s="1124" t="str">
        <f>INDEX(PT_DIFFERENTIATION_NUM_TER,MATCH(B44,PT_DIFFERENTIATION_TER_ID,0))</f>
        <v>.</v>
      </c>
      <c r="T44" s="242" t="s">
        <v>481</v>
      </c>
      <c r="U44" s="234"/>
      <c r="V44" s="2389"/>
      <c r="W44" s="2390"/>
      <c r="X44" s="2390"/>
      <c r="Y44" s="2390"/>
      <c r="Z44" s="2390"/>
      <c r="AA44" s="2390"/>
      <c r="AB44" s="2390"/>
      <c r="AC44" s="2391"/>
      <c r="AD44" s="2389" t="str">
        <f>INDEX(PT_DIFFERENTIATION_TER,MATCH(B44,PT_DIFFERENTIATION_TER_ID,0))</f>
        <v/>
      </c>
      <c r="AE44" s="2390"/>
      <c r="AF44" s="2390"/>
      <c r="AG44" s="2390"/>
      <c r="AH44" s="2390"/>
      <c r="AI44" s="2390"/>
      <c r="AJ44" s="2390"/>
      <c r="AK44" s="2390"/>
      <c r="AL44" s="2391"/>
      <c r="AM44" s="1046" t="s">
        <v>482</v>
      </c>
      <c r="AO44" s="433"/>
      <c r="AP44" s="433" t="str">
        <f t="shared" si="1"/>
        <v>Территория действия тарифа</v>
      </c>
      <c r="AQ44" s="433"/>
      <c r="AR44" s="433"/>
      <c r="AS44" s="956">
        <v>21</v>
      </c>
    </row>
    <row r="45" spans="1:45" ht="24" customHeight="1">
      <c r="A45" s="1151" t="s">
        <v>247</v>
      </c>
      <c r="B45" s="1151" t="s">
        <v>248</v>
      </c>
      <c r="C45" s="1151" t="s">
        <v>249</v>
      </c>
      <c r="D45" s="1151"/>
      <c r="E45" s="2396"/>
      <c r="F45" s="2396"/>
      <c r="G45" s="2395">
        <v>1</v>
      </c>
      <c r="H45" s="1151"/>
      <c r="I45" s="1151"/>
      <c r="J45" s="1151"/>
      <c r="K45" s="1151"/>
      <c r="L45" s="1152"/>
      <c r="M45" s="1153"/>
      <c r="N45" s="1153"/>
      <c r="O45" s="1153"/>
      <c r="P45" s="287"/>
      <c r="Q45" s="285"/>
      <c r="R45" s="286"/>
      <c r="S45" s="1124" t="str">
        <f>INDEX(PT_DIFFERENTIATION_NUM_CS,MATCH(C45,PT_DIFFERENTIATION_CS_ID,0))</f>
        <v>..</v>
      </c>
      <c r="T45" s="243" t="s">
        <v>483</v>
      </c>
      <c r="U45" s="234"/>
      <c r="V45" s="2389"/>
      <c r="W45" s="2390"/>
      <c r="X45" s="2390"/>
      <c r="Y45" s="2390"/>
      <c r="Z45" s="2390"/>
      <c r="AA45" s="2390"/>
      <c r="AB45" s="2390"/>
      <c r="AC45" s="2391"/>
      <c r="AD45" s="2389" t="str">
        <f>INDEX(PT_DIFFERENTIATION_CS,MATCH(C45,PT_DIFFERENTIATION_CS_ID,0))</f>
        <v/>
      </c>
      <c r="AE45" s="2390"/>
      <c r="AF45" s="2390"/>
      <c r="AG45" s="2390"/>
      <c r="AH45" s="2390"/>
      <c r="AI45" s="2390"/>
      <c r="AJ45" s="2390"/>
      <c r="AK45" s="2390"/>
      <c r="AL45" s="2391"/>
      <c r="AM45" s="1046" t="s">
        <v>484</v>
      </c>
      <c r="AO45" s="433"/>
      <c r="AP45" s="433" t="str">
        <f t="shared" si="1"/>
        <v xml:space="preserve">Наименование системы теплоснабжения </v>
      </c>
      <c r="AQ45" s="433"/>
      <c r="AR45" s="433"/>
      <c r="AS45" s="956">
        <v>23</v>
      </c>
    </row>
    <row r="46" spans="1:45" ht="21.95" customHeight="1">
      <c r="A46" s="1151" t="s">
        <v>247</v>
      </c>
      <c r="B46" s="1151" t="s">
        <v>248</v>
      </c>
      <c r="C46" s="1151" t="s">
        <v>249</v>
      </c>
      <c r="D46" s="1151" t="s">
        <v>250</v>
      </c>
      <c r="E46" s="2396"/>
      <c r="F46" s="2396"/>
      <c r="G46" s="2396"/>
      <c r="H46" s="2395">
        <v>1</v>
      </c>
      <c r="I46" s="1151"/>
      <c r="J46" s="1151"/>
      <c r="K46" s="1151"/>
      <c r="L46" s="1152"/>
      <c r="M46" s="1153"/>
      <c r="N46" s="1153"/>
      <c r="O46" s="1153"/>
      <c r="P46" s="287"/>
      <c r="Q46" s="285"/>
      <c r="R46" s="286"/>
      <c r="S46" s="1124" t="str">
        <f>INDEX(PT_DIFFERENTIATION_NUM_IST_TE,MATCH(D46,PT_DIFFERENTIATION_IST_TE_ID,0))</f>
        <v>...</v>
      </c>
      <c r="T46" s="244" t="s">
        <v>485</v>
      </c>
      <c r="U46" s="234"/>
      <c r="V46" s="2389"/>
      <c r="W46" s="2390"/>
      <c r="X46" s="2390"/>
      <c r="Y46" s="2390"/>
      <c r="Z46" s="2390"/>
      <c r="AA46" s="2390"/>
      <c r="AB46" s="2390"/>
      <c r="AC46" s="2391"/>
      <c r="AD46" s="2389" t="str">
        <f>INDEX(PT_DIFFERENTIATION_IST_TE,MATCH(D46,PT_DIFFERENTIATION_IST_TE_ID,0))</f>
        <v/>
      </c>
      <c r="AE46" s="2390"/>
      <c r="AF46" s="2390"/>
      <c r="AG46" s="2390"/>
      <c r="AH46" s="2390"/>
      <c r="AI46" s="2390"/>
      <c r="AJ46" s="2390"/>
      <c r="AK46" s="2390"/>
      <c r="AL46" s="2391"/>
      <c r="AM46" s="1046" t="s">
        <v>486</v>
      </c>
      <c r="AO46" s="433"/>
      <c r="AP46" s="433" t="str">
        <f t="shared" si="1"/>
        <v xml:space="preserve">Источник тепловой энергии  </v>
      </c>
      <c r="AQ46" s="433"/>
      <c r="AR46" s="433"/>
      <c r="AS46" s="956">
        <v>21</v>
      </c>
    </row>
    <row r="47" spans="1:45" ht="49.5" customHeight="1">
      <c r="A47" s="1151" t="s">
        <v>247</v>
      </c>
      <c r="B47" s="1151" t="s">
        <v>248</v>
      </c>
      <c r="C47" s="1151" t="s">
        <v>249</v>
      </c>
      <c r="D47" s="1151" t="s">
        <v>250</v>
      </c>
      <c r="E47" s="2396"/>
      <c r="F47" s="2396"/>
      <c r="G47" s="2396"/>
      <c r="H47" s="2396"/>
      <c r="I47" s="2397" t="str">
        <f>S46&amp;".1"</f>
        <v>....1</v>
      </c>
      <c r="J47" s="1151"/>
      <c r="K47" s="1151"/>
      <c r="L47" s="1152" t="s">
        <v>487</v>
      </c>
      <c r="P47" s="2399">
        <v>1</v>
      </c>
      <c r="Q47" s="1119"/>
      <c r="R47" s="289"/>
      <c r="S47" s="1124" t="str">
        <f>$I47</f>
        <v>....1</v>
      </c>
      <c r="T47" s="219" t="s">
        <v>488</v>
      </c>
      <c r="U47" s="234"/>
      <c r="V47" s="2383"/>
      <c r="W47" s="2384"/>
      <c r="X47" s="2384"/>
      <c r="Y47" s="2384"/>
      <c r="Z47" s="2384"/>
      <c r="AA47" s="2384"/>
      <c r="AB47" s="2384"/>
      <c r="AC47" s="2385"/>
      <c r="AD47" s="2383"/>
      <c r="AE47" s="2384"/>
      <c r="AF47" s="2384"/>
      <c r="AG47" s="2384"/>
      <c r="AH47" s="2384"/>
      <c r="AI47" s="2384"/>
      <c r="AJ47" s="2384"/>
      <c r="AK47" s="2384"/>
      <c r="AL47" s="2385"/>
      <c r="AM47" s="1046" t="s">
        <v>489</v>
      </c>
      <c r="AO47" s="433"/>
      <c r="AP47" s="433" t="str">
        <f t="shared" si="1"/>
        <v>Схема подключения теплопотребляющей установки к коллектору источника тепловой энергии</v>
      </c>
      <c r="AQ47" s="433"/>
      <c r="AR47" s="433"/>
      <c r="AS47" s="956">
        <v>47</v>
      </c>
    </row>
    <row r="48" spans="1:45" ht="21.95" customHeight="1">
      <c r="A48" s="1151" t="s">
        <v>247</v>
      </c>
      <c r="B48" s="1151" t="s">
        <v>248</v>
      </c>
      <c r="C48" s="1151" t="s">
        <v>249</v>
      </c>
      <c r="D48" s="1151" t="s">
        <v>250</v>
      </c>
      <c r="E48" s="2396"/>
      <c r="F48" s="2396"/>
      <c r="G48" s="2396"/>
      <c r="H48" s="2396"/>
      <c r="I48" s="2398"/>
      <c r="J48" s="2397" t="str">
        <f>I47&amp;".1"</f>
        <v>....1.1</v>
      </c>
      <c r="K48" s="1151"/>
      <c r="L48" s="1152" t="s">
        <v>490</v>
      </c>
      <c r="P48" s="2399"/>
      <c r="Q48" s="2399">
        <v>1</v>
      </c>
      <c r="R48" s="290"/>
      <c r="S48" s="1124" t="str">
        <f>$J48</f>
        <v>....1.1</v>
      </c>
      <c r="T48" s="220" t="s">
        <v>491</v>
      </c>
      <c r="U48" s="234"/>
      <c r="V48" s="2383"/>
      <c r="W48" s="2384"/>
      <c r="X48" s="2384"/>
      <c r="Y48" s="2384"/>
      <c r="Z48" s="2384"/>
      <c r="AA48" s="2384"/>
      <c r="AB48" s="2384"/>
      <c r="AC48" s="2385"/>
      <c r="AD48" s="2383"/>
      <c r="AE48" s="2384"/>
      <c r="AF48" s="2384"/>
      <c r="AG48" s="2384"/>
      <c r="AH48" s="2384"/>
      <c r="AI48" s="2384"/>
      <c r="AJ48" s="2384"/>
      <c r="AK48" s="2384"/>
      <c r="AL48" s="2385"/>
      <c r="AM48" s="1046" t="s">
        <v>492</v>
      </c>
      <c r="AO48" s="433"/>
      <c r="AP48" s="433" t="str">
        <f t="shared" si="1"/>
        <v>Группа потребителей</v>
      </c>
      <c r="AQ48" s="433"/>
      <c r="AR48" s="433"/>
      <c r="AS48" s="956">
        <v>21</v>
      </c>
    </row>
    <row r="49" spans="1:45" ht="21.95" customHeight="1">
      <c r="A49" s="1151" t="s">
        <v>247</v>
      </c>
      <c r="B49" s="1151" t="s">
        <v>248</v>
      </c>
      <c r="C49" s="1151" t="s">
        <v>249</v>
      </c>
      <c r="D49" s="1151" t="s">
        <v>250</v>
      </c>
      <c r="E49" s="2396"/>
      <c r="F49" s="2396"/>
      <c r="G49" s="2396"/>
      <c r="H49" s="2396"/>
      <c r="I49" s="2398"/>
      <c r="J49" s="2398"/>
      <c r="K49" s="2397" t="str">
        <f>J48&amp;".1"</f>
        <v>....1.1.1</v>
      </c>
      <c r="L49" s="1152" t="s">
        <v>493</v>
      </c>
      <c r="P49" s="2399"/>
      <c r="Q49" s="2399"/>
      <c r="R49" s="290">
        <v>1</v>
      </c>
      <c r="S49" s="1124" t="str">
        <f>$K49</f>
        <v>....1.1.1</v>
      </c>
      <c r="T49" s="1135"/>
      <c r="U49" s="234"/>
      <c r="V49" s="658"/>
      <c r="W49" s="259"/>
      <c r="X49" s="658"/>
      <c r="Y49" s="1045"/>
      <c r="Z49" s="2400"/>
      <c r="AA49" s="2276" t="s">
        <v>52</v>
      </c>
      <c r="AB49" s="2400"/>
      <c r="AC49" s="2276" t="s">
        <v>52</v>
      </c>
      <c r="AD49" s="658"/>
      <c r="AE49" s="259"/>
      <c r="AF49" s="658"/>
      <c r="AG49" s="1045"/>
      <c r="AH49" s="2400"/>
      <c r="AI49" s="2276" t="s">
        <v>52</v>
      </c>
      <c r="AJ49" s="2402"/>
      <c r="AK49" s="2276" t="s">
        <v>52</v>
      </c>
      <c r="AL49" s="1136"/>
      <c r="AM49" s="2418" t="s">
        <v>494</v>
      </c>
      <c r="AN49" s="444" t="e">
        <f ca="1">STRCHECKDATE(V50:AL50)</f>
        <v>#NAME?</v>
      </c>
      <c r="AO49" s="433"/>
      <c r="AP49" s="433" t="str">
        <f t="shared" si="1"/>
        <v/>
      </c>
      <c r="AQ49" s="433"/>
      <c r="AR49" s="433"/>
      <c r="AS49" s="956">
        <v>21</v>
      </c>
    </row>
    <row r="50" spans="1:45" ht="1.1499999999999999" customHeight="1">
      <c r="A50" s="1151" t="s">
        <v>247</v>
      </c>
      <c r="B50" s="1151" t="s">
        <v>248</v>
      </c>
      <c r="C50" s="1151" t="s">
        <v>249</v>
      </c>
      <c r="D50" s="1151" t="s">
        <v>250</v>
      </c>
      <c r="E50" s="2396"/>
      <c r="F50" s="2396"/>
      <c r="G50" s="2396"/>
      <c r="H50" s="2396"/>
      <c r="I50" s="2398"/>
      <c r="J50" s="2398"/>
      <c r="K50" s="2397"/>
      <c r="L50" s="1152"/>
      <c r="P50" s="2399"/>
      <c r="Q50" s="2399"/>
      <c r="R50" s="290"/>
      <c r="S50" s="1130"/>
      <c r="T50" s="234"/>
      <c r="U50" s="234"/>
      <c r="V50" s="259"/>
      <c r="W50" s="259"/>
      <c r="X50" s="259"/>
      <c r="Y50" s="262" t="str">
        <f>Z49&amp;"-"&amp;AB49</f>
        <v>-</v>
      </c>
      <c r="Z50" s="2401"/>
      <c r="AA50" s="2276"/>
      <c r="AB50" s="2401"/>
      <c r="AC50" s="2276"/>
      <c r="AD50" s="259"/>
      <c r="AE50" s="259"/>
      <c r="AF50" s="259"/>
      <c r="AG50" s="262" t="str">
        <f>AH49&amp;"-"&amp;AJ49</f>
        <v>-</v>
      </c>
      <c r="AH50" s="2401"/>
      <c r="AI50" s="2276"/>
      <c r="AJ50" s="2403"/>
      <c r="AK50" s="2276"/>
      <c r="AL50" s="1137"/>
      <c r="AM50" s="2419"/>
      <c r="AO50" s="433"/>
      <c r="AP50" s="433" t="str">
        <f t="shared" si="1"/>
        <v/>
      </c>
      <c r="AQ50" s="433"/>
      <c r="AR50" s="433"/>
      <c r="AS50" s="956">
        <v>1</v>
      </c>
    </row>
    <row r="51" spans="1:45" ht="11.45" customHeight="1">
      <c r="A51" s="1151" t="s">
        <v>247</v>
      </c>
      <c r="B51" s="1151" t="s">
        <v>248</v>
      </c>
      <c r="C51" s="1151" t="s">
        <v>249</v>
      </c>
      <c r="D51" s="1151" t="s">
        <v>250</v>
      </c>
      <c r="E51" s="2396"/>
      <c r="F51" s="2396"/>
      <c r="G51" s="2396"/>
      <c r="H51" s="2396"/>
      <c r="I51" s="2398"/>
      <c r="J51" s="2397"/>
      <c r="K51" s="1151"/>
      <c r="L51" s="1152"/>
      <c r="P51" s="2399"/>
      <c r="Q51" s="2399"/>
      <c r="R51" s="289"/>
      <c r="S51" s="1066"/>
      <c r="T51" s="222" t="s">
        <v>495</v>
      </c>
      <c r="U51" s="300"/>
      <c r="V51" s="300"/>
      <c r="W51" s="300"/>
      <c r="X51" s="300"/>
      <c r="Y51" s="300"/>
      <c r="Z51" s="300"/>
      <c r="AA51" s="300"/>
      <c r="AB51" s="300"/>
      <c r="AC51" s="300"/>
      <c r="AD51" s="300"/>
      <c r="AE51" s="300"/>
      <c r="AF51" s="300"/>
      <c r="AG51" s="300"/>
      <c r="AH51" s="300"/>
      <c r="AI51" s="300"/>
      <c r="AJ51" s="300"/>
      <c r="AK51" s="300"/>
      <c r="AL51" s="258"/>
      <c r="AM51" s="2420"/>
      <c r="AO51" s="433"/>
      <c r="AP51" s="433" t="str">
        <f t="shared" si="1"/>
        <v>Добавить вид теплоносителя (параметры теплоносителя)</v>
      </c>
      <c r="AQ51" s="433"/>
      <c r="AR51" s="433"/>
      <c r="AS51" s="956">
        <v>11</v>
      </c>
    </row>
    <row r="52" spans="1:45" ht="11.45" customHeight="1">
      <c r="A52" s="1151" t="s">
        <v>247</v>
      </c>
      <c r="B52" s="1151" t="s">
        <v>248</v>
      </c>
      <c r="C52" s="1151" t="s">
        <v>249</v>
      </c>
      <c r="D52" s="1151" t="s">
        <v>250</v>
      </c>
      <c r="E52" s="2396"/>
      <c r="F52" s="2396"/>
      <c r="G52" s="2396"/>
      <c r="H52" s="2396"/>
      <c r="I52" s="2397"/>
      <c r="J52" s="1151"/>
      <c r="K52" s="1151"/>
      <c r="L52" s="1152"/>
      <c r="P52" s="2399"/>
      <c r="Q52" s="1119"/>
      <c r="R52" s="289"/>
      <c r="S52" s="1066"/>
      <c r="T52" s="221" t="s">
        <v>496</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956">
        <v>11</v>
      </c>
    </row>
    <row r="53" spans="1:45" ht="14.65" customHeight="1">
      <c r="A53" s="1151" t="s">
        <v>247</v>
      </c>
      <c r="B53" s="1151" t="s">
        <v>248</v>
      </c>
      <c r="C53" s="1151" t="s">
        <v>249</v>
      </c>
      <c r="D53" s="1151" t="s">
        <v>250</v>
      </c>
      <c r="E53" s="2396"/>
      <c r="F53" s="2396"/>
      <c r="G53" s="2396"/>
      <c r="H53" s="2395"/>
      <c r="I53" s="1151"/>
      <c r="J53" s="1151"/>
      <c r="K53" s="1151"/>
      <c r="L53" s="1152"/>
      <c r="M53" s="1153"/>
      <c r="N53" s="1153"/>
      <c r="O53" s="469"/>
      <c r="P53" s="293"/>
      <c r="Q53" s="308"/>
      <c r="R53" s="288"/>
      <c r="S53" s="1066"/>
      <c r="T53" s="298" t="s">
        <v>497</v>
      </c>
      <c r="U53" s="300"/>
      <c r="V53" s="300"/>
      <c r="W53" s="300"/>
      <c r="X53" s="300"/>
      <c r="Y53" s="300"/>
      <c r="Z53" s="300"/>
      <c r="AA53" s="300"/>
      <c r="AB53" s="300"/>
      <c r="AC53" s="299"/>
      <c r="AD53" s="300"/>
      <c r="AE53" s="300"/>
      <c r="AF53" s="300"/>
      <c r="AG53" s="300"/>
      <c r="AH53" s="300"/>
      <c r="AI53" s="300"/>
      <c r="AJ53" s="300"/>
      <c r="AK53" s="299"/>
      <c r="AL53" s="300"/>
      <c r="AM53" s="237"/>
      <c r="AO53" s="433"/>
      <c r="AP53" s="433" t="str">
        <f t="shared" si="1"/>
        <v>Добавить схему подключения</v>
      </c>
      <c r="AQ53" s="433"/>
      <c r="AR53" s="433"/>
      <c r="AS53" s="956">
        <v>14</v>
      </c>
    </row>
    <row r="54" spans="1:45" s="1430" customFormat="1" ht="1.1499999999999999" customHeight="1">
      <c r="A54" s="1131" t="s">
        <v>247</v>
      </c>
      <c r="B54" s="1131" t="s">
        <v>248</v>
      </c>
      <c r="C54" s="1131" t="s">
        <v>249</v>
      </c>
      <c r="D54" s="1102"/>
      <c r="E54" s="2396"/>
      <c r="F54" s="2396"/>
      <c r="G54" s="2395"/>
      <c r="H54" s="1102"/>
      <c r="I54" s="1102"/>
      <c r="J54" s="1102"/>
      <c r="K54" s="1102"/>
      <c r="L54" s="1127"/>
      <c r="M54" s="1103"/>
      <c r="N54" s="1103"/>
      <c r="P54" s="1104"/>
      <c r="Q54" s="1105"/>
      <c r="R54" s="1104"/>
      <c r="S54" s="1110"/>
      <c r="T54" s="1113" t="s">
        <v>498</v>
      </c>
      <c r="U54" s="1112"/>
      <c r="V54" s="1112"/>
      <c r="W54" s="1112"/>
      <c r="X54" s="1112"/>
      <c r="Y54" s="1112"/>
      <c r="Z54" s="1112"/>
      <c r="AA54" s="1112"/>
      <c r="AB54" s="1112"/>
      <c r="AC54" s="1112"/>
      <c r="AD54" s="1112"/>
      <c r="AE54" s="1112"/>
      <c r="AF54" s="1112"/>
      <c r="AG54" s="1112"/>
      <c r="AH54" s="1112"/>
      <c r="AI54" s="1112"/>
      <c r="AJ54" s="1112"/>
      <c r="AK54" s="1112"/>
      <c r="AL54" s="1112"/>
      <c r="AM54" s="1112"/>
      <c r="AO54" s="688"/>
      <c r="AP54" s="688" t="str">
        <f t="shared" si="1"/>
        <v>Добавить источник для дифференциации</v>
      </c>
      <c r="AQ54" s="688"/>
      <c r="AR54" s="688"/>
      <c r="AS54" s="451">
        <v>1</v>
      </c>
    </row>
    <row r="55" spans="1:45" s="1430" customFormat="1" ht="1.1499999999999999" customHeight="1">
      <c r="A55" s="1131" t="s">
        <v>247</v>
      </c>
      <c r="B55" s="1131" t="s">
        <v>248</v>
      </c>
      <c r="C55" s="1102"/>
      <c r="D55" s="1102"/>
      <c r="E55" s="2396"/>
      <c r="F55" s="2395"/>
      <c r="G55" s="1102"/>
      <c r="H55" s="1102"/>
      <c r="I55" s="1102"/>
      <c r="J55" s="1102"/>
      <c r="K55" s="1102"/>
      <c r="L55" s="1127"/>
      <c r="M55" s="1109"/>
      <c r="N55" s="1109"/>
      <c r="P55" s="1104"/>
      <c r="Q55" s="1105"/>
      <c r="R55" s="1104"/>
      <c r="S55" s="1110"/>
      <c r="T55" s="1113" t="s">
        <v>499</v>
      </c>
      <c r="U55" s="1112"/>
      <c r="V55" s="1112"/>
      <c r="W55" s="1112"/>
      <c r="X55" s="1112"/>
      <c r="Y55" s="1112"/>
      <c r="Z55" s="1112"/>
      <c r="AA55" s="1112"/>
      <c r="AB55" s="1112"/>
      <c r="AC55" s="1112"/>
      <c r="AD55" s="1112"/>
      <c r="AE55" s="1112"/>
      <c r="AF55" s="1112"/>
      <c r="AG55" s="1112"/>
      <c r="AH55" s="1112"/>
      <c r="AI55" s="1112"/>
      <c r="AJ55" s="1112"/>
      <c r="AK55" s="1112"/>
      <c r="AL55" s="1112"/>
      <c r="AM55" s="1112"/>
      <c r="AO55" s="688"/>
      <c r="AP55" s="688" t="str">
        <f t="shared" si="1"/>
        <v>Добавить централизованную систему для дифференциации</v>
      </c>
      <c r="AQ55" s="688"/>
      <c r="AR55" s="688"/>
      <c r="AS55" s="451">
        <v>1</v>
      </c>
    </row>
    <row r="56" spans="1:45" s="1430" customFormat="1" ht="1.1499999999999999" customHeight="1">
      <c r="A56" s="1131" t="s">
        <v>247</v>
      </c>
      <c r="B56" s="1131"/>
      <c r="C56" s="1131"/>
      <c r="D56" s="1131"/>
      <c r="E56" s="2395"/>
      <c r="F56" s="1131"/>
      <c r="G56" s="1131"/>
      <c r="H56" s="1131"/>
      <c r="I56" s="1131"/>
      <c r="J56" s="1131"/>
      <c r="K56" s="1131"/>
      <c r="L56" s="1134"/>
      <c r="M56" s="1109"/>
      <c r="N56" s="1109"/>
      <c r="O56" s="451"/>
      <c r="P56" s="313"/>
      <c r="Q56" s="1132"/>
      <c r="R56" s="313"/>
      <c r="S56" s="1110"/>
      <c r="T56" s="1113" t="s">
        <v>500</v>
      </c>
      <c r="U56" s="1112"/>
      <c r="V56" s="1112"/>
      <c r="W56" s="1112"/>
      <c r="X56" s="1112"/>
      <c r="Y56" s="1112"/>
      <c r="Z56" s="1112"/>
      <c r="AA56" s="1112"/>
      <c r="AB56" s="1112"/>
      <c r="AC56" s="1112"/>
      <c r="AD56" s="1112"/>
      <c r="AE56" s="1112"/>
      <c r="AF56" s="1112"/>
      <c r="AG56" s="1112"/>
      <c r="AH56" s="1112"/>
      <c r="AI56" s="1112"/>
      <c r="AJ56" s="1112"/>
      <c r="AK56" s="1112"/>
      <c r="AL56" s="1112"/>
      <c r="AM56" s="1112"/>
      <c r="AO56" s="433"/>
      <c r="AP56" s="433" t="str">
        <f t="shared" si="1"/>
        <v>Добавить территорию для дифференциации</v>
      </c>
      <c r="AQ56" s="433"/>
      <c r="AR56" s="433"/>
      <c r="AS56" s="444">
        <v>1</v>
      </c>
    </row>
    <row r="57" spans="1:45" s="1430" customFormat="1" ht="1.1499999999999999" customHeight="1">
      <c r="A57" s="1102"/>
      <c r="B57" s="1102"/>
      <c r="C57" s="1102"/>
      <c r="D57" s="1102"/>
      <c r="E57" s="1131"/>
      <c r="F57" s="1102"/>
      <c r="G57" s="1102"/>
      <c r="H57" s="1102"/>
      <c r="I57" s="1102"/>
      <c r="J57" s="1102"/>
      <c r="K57" s="1102"/>
      <c r="L57" s="1127"/>
      <c r="M57" s="1109"/>
      <c r="N57" s="1109"/>
      <c r="P57" s="1104"/>
      <c r="Q57" s="1105"/>
      <c r="R57" s="1104"/>
      <c r="S57" s="1110"/>
      <c r="T57" s="1113" t="s">
        <v>532</v>
      </c>
      <c r="U57" s="1112"/>
      <c r="V57" s="1112"/>
      <c r="W57" s="1112"/>
      <c r="X57" s="1112"/>
      <c r="Y57" s="1112"/>
      <c r="Z57" s="1112"/>
      <c r="AA57" s="1112"/>
      <c r="AB57" s="1112"/>
      <c r="AC57" s="1112"/>
      <c r="AD57" s="1112"/>
      <c r="AE57" s="1112"/>
      <c r="AF57" s="1112"/>
      <c r="AG57" s="1112"/>
      <c r="AH57" s="1112"/>
      <c r="AI57" s="1112"/>
      <c r="AJ57" s="1112"/>
      <c r="AK57" s="1112"/>
      <c r="AL57" s="1112"/>
      <c r="AM57" s="1112"/>
      <c r="AO57" s="688"/>
      <c r="AP57" s="688" t="str">
        <f t="shared" si="1"/>
        <v>Добавить наименование тарифа</v>
      </c>
      <c r="AQ57" s="688"/>
      <c r="AR57" s="688"/>
      <c r="AS57" s="451">
        <v>1</v>
      </c>
    </row>
    <row r="58" spans="1:45" ht="11.45" customHeight="1">
      <c r="M58" s="961"/>
      <c r="N58" s="961"/>
      <c r="O58" s="469"/>
      <c r="P58" s="956"/>
      <c r="Q58" s="956"/>
      <c r="R58" s="956"/>
      <c r="S58" s="956"/>
      <c r="AN58" s="956"/>
      <c r="AO58" s="956"/>
      <c r="AP58" s="956"/>
      <c r="AQ58" s="956"/>
      <c r="AR58" s="956"/>
      <c r="AS58" s="956">
        <v>11</v>
      </c>
    </row>
    <row r="59" spans="1:45" ht="28.5" customHeight="1">
      <c r="O59" s="469"/>
      <c r="S59" s="1041"/>
      <c r="T59" s="2394"/>
      <c r="U59" s="2394"/>
      <c r="V59" s="2394"/>
      <c r="W59" s="2394"/>
      <c r="X59" s="2394"/>
      <c r="Y59" s="2394"/>
      <c r="Z59" s="2394"/>
      <c r="AA59" s="2394"/>
      <c r="AB59" s="2394"/>
      <c r="AC59" s="2394"/>
      <c r="AD59" s="2394"/>
      <c r="AE59" s="2394"/>
      <c r="AF59" s="2394"/>
      <c r="AG59" s="2394"/>
      <c r="AH59" s="2394"/>
      <c r="AI59" s="2394"/>
      <c r="AJ59" s="2394"/>
      <c r="AK59" s="2394"/>
      <c r="AL59" s="2394"/>
      <c r="AM59" s="2394"/>
      <c r="AS59" s="956">
        <v>27</v>
      </c>
    </row>
    <row r="60" spans="1:45" ht="65.25" customHeight="1">
      <c r="O60" s="469"/>
      <c r="T60" s="2394"/>
      <c r="U60" s="2394"/>
      <c r="V60" s="2394"/>
      <c r="W60" s="2394"/>
      <c r="X60" s="2394"/>
      <c r="Y60" s="2394"/>
      <c r="Z60" s="2394"/>
      <c r="AA60" s="2394"/>
      <c r="AB60" s="2394"/>
      <c r="AC60" s="2394"/>
      <c r="AD60" s="2394"/>
      <c r="AE60" s="2394"/>
      <c r="AF60" s="2394"/>
      <c r="AG60" s="2394"/>
      <c r="AH60" s="2394"/>
      <c r="AI60" s="2394"/>
      <c r="AJ60" s="2394"/>
      <c r="AK60" s="2394"/>
      <c r="AL60" s="2394"/>
      <c r="AM60" s="2394"/>
      <c r="AS60" s="956">
        <v>62</v>
      </c>
    </row>
    <row r="61" spans="1:45" ht="14.65" customHeight="1">
      <c r="O61" s="469"/>
      <c r="AS61" s="956">
        <v>14</v>
      </c>
    </row>
    <row r="62" spans="1:45" ht="18.75" customHeight="1">
      <c r="O62" s="469"/>
      <c r="S62" s="1041"/>
      <c r="T62" s="2394"/>
      <c r="U62" s="2394"/>
      <c r="V62" s="2394"/>
      <c r="W62" s="2394"/>
      <c r="X62" s="2394"/>
      <c r="Y62" s="2394"/>
      <c r="Z62" s="2394"/>
      <c r="AA62" s="2394"/>
      <c r="AB62" s="2394"/>
      <c r="AC62" s="2394"/>
      <c r="AD62" s="2394"/>
      <c r="AE62" s="2394"/>
      <c r="AF62" s="2394"/>
      <c r="AG62" s="2394"/>
      <c r="AH62" s="2394"/>
      <c r="AI62" s="2394"/>
      <c r="AJ62" s="2394"/>
      <c r="AK62" s="2394"/>
      <c r="AL62" s="2394"/>
      <c r="AM62" s="2394"/>
      <c r="AS62" s="956">
        <v>18</v>
      </c>
    </row>
    <row r="63" spans="1:45" ht="18.75" customHeight="1">
      <c r="O63" s="469"/>
      <c r="T63" s="2394"/>
      <c r="U63" s="2394"/>
      <c r="V63" s="2394"/>
      <c r="W63" s="2394"/>
      <c r="X63" s="2394"/>
      <c r="Y63" s="2394"/>
      <c r="Z63" s="2394"/>
      <c r="AA63" s="2394"/>
      <c r="AB63" s="2394"/>
      <c r="AC63" s="2394"/>
      <c r="AD63" s="2394"/>
      <c r="AE63" s="2394"/>
      <c r="AF63" s="2394"/>
      <c r="AG63" s="2394"/>
      <c r="AH63" s="2394"/>
      <c r="AI63" s="2394"/>
      <c r="AJ63" s="2394"/>
      <c r="AK63" s="2394"/>
      <c r="AL63" s="2394"/>
      <c r="AM63" s="2394"/>
      <c r="AS63" s="956">
        <v>18</v>
      </c>
    </row>
    <row r="64" spans="1:45" ht="29.25" customHeight="1">
      <c r="O64" s="469"/>
      <c r="S64" s="1041"/>
      <c r="T64" s="2394"/>
      <c r="U64" s="2394"/>
      <c r="V64" s="2394"/>
      <c r="W64" s="2394"/>
      <c r="X64" s="2394"/>
      <c r="Y64" s="2394"/>
      <c r="Z64" s="2394"/>
      <c r="AA64" s="2394"/>
      <c r="AB64" s="2394"/>
      <c r="AC64" s="2394"/>
      <c r="AD64" s="2394"/>
      <c r="AE64" s="2394"/>
      <c r="AF64" s="2394"/>
      <c r="AG64" s="2394"/>
      <c r="AH64" s="2394"/>
      <c r="AI64" s="2394"/>
      <c r="AJ64" s="2394"/>
      <c r="AK64" s="2394"/>
      <c r="AL64" s="2394"/>
      <c r="AM64" s="2394"/>
      <c r="AS64" s="956">
        <v>28</v>
      </c>
    </row>
    <row r="65" spans="1:45" ht="22.5" hidden="1" customHeight="1">
      <c r="A65" s="961" t="s">
        <v>69</v>
      </c>
      <c r="B65" s="961">
        <v>0</v>
      </c>
      <c r="C65" s="961">
        <v>0</v>
      </c>
      <c r="D65" s="961">
        <v>0</v>
      </c>
      <c r="E65" s="961">
        <v>0</v>
      </c>
      <c r="F65" s="961">
        <v>0</v>
      </c>
      <c r="G65" s="961">
        <v>0</v>
      </c>
      <c r="H65" s="961">
        <v>0</v>
      </c>
      <c r="I65" s="961">
        <v>0</v>
      </c>
      <c r="J65" s="961">
        <v>0</v>
      </c>
      <c r="K65" s="961">
        <v>0</v>
      </c>
      <c r="L65" s="1117">
        <v>0</v>
      </c>
      <c r="M65" s="1150">
        <v>0</v>
      </c>
      <c r="N65" s="1150">
        <v>0</v>
      </c>
      <c r="O65" s="1150">
        <v>0</v>
      </c>
      <c r="P65" s="1116">
        <v>3</v>
      </c>
      <c r="Q65" s="278">
        <v>3</v>
      </c>
      <c r="R65" s="278">
        <v>3</v>
      </c>
      <c r="S65" s="512">
        <v>12</v>
      </c>
      <c r="T65" s="956">
        <v>31</v>
      </c>
      <c r="U65" s="956">
        <v>0</v>
      </c>
      <c r="V65" s="956">
        <v>0</v>
      </c>
      <c r="W65" s="956">
        <v>0</v>
      </c>
      <c r="X65" s="956">
        <v>0</v>
      </c>
      <c r="Y65" s="956">
        <v>0</v>
      </c>
      <c r="Z65" s="956">
        <v>0</v>
      </c>
      <c r="AA65" s="956">
        <v>0</v>
      </c>
      <c r="AB65" s="956">
        <v>0</v>
      </c>
      <c r="AC65" s="956">
        <v>0</v>
      </c>
      <c r="AD65" s="956">
        <v>24</v>
      </c>
      <c r="AE65" s="956">
        <v>0</v>
      </c>
      <c r="AF65" s="956">
        <v>24</v>
      </c>
      <c r="AG65" s="956">
        <v>24</v>
      </c>
      <c r="AH65" s="956">
        <v>11</v>
      </c>
      <c r="AI65" s="956">
        <v>3</v>
      </c>
      <c r="AJ65" s="956">
        <v>11</v>
      </c>
      <c r="AK65" s="956">
        <v>0</v>
      </c>
      <c r="AL65" s="956">
        <v>4</v>
      </c>
      <c r="AM65" s="956">
        <v>115</v>
      </c>
      <c r="AN65" s="444">
        <v>10</v>
      </c>
      <c r="AO65" s="444">
        <v>10</v>
      </c>
      <c r="AP65" s="444">
        <v>10</v>
      </c>
      <c r="AQ65" s="444">
        <v>10</v>
      </c>
      <c r="AR65" s="444">
        <v>10</v>
      </c>
      <c r="AS65" s="956">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423" hidden="1"/>
    <col min="2" max="2" width="11" style="1423" hidden="1" customWidth="1"/>
    <col min="3" max="3" width="10.5703125" style="1423" hidden="1"/>
    <col min="4" max="4" width="11.85546875" style="1423" hidden="1" customWidth="1"/>
    <col min="5" max="5" width="10" style="1423" hidden="1" customWidth="1"/>
    <col min="6" max="6" width="8.7109375" style="1423" hidden="1" customWidth="1"/>
    <col min="7" max="7" width="7.5703125" style="1423" hidden="1" customWidth="1"/>
    <col min="8" max="8" width="11.42578125" style="1423" hidden="1" customWidth="1"/>
    <col min="9" max="9" width="12" style="1423" hidden="1" customWidth="1"/>
    <col min="10" max="10" width="9.85546875" style="1423" hidden="1" customWidth="1"/>
    <col min="11" max="11" width="11.42578125" style="1423" hidden="1" customWidth="1"/>
    <col min="12" max="12" width="19.140625" style="1844" hidden="1" customWidth="1"/>
    <col min="13" max="14" width="12.28515625" style="1857" hidden="1" customWidth="1"/>
    <col min="15" max="15" width="23.42578125" style="1857" hidden="1" customWidth="1"/>
    <col min="16" max="16" width="3" style="1857" customWidth="1"/>
    <col min="17" max="18" width="3" style="278" customWidth="1"/>
    <col min="19" max="19" width="12" style="1858" customWidth="1"/>
    <col min="20" max="20" width="31" style="1423" customWidth="1"/>
    <col min="21" max="21" width="0.140625" style="1423" customWidth="1"/>
    <col min="22" max="22" width="24.7109375" style="1423" hidden="1" customWidth="1"/>
    <col min="23" max="23" width="0.140625" style="1423" hidden="1" customWidth="1"/>
    <col min="24" max="25" width="24.7109375" style="1423" hidden="1" customWidth="1"/>
    <col min="26" max="26" width="11.7109375" style="1423" hidden="1" customWidth="1"/>
    <col min="27" max="27" width="3.7109375" style="1423" hidden="1" customWidth="1"/>
    <col min="28" max="28" width="11.7109375" style="1423" hidden="1" customWidth="1"/>
    <col min="29" max="29" width="8.5703125" style="1423" hidden="1" customWidth="1"/>
    <col min="30" max="30" width="24.7109375" style="1423" customWidth="1"/>
    <col min="31" max="31" width="0.140625" style="1423" customWidth="1"/>
    <col min="32" max="33" width="24" style="1423" customWidth="1"/>
    <col min="34" max="34" width="11" style="1423" customWidth="1"/>
    <col min="35" max="35" width="3.7109375" style="1423" customWidth="1"/>
    <col min="36" max="36" width="11" style="1423" customWidth="1"/>
    <col min="37" max="37" width="8.5703125" style="1423" hidden="1" customWidth="1"/>
    <col min="38" max="38" width="4" style="1423" customWidth="1"/>
    <col min="39" max="39" width="115" style="1423" customWidth="1"/>
    <col min="40" max="44" width="10" style="1430" customWidth="1"/>
    <col min="45" max="45" width="10.5703125" style="1423" hidden="1"/>
  </cols>
  <sheetData>
    <row r="1" spans="1:45" ht="22.5" hidden="1" customHeight="1">
      <c r="AS1" s="1419" t="s">
        <v>1</v>
      </c>
    </row>
    <row r="2" spans="1:45" ht="21" hidden="1" customHeight="1">
      <c r="A2" s="1055"/>
      <c r="B2" s="1055"/>
      <c r="C2" s="1055"/>
      <c r="D2" s="1055"/>
      <c r="E2" s="2421">
        <v>1</v>
      </c>
      <c r="F2" s="1055"/>
      <c r="G2" s="1055"/>
      <c r="H2" s="1055"/>
      <c r="I2" s="1055"/>
      <c r="J2" s="1055"/>
      <c r="K2" s="1055"/>
      <c r="L2" s="1098"/>
      <c r="M2" s="1398"/>
      <c r="N2" s="1398"/>
      <c r="O2" s="1398"/>
      <c r="P2" s="1378"/>
      <c r="Q2" s="293"/>
      <c r="R2" s="288"/>
      <c r="S2" s="1708" t="e">
        <f>INDEX(PT_DIFFERENTIATION_NUM_NTAR,MATCH(A2,PT_DIFFERENTIATION_NTAR_ID,0))</f>
        <v>#N/A</v>
      </c>
      <c r="T2" s="1313" t="s">
        <v>214</v>
      </c>
      <c r="U2" s="234"/>
      <c r="V2" s="2389"/>
      <c r="W2" s="2390"/>
      <c r="X2" s="2390"/>
      <c r="Y2" s="2390"/>
      <c r="Z2" s="2390"/>
      <c r="AA2" s="2390"/>
      <c r="AB2" s="2390"/>
      <c r="AC2" s="2391"/>
      <c r="AD2" s="2389" t="e">
        <f>INDEX(PT_DIFFERENTIATION_NTAR,MATCH(A2,PT_DIFFERENTIATION_NTAR_ID,0))</f>
        <v>#N/A</v>
      </c>
      <c r="AE2" s="2390"/>
      <c r="AF2" s="2390"/>
      <c r="AG2" s="2390"/>
      <c r="AH2" s="2390"/>
      <c r="AI2" s="2390"/>
      <c r="AJ2" s="2390"/>
      <c r="AK2" s="2390"/>
      <c r="AL2" s="2391"/>
      <c r="AM2" s="1046" t="s">
        <v>480</v>
      </c>
      <c r="AO2" s="1412"/>
      <c r="AP2" s="1412" t="str">
        <f t="shared" ref="AP2:AP15" si="0">IF(T2="","",T2)</f>
        <v>Наименование тарифа</v>
      </c>
      <c r="AQ2" s="1412"/>
      <c r="AR2" s="1412"/>
      <c r="AS2" s="1419">
        <v>0</v>
      </c>
    </row>
    <row r="3" spans="1:45" ht="21" hidden="1" customHeight="1">
      <c r="A3" s="1055"/>
      <c r="B3" s="1055"/>
      <c r="C3" s="1055"/>
      <c r="D3" s="1055"/>
      <c r="E3" s="2422"/>
      <c r="F3" s="2421">
        <v>1</v>
      </c>
      <c r="G3" s="1055"/>
      <c r="H3" s="1055"/>
      <c r="I3" s="1055"/>
      <c r="J3" s="1055"/>
      <c r="K3" s="1055"/>
      <c r="L3" s="1098"/>
      <c r="M3" s="1398"/>
      <c r="N3" s="1398"/>
      <c r="O3" s="1398"/>
      <c r="P3" s="1690"/>
      <c r="Q3" s="285"/>
      <c r="R3" s="286"/>
      <c r="S3" s="1708" t="e">
        <f>INDEX(PT_DIFFERENTIATION_NUM_TER,MATCH(B3,PT_DIFFERENTIATION_TER_ID,0))</f>
        <v>#N/A</v>
      </c>
      <c r="T3" s="1310" t="s">
        <v>481</v>
      </c>
      <c r="U3" s="234"/>
      <c r="V3" s="2389"/>
      <c r="W3" s="2390"/>
      <c r="X3" s="2390"/>
      <c r="Y3" s="2390"/>
      <c r="Z3" s="2390"/>
      <c r="AA3" s="2390"/>
      <c r="AB3" s="2390"/>
      <c r="AC3" s="2391"/>
      <c r="AD3" s="2389" t="e">
        <f>INDEX(PT_DIFFERENTIATION_TER,MATCH(B3,PT_DIFFERENTIATION_TER_ID,0))</f>
        <v>#N/A</v>
      </c>
      <c r="AE3" s="2390"/>
      <c r="AF3" s="2390"/>
      <c r="AG3" s="2390"/>
      <c r="AH3" s="2390"/>
      <c r="AI3" s="2390"/>
      <c r="AJ3" s="2390"/>
      <c r="AK3" s="2390"/>
      <c r="AL3" s="2391"/>
      <c r="AM3" s="1046" t="s">
        <v>482</v>
      </c>
      <c r="AO3" s="1412"/>
      <c r="AP3" s="1412" t="str">
        <f t="shared" si="0"/>
        <v>Территория действия тарифа</v>
      </c>
      <c r="AQ3" s="1412"/>
      <c r="AR3" s="1412"/>
      <c r="AS3" s="1419">
        <v>0</v>
      </c>
    </row>
    <row r="4" spans="1:45" ht="23.25" hidden="1" customHeight="1">
      <c r="A4" s="1055"/>
      <c r="B4" s="1055"/>
      <c r="C4" s="1055"/>
      <c r="D4" s="1055"/>
      <c r="E4" s="2422"/>
      <c r="F4" s="2422"/>
      <c r="G4" s="2421">
        <v>1</v>
      </c>
      <c r="H4" s="1055"/>
      <c r="I4" s="1055"/>
      <c r="J4" s="1055"/>
      <c r="K4" s="1055"/>
      <c r="L4" s="1098"/>
      <c r="M4" s="1398"/>
      <c r="N4" s="1398"/>
      <c r="O4" s="1398"/>
      <c r="P4" s="287"/>
      <c r="Q4" s="285"/>
      <c r="R4" s="286"/>
      <c r="S4" s="1708" t="e">
        <f>INDEX(PT_DIFFERENTIATION_NUM_CS,MATCH(C4,PT_DIFFERENTIATION_CS_ID,0))</f>
        <v>#N/A</v>
      </c>
      <c r="T4" s="243" t="s">
        <v>483</v>
      </c>
      <c r="U4" s="234"/>
      <c r="V4" s="2389"/>
      <c r="W4" s="2390"/>
      <c r="X4" s="2390"/>
      <c r="Y4" s="2390"/>
      <c r="Z4" s="2390"/>
      <c r="AA4" s="2390"/>
      <c r="AB4" s="2390"/>
      <c r="AC4" s="2391"/>
      <c r="AD4" s="2389" t="e">
        <f>INDEX(PT_DIFFERENTIATION_CS,MATCH(C4,PT_DIFFERENTIATION_CS_ID,0))</f>
        <v>#N/A</v>
      </c>
      <c r="AE4" s="2390"/>
      <c r="AF4" s="2390"/>
      <c r="AG4" s="2390"/>
      <c r="AH4" s="2390"/>
      <c r="AI4" s="2390"/>
      <c r="AJ4" s="2390"/>
      <c r="AK4" s="2390"/>
      <c r="AL4" s="2391"/>
      <c r="AM4" s="1046" t="s">
        <v>484</v>
      </c>
      <c r="AO4" s="1412"/>
      <c r="AP4" s="1412" t="str">
        <f t="shared" si="0"/>
        <v xml:space="preserve">Наименование системы теплоснабжения </v>
      </c>
      <c r="AQ4" s="1412"/>
      <c r="AR4" s="1412"/>
      <c r="AS4" s="1419">
        <v>0</v>
      </c>
    </row>
    <row r="5" spans="1:45" ht="21" hidden="1" customHeight="1">
      <c r="A5" s="1055"/>
      <c r="B5" s="1055"/>
      <c r="C5" s="1055"/>
      <c r="D5" s="1055"/>
      <c r="E5" s="2422"/>
      <c r="F5" s="2422"/>
      <c r="G5" s="2422"/>
      <c r="H5" s="2421">
        <v>1</v>
      </c>
      <c r="I5" s="1055"/>
      <c r="J5" s="1055"/>
      <c r="K5" s="1055"/>
      <c r="L5" s="1098"/>
      <c r="M5" s="1398"/>
      <c r="N5" s="1398"/>
      <c r="O5" s="1398"/>
      <c r="P5" s="287"/>
      <c r="Q5" s="285"/>
      <c r="R5" s="286"/>
      <c r="S5" s="1708" t="e">
        <f>INDEX(PT_DIFFERENTIATION_NUM_IST_TE,MATCH(D5,PT_DIFFERENTIATION_IST_TE_ID,0))</f>
        <v>#N/A</v>
      </c>
      <c r="T5" s="244" t="s">
        <v>485</v>
      </c>
      <c r="U5" s="234"/>
      <c r="V5" s="2389"/>
      <c r="W5" s="2390"/>
      <c r="X5" s="2390"/>
      <c r="Y5" s="2390"/>
      <c r="Z5" s="2390"/>
      <c r="AA5" s="2390"/>
      <c r="AB5" s="2390"/>
      <c r="AC5" s="2391"/>
      <c r="AD5" s="2389" t="e">
        <f>INDEX(PT_DIFFERENTIATION_IST_TE,MATCH(D5,PT_DIFFERENTIATION_IST_TE_ID,0))</f>
        <v>#N/A</v>
      </c>
      <c r="AE5" s="2390"/>
      <c r="AF5" s="2390"/>
      <c r="AG5" s="2390"/>
      <c r="AH5" s="2390"/>
      <c r="AI5" s="2390"/>
      <c r="AJ5" s="2390"/>
      <c r="AK5" s="2390"/>
      <c r="AL5" s="2391"/>
      <c r="AM5" s="1046" t="s">
        <v>486</v>
      </c>
      <c r="AO5" s="1412"/>
      <c r="AP5" s="1412" t="str">
        <f t="shared" si="0"/>
        <v xml:space="preserve">Источник тепловой энергии  </v>
      </c>
      <c r="AQ5" s="1412"/>
      <c r="AR5" s="1412"/>
      <c r="AS5" s="1419">
        <v>0</v>
      </c>
    </row>
    <row r="6" spans="1:45" ht="47.25" hidden="1" customHeight="1">
      <c r="A6" s="1055"/>
      <c r="B6" s="1055"/>
      <c r="C6" s="1055"/>
      <c r="D6" s="1055"/>
      <c r="E6" s="2422"/>
      <c r="F6" s="2422"/>
      <c r="G6" s="2422"/>
      <c r="H6" s="2422"/>
      <c r="I6" s="2266" t="e">
        <f>S5&amp;".1"</f>
        <v>#N/A</v>
      </c>
      <c r="J6" s="1055"/>
      <c r="K6" s="1055"/>
      <c r="L6" s="1098" t="s">
        <v>487</v>
      </c>
      <c r="M6" s="1423"/>
      <c r="P6" s="2399">
        <v>1</v>
      </c>
      <c r="Q6" s="1704"/>
      <c r="R6" s="289"/>
      <c r="S6" s="1708" t="e">
        <f>$I6</f>
        <v>#N/A</v>
      </c>
      <c r="T6" s="219" t="s">
        <v>488</v>
      </c>
      <c r="U6" s="234"/>
      <c r="V6" s="2383"/>
      <c r="W6" s="2384"/>
      <c r="X6" s="2384"/>
      <c r="Y6" s="2384"/>
      <c r="Z6" s="2384"/>
      <c r="AA6" s="2384"/>
      <c r="AB6" s="2384"/>
      <c r="AC6" s="2385"/>
      <c r="AD6" s="2383"/>
      <c r="AE6" s="2384"/>
      <c r="AF6" s="2384"/>
      <c r="AG6" s="2384"/>
      <c r="AH6" s="2384"/>
      <c r="AI6" s="2384"/>
      <c r="AJ6" s="2384"/>
      <c r="AK6" s="2384"/>
      <c r="AL6" s="2385"/>
      <c r="AM6" s="1046" t="s">
        <v>489</v>
      </c>
      <c r="AO6" s="1412"/>
      <c r="AP6" s="1412" t="str">
        <f t="shared" si="0"/>
        <v>Схема подключения теплопотребляющей установки к коллектору источника тепловой энергии</v>
      </c>
      <c r="AQ6" s="1412"/>
      <c r="AR6" s="1412"/>
      <c r="AS6" s="1419">
        <v>0</v>
      </c>
    </row>
    <row r="7" spans="1:45" ht="21" hidden="1" customHeight="1">
      <c r="A7" s="1055"/>
      <c r="B7" s="1055"/>
      <c r="C7" s="1055"/>
      <c r="D7" s="1055"/>
      <c r="E7" s="2422"/>
      <c r="F7" s="2422"/>
      <c r="G7" s="2422"/>
      <c r="H7" s="2422"/>
      <c r="I7" s="2247"/>
      <c r="J7" s="2266" t="e">
        <f>I6&amp;".1"</f>
        <v>#N/A</v>
      </c>
      <c r="K7" s="1055"/>
      <c r="L7" s="1098" t="s">
        <v>490</v>
      </c>
      <c r="M7" s="1423"/>
      <c r="N7" s="1419"/>
      <c r="P7" s="2399"/>
      <c r="Q7" s="2399">
        <v>1</v>
      </c>
      <c r="R7" s="290"/>
      <c r="S7" s="1708" t="e">
        <f>$J7</f>
        <v>#N/A</v>
      </c>
      <c r="T7" s="220" t="s">
        <v>491</v>
      </c>
      <c r="U7" s="234"/>
      <c r="V7" s="2383"/>
      <c r="W7" s="2384"/>
      <c r="X7" s="2384"/>
      <c r="Y7" s="2384"/>
      <c r="Z7" s="2384"/>
      <c r="AA7" s="2384"/>
      <c r="AB7" s="2384"/>
      <c r="AC7" s="2385"/>
      <c r="AD7" s="2383"/>
      <c r="AE7" s="2384"/>
      <c r="AF7" s="2384"/>
      <c r="AG7" s="2384"/>
      <c r="AH7" s="2384"/>
      <c r="AI7" s="2384"/>
      <c r="AJ7" s="2384"/>
      <c r="AK7" s="2384"/>
      <c r="AL7" s="2385"/>
      <c r="AM7" s="1046" t="s">
        <v>492</v>
      </c>
      <c r="AO7" s="1412"/>
      <c r="AP7" s="1412" t="str">
        <f t="shared" si="0"/>
        <v>Группа потребителей</v>
      </c>
      <c r="AQ7" s="1412"/>
      <c r="AR7" s="1412"/>
      <c r="AS7" s="1419">
        <v>0</v>
      </c>
    </row>
    <row r="8" spans="1:45" ht="21" hidden="1" customHeight="1">
      <c r="A8" s="1055"/>
      <c r="B8" s="1055"/>
      <c r="C8" s="1055"/>
      <c r="D8" s="1055"/>
      <c r="E8" s="2422"/>
      <c r="F8" s="2422"/>
      <c r="G8" s="2422"/>
      <c r="H8" s="2422"/>
      <c r="I8" s="2247"/>
      <c r="J8" s="2247"/>
      <c r="K8" s="2266" t="e">
        <f>J7&amp;".1"</f>
        <v>#N/A</v>
      </c>
      <c r="L8" s="1098" t="s">
        <v>493</v>
      </c>
      <c r="M8" s="1423"/>
      <c r="N8" s="1419"/>
      <c r="O8" s="1419"/>
      <c r="P8" s="2399"/>
      <c r="Q8" s="2399"/>
      <c r="R8" s="290">
        <v>1</v>
      </c>
      <c r="S8" s="1708" t="e">
        <f>$K8</f>
        <v>#N/A</v>
      </c>
      <c r="T8" s="1135"/>
      <c r="U8" s="234"/>
      <c r="V8" s="658"/>
      <c r="W8" s="259"/>
      <c r="X8" s="658"/>
      <c r="Y8" s="1045"/>
      <c r="Z8" s="2400"/>
      <c r="AA8" s="2276" t="s">
        <v>52</v>
      </c>
      <c r="AB8" s="2400"/>
      <c r="AC8" s="2276" t="s">
        <v>52</v>
      </c>
      <c r="AD8" s="658"/>
      <c r="AE8" s="259"/>
      <c r="AF8" s="658"/>
      <c r="AG8" s="1045"/>
      <c r="AH8" s="2400"/>
      <c r="AI8" s="2276" t="s">
        <v>52</v>
      </c>
      <c r="AJ8" s="2400"/>
      <c r="AK8" s="2276" t="s">
        <v>52</v>
      </c>
      <c r="AL8" s="259"/>
      <c r="AM8" s="2418" t="s">
        <v>494</v>
      </c>
      <c r="AN8" s="1424" t="e">
        <f ca="1">STRCHECKDATE(V9:AL9)</f>
        <v>#NAME?</v>
      </c>
      <c r="AO8" s="1412"/>
      <c r="AP8" s="1412" t="str">
        <f t="shared" si="0"/>
        <v/>
      </c>
      <c r="AQ8" s="1412"/>
      <c r="AR8" s="1412"/>
      <c r="AS8" s="1419">
        <v>0</v>
      </c>
    </row>
    <row r="9" spans="1:45" ht="0.75" hidden="1" customHeight="1">
      <c r="A9" s="1055"/>
      <c r="B9" s="1055"/>
      <c r="C9" s="1055"/>
      <c r="D9" s="1055"/>
      <c r="E9" s="2422"/>
      <c r="F9" s="2422"/>
      <c r="G9" s="2422"/>
      <c r="H9" s="2422"/>
      <c r="I9" s="2247"/>
      <c r="J9" s="2247"/>
      <c r="K9" s="2266"/>
      <c r="L9" s="1098"/>
      <c r="M9" s="1423"/>
      <c r="N9" s="1419"/>
      <c r="O9" s="1419"/>
      <c r="P9" s="2399"/>
      <c r="Q9" s="2399"/>
      <c r="R9" s="290"/>
      <c r="S9" s="1717"/>
      <c r="T9" s="234"/>
      <c r="U9" s="234"/>
      <c r="V9" s="259"/>
      <c r="W9" s="259"/>
      <c r="X9" s="259"/>
      <c r="Y9" s="262" t="str">
        <f>Z8&amp;"-"&amp;AB8</f>
        <v>-</v>
      </c>
      <c r="Z9" s="2401"/>
      <c r="AA9" s="2276"/>
      <c r="AB9" s="2401"/>
      <c r="AC9" s="2276"/>
      <c r="AD9" s="259"/>
      <c r="AE9" s="259"/>
      <c r="AF9" s="259"/>
      <c r="AG9" s="262" t="str">
        <f>AH8&amp;"-"&amp;AJ8</f>
        <v>-</v>
      </c>
      <c r="AH9" s="2401"/>
      <c r="AI9" s="2276"/>
      <c r="AJ9" s="2401"/>
      <c r="AK9" s="2276"/>
      <c r="AL9" s="259"/>
      <c r="AM9" s="2419"/>
      <c r="AO9" s="1412"/>
      <c r="AP9" s="1412" t="str">
        <f t="shared" si="0"/>
        <v/>
      </c>
      <c r="AQ9" s="1412"/>
      <c r="AR9" s="1412"/>
      <c r="AS9" s="1419">
        <v>0</v>
      </c>
    </row>
    <row r="10" spans="1:45" ht="15" hidden="1" customHeight="1">
      <c r="A10" s="1055"/>
      <c r="B10" s="1055"/>
      <c r="C10" s="1055"/>
      <c r="D10" s="1055"/>
      <c r="E10" s="2422"/>
      <c r="F10" s="2422"/>
      <c r="G10" s="2422"/>
      <c r="H10" s="2422"/>
      <c r="I10" s="2247"/>
      <c r="J10" s="2266"/>
      <c r="K10" s="1055"/>
      <c r="L10" s="1098"/>
      <c r="M10" s="1423"/>
      <c r="N10" s="1419"/>
      <c r="P10" s="2399"/>
      <c r="Q10" s="2399"/>
      <c r="R10" s="289"/>
      <c r="S10" s="1066"/>
      <c r="T10" s="222" t="s">
        <v>495</v>
      </c>
      <c r="U10" s="531"/>
      <c r="V10" s="531"/>
      <c r="W10" s="531"/>
      <c r="X10" s="531"/>
      <c r="Y10" s="531"/>
      <c r="Z10" s="531"/>
      <c r="AA10" s="531"/>
      <c r="AB10" s="531"/>
      <c r="AC10" s="531"/>
      <c r="AD10" s="531"/>
      <c r="AE10" s="531"/>
      <c r="AF10" s="531"/>
      <c r="AG10" s="531"/>
      <c r="AH10" s="531"/>
      <c r="AI10" s="531"/>
      <c r="AJ10" s="531"/>
      <c r="AK10" s="531"/>
      <c r="AL10" s="258"/>
      <c r="AM10" s="2420"/>
      <c r="AO10" s="1412"/>
      <c r="AP10" s="1412" t="str">
        <f t="shared" si="0"/>
        <v>Добавить вид теплоносителя (параметры теплоносителя)</v>
      </c>
      <c r="AQ10" s="1412"/>
      <c r="AR10" s="1412"/>
      <c r="AS10" s="1419">
        <v>0</v>
      </c>
    </row>
    <row r="11" spans="1:45" ht="15" hidden="1" customHeight="1">
      <c r="A11" s="1055"/>
      <c r="B11" s="1055"/>
      <c r="C11" s="1055"/>
      <c r="D11" s="1055"/>
      <c r="E11" s="2422"/>
      <c r="F11" s="2422"/>
      <c r="G11" s="2422"/>
      <c r="H11" s="2422"/>
      <c r="I11" s="2266"/>
      <c r="J11" s="1055"/>
      <c r="K11" s="1055"/>
      <c r="L11" s="1098"/>
      <c r="M11" s="1423"/>
      <c r="P11" s="2399"/>
      <c r="Q11" s="1704"/>
      <c r="R11" s="289"/>
      <c r="S11" s="1066"/>
      <c r="T11" s="221" t="s">
        <v>496</v>
      </c>
      <c r="U11" s="531"/>
      <c r="V11" s="531"/>
      <c r="W11" s="531"/>
      <c r="X11" s="531"/>
      <c r="Y11" s="531"/>
      <c r="Z11" s="531"/>
      <c r="AA11" s="531"/>
      <c r="AB11" s="531"/>
      <c r="AC11" s="299"/>
      <c r="AD11" s="531"/>
      <c r="AE11" s="531"/>
      <c r="AF11" s="531"/>
      <c r="AG11" s="531"/>
      <c r="AH11" s="531"/>
      <c r="AI11" s="531"/>
      <c r="AJ11" s="531"/>
      <c r="AK11" s="299"/>
      <c r="AL11" s="531"/>
      <c r="AM11" s="237"/>
      <c r="AO11" s="1412"/>
      <c r="AP11" s="1412" t="str">
        <f t="shared" si="0"/>
        <v>Добавить группу потребителей</v>
      </c>
      <c r="AQ11" s="1412"/>
      <c r="AR11" s="1412"/>
      <c r="AS11" s="1419">
        <v>0</v>
      </c>
    </row>
    <row r="12" spans="1:45" ht="14.25" hidden="1" customHeight="1">
      <c r="A12" s="1055"/>
      <c r="B12" s="1055"/>
      <c r="C12" s="1055"/>
      <c r="D12" s="1055"/>
      <c r="E12" s="2422"/>
      <c r="F12" s="2422"/>
      <c r="G12" s="2422"/>
      <c r="H12" s="2421"/>
      <c r="I12" s="1055"/>
      <c r="J12" s="1055"/>
      <c r="K12" s="1055"/>
      <c r="L12" s="1098"/>
      <c r="M12" s="1398"/>
      <c r="N12" s="1398"/>
      <c r="O12" s="1423"/>
      <c r="P12" s="293"/>
      <c r="Q12" s="308"/>
      <c r="R12" s="288"/>
      <c r="S12" s="1066"/>
      <c r="T12" s="298" t="s">
        <v>497</v>
      </c>
      <c r="U12" s="531"/>
      <c r="V12" s="531"/>
      <c r="W12" s="531"/>
      <c r="X12" s="531"/>
      <c r="Y12" s="531"/>
      <c r="Z12" s="531"/>
      <c r="AA12" s="531"/>
      <c r="AB12" s="531"/>
      <c r="AC12" s="299"/>
      <c r="AD12" s="531"/>
      <c r="AE12" s="531"/>
      <c r="AF12" s="531"/>
      <c r="AG12" s="531"/>
      <c r="AH12" s="531"/>
      <c r="AI12" s="531"/>
      <c r="AJ12" s="531"/>
      <c r="AK12" s="299"/>
      <c r="AL12" s="531"/>
      <c r="AM12" s="237"/>
      <c r="AO12" s="1412"/>
      <c r="AP12" s="1412" t="str">
        <f t="shared" si="0"/>
        <v>Добавить схему подключения</v>
      </c>
      <c r="AQ12" s="1412"/>
      <c r="AR12" s="1412"/>
      <c r="AS12" s="1419">
        <v>0</v>
      </c>
    </row>
    <row r="13" spans="1:45" s="1430" customFormat="1" ht="0.75" hidden="1" customHeight="1">
      <c r="A13" s="1162"/>
      <c r="B13" s="1162"/>
      <c r="C13" s="1162"/>
      <c r="D13" s="1162"/>
      <c r="E13" s="2422"/>
      <c r="F13" s="2422"/>
      <c r="G13" s="2421"/>
      <c r="H13" s="1162"/>
      <c r="I13" s="1162"/>
      <c r="J13" s="1162"/>
      <c r="K13" s="1162"/>
      <c r="L13" s="1165"/>
      <c r="M13" s="1166"/>
      <c r="N13" s="1166"/>
      <c r="O13" s="284"/>
      <c r="P13" s="1104"/>
      <c r="Q13" s="1105"/>
      <c r="R13" s="1104"/>
      <c r="S13" s="1106"/>
      <c r="T13" s="1107" t="s">
        <v>498</v>
      </c>
      <c r="U13" s="1108"/>
      <c r="V13" s="1108"/>
      <c r="W13" s="1108"/>
      <c r="X13" s="1108"/>
      <c r="Y13" s="1108"/>
      <c r="Z13" s="1108"/>
      <c r="AA13" s="1108"/>
      <c r="AB13" s="1108"/>
      <c r="AC13" s="1108"/>
      <c r="AD13" s="1108"/>
      <c r="AE13" s="1108"/>
      <c r="AF13" s="1108"/>
      <c r="AG13" s="1108"/>
      <c r="AH13" s="1108"/>
      <c r="AI13" s="1108"/>
      <c r="AJ13" s="1108"/>
      <c r="AK13" s="1108"/>
      <c r="AL13" s="1108"/>
      <c r="AM13" s="1108"/>
      <c r="AO13" s="1039"/>
      <c r="AP13" s="1039" t="str">
        <f t="shared" si="0"/>
        <v>Добавить источник для дифференциации</v>
      </c>
      <c r="AQ13" s="1039"/>
      <c r="AR13" s="1039"/>
      <c r="AS13" s="1430">
        <v>0</v>
      </c>
    </row>
    <row r="14" spans="1:45" s="1430" customFormat="1" ht="0.75" hidden="1" customHeight="1">
      <c r="A14" s="1162"/>
      <c r="B14" s="1162"/>
      <c r="C14" s="1162"/>
      <c r="D14" s="1162"/>
      <c r="E14" s="2422"/>
      <c r="F14" s="2421"/>
      <c r="G14" s="1162"/>
      <c r="H14" s="1162"/>
      <c r="I14" s="1162"/>
      <c r="J14" s="1162"/>
      <c r="K14" s="1162"/>
      <c r="L14" s="1165"/>
      <c r="M14" s="1167"/>
      <c r="N14" s="1167"/>
      <c r="O14" s="284"/>
      <c r="P14" s="1104"/>
      <c r="Q14" s="1105"/>
      <c r="R14" s="1104"/>
      <c r="S14" s="1110"/>
      <c r="T14" s="1111" t="s">
        <v>499</v>
      </c>
      <c r="U14" s="1112"/>
      <c r="V14" s="1112"/>
      <c r="W14" s="1112"/>
      <c r="X14" s="1112"/>
      <c r="Y14" s="1112"/>
      <c r="Z14" s="1112"/>
      <c r="AA14" s="1112"/>
      <c r="AB14" s="1112"/>
      <c r="AC14" s="1112"/>
      <c r="AD14" s="1112"/>
      <c r="AE14" s="1112"/>
      <c r="AF14" s="1112"/>
      <c r="AG14" s="1112"/>
      <c r="AH14" s="1112"/>
      <c r="AI14" s="1112"/>
      <c r="AJ14" s="1112"/>
      <c r="AK14" s="1112"/>
      <c r="AL14" s="1112"/>
      <c r="AM14" s="1112"/>
      <c r="AO14" s="1039"/>
      <c r="AP14" s="1039" t="str">
        <f t="shared" si="0"/>
        <v>Добавить централизованную систему для дифференциации</v>
      </c>
      <c r="AQ14" s="1039"/>
      <c r="AR14" s="1039"/>
      <c r="AS14" s="1430">
        <v>0</v>
      </c>
    </row>
    <row r="15" spans="1:45" s="1430" customFormat="1" ht="0.75" hidden="1" customHeight="1">
      <c r="A15" s="1162"/>
      <c r="B15" s="1162"/>
      <c r="C15" s="1162"/>
      <c r="D15" s="1162"/>
      <c r="E15" s="2421"/>
      <c r="F15" s="1162"/>
      <c r="G15" s="1162"/>
      <c r="H15" s="1162"/>
      <c r="I15" s="1162"/>
      <c r="J15" s="1162"/>
      <c r="K15" s="1162"/>
      <c r="L15" s="1165"/>
      <c r="M15" s="1167"/>
      <c r="N15" s="1167"/>
      <c r="O15" s="284"/>
      <c r="P15" s="1104"/>
      <c r="Q15" s="1105"/>
      <c r="R15" s="1104"/>
      <c r="S15" s="1110"/>
      <c r="T15" s="1113" t="s">
        <v>500</v>
      </c>
      <c r="U15" s="1112"/>
      <c r="V15" s="1112"/>
      <c r="W15" s="1112"/>
      <c r="X15" s="1112"/>
      <c r="Y15" s="1112"/>
      <c r="Z15" s="1112"/>
      <c r="AA15" s="1112"/>
      <c r="AB15" s="1112"/>
      <c r="AC15" s="1112"/>
      <c r="AD15" s="1112"/>
      <c r="AE15" s="1112"/>
      <c r="AF15" s="1112"/>
      <c r="AG15" s="1112"/>
      <c r="AH15" s="1112"/>
      <c r="AI15" s="1112"/>
      <c r="AJ15" s="1112"/>
      <c r="AK15" s="1112"/>
      <c r="AL15" s="1112"/>
      <c r="AM15" s="1112"/>
      <c r="AO15" s="1039"/>
      <c r="AP15" s="1039" t="str">
        <f t="shared" si="0"/>
        <v>Добавить территорию для дифференциации</v>
      </c>
      <c r="AQ15" s="1039"/>
      <c r="AR15" s="1039"/>
      <c r="AS15" s="1430">
        <v>0</v>
      </c>
    </row>
    <row r="16" spans="1:45" ht="14.25" hidden="1" customHeight="1">
      <c r="AS16" s="1419">
        <v>0</v>
      </c>
    </row>
    <row r="17" spans="1:45" ht="14.25" hidden="1" customHeight="1">
      <c r="AD17" s="1148"/>
      <c r="AE17" s="1148"/>
      <c r="AF17" s="1148"/>
      <c r="AG17" s="1149"/>
      <c r="AH17" s="2393"/>
      <c r="AI17" s="2392" t="s">
        <v>52</v>
      </c>
      <c r="AJ17" s="2393"/>
      <c r="AK17" s="2392" t="s">
        <v>52</v>
      </c>
      <c r="AS17" s="1419">
        <v>0</v>
      </c>
    </row>
    <row r="18" spans="1:45" ht="14.25" hidden="1" customHeight="1">
      <c r="AD18" s="1148"/>
      <c r="AE18" s="1148"/>
      <c r="AF18" s="1148"/>
      <c r="AG18" s="262" t="str">
        <f>AH17&amp;"-"&amp;AJ17</f>
        <v>-</v>
      </c>
      <c r="AH18" s="2392"/>
      <c r="AI18" s="2392"/>
      <c r="AJ18" s="2392"/>
      <c r="AK18" s="2392"/>
      <c r="AS18" s="1419">
        <v>0</v>
      </c>
    </row>
    <row r="19" spans="1:45" ht="14.25" hidden="1" customHeight="1">
      <c r="AS19" s="1419">
        <v>0</v>
      </c>
    </row>
    <row r="20" spans="1:45" s="1154" customFormat="1" ht="22.5" hidden="1" customHeight="1">
      <c r="A20" s="1419"/>
      <c r="B20" s="1419"/>
      <c r="C20" s="1419"/>
      <c r="D20" s="1419"/>
      <c r="E20" s="1419"/>
      <c r="F20" s="1419"/>
      <c r="G20" s="1419"/>
      <c r="H20" s="1419"/>
      <c r="I20" s="1419"/>
      <c r="J20" s="1419"/>
      <c r="K20" s="1419"/>
      <c r="L20" s="1689"/>
      <c r="M20" s="1715"/>
      <c r="N20" s="1715"/>
      <c r="O20" s="1133" t="s">
        <v>501</v>
      </c>
      <c r="P20" s="1150"/>
      <c r="Q20" s="1159"/>
      <c r="R20" s="1159"/>
      <c r="S20" s="640"/>
      <c r="Z20" s="1155"/>
      <c r="AB20" s="1155"/>
      <c r="AH20" s="1155"/>
      <c r="AJ20" s="1155"/>
      <c r="AN20" s="1424"/>
      <c r="AO20" s="1424"/>
      <c r="AP20" s="1424"/>
      <c r="AQ20" s="1424"/>
      <c r="AR20" s="1424"/>
      <c r="AS20" s="1154">
        <v>0</v>
      </c>
    </row>
    <row r="21" spans="1:45" s="1154" customFormat="1" ht="14.25" hidden="1" customHeight="1">
      <c r="A21" s="1419"/>
      <c r="B21" s="1419"/>
      <c r="C21" s="1419"/>
      <c r="D21" s="1419"/>
      <c r="E21" s="1419"/>
      <c r="F21" s="1419"/>
      <c r="G21" s="1419"/>
      <c r="H21" s="1419"/>
      <c r="I21" s="1419"/>
      <c r="J21" s="1419"/>
      <c r="K21" s="1419"/>
      <c r="L21" s="1689"/>
      <c r="M21" s="1715"/>
      <c r="N21" s="1715"/>
      <c r="O21" s="1715"/>
      <c r="P21" s="1150"/>
      <c r="Q21" s="1159"/>
      <c r="R21" s="1159"/>
      <c r="S21" s="640"/>
      <c r="AN21" s="1424"/>
      <c r="AO21" s="1424"/>
      <c r="AP21" s="1424"/>
      <c r="AQ21" s="1424"/>
      <c r="AR21" s="1424"/>
      <c r="AS21" s="1154">
        <v>0</v>
      </c>
    </row>
    <row r="22" spans="1:45" s="1154" customFormat="1" ht="14.25" hidden="1" customHeight="1">
      <c r="A22" s="1419"/>
      <c r="B22" s="1419"/>
      <c r="C22" s="1419"/>
      <c r="D22" s="1419"/>
      <c r="E22" s="1419"/>
      <c r="F22" s="1419"/>
      <c r="G22" s="1419"/>
      <c r="H22" s="1419"/>
      <c r="I22" s="1419"/>
      <c r="J22" s="1419"/>
      <c r="K22" s="1419"/>
      <c r="L22" s="1689"/>
      <c r="M22" s="1715"/>
      <c r="N22" s="1715"/>
      <c r="O22" s="1098" t="s">
        <v>502</v>
      </c>
      <c r="P22" s="1150"/>
      <c r="Q22" s="1159"/>
      <c r="R22" s="1159"/>
      <c r="S22" s="640"/>
      <c r="T22" s="1154" t="s">
        <v>503</v>
      </c>
      <c r="AA22" s="526" t="s">
        <v>504</v>
      </c>
      <c r="AC22" s="526" t="s">
        <v>505</v>
      </c>
      <c r="AD22" s="1154" t="s">
        <v>503</v>
      </c>
      <c r="AI22" s="526" t="s">
        <v>506</v>
      </c>
      <c r="AK22" s="526" t="s">
        <v>505</v>
      </c>
      <c r="AN22" s="1424"/>
      <c r="AO22" s="1424"/>
      <c r="AP22" s="1424"/>
      <c r="AQ22" s="1424"/>
      <c r="AR22" s="1424"/>
      <c r="AS22" s="1154">
        <v>0</v>
      </c>
    </row>
    <row r="23" spans="1:45" ht="14.25" hidden="1" customHeight="1">
      <c r="O23" s="1098"/>
      <c r="AS23" s="1419">
        <v>0</v>
      </c>
    </row>
    <row r="24" spans="1:45" ht="14.25" hidden="1" customHeight="1">
      <c r="O24" s="1098"/>
      <c r="AS24" s="1419">
        <v>0</v>
      </c>
    </row>
    <row r="25" spans="1:45" ht="14.65" customHeight="1">
      <c r="Q25" s="309"/>
      <c r="R25" s="309"/>
      <c r="S25" s="1063"/>
      <c r="T25" s="390"/>
      <c r="U25" s="390"/>
      <c r="AS25" s="1419">
        <v>14</v>
      </c>
    </row>
    <row r="26" spans="1:45" ht="14.65" customHeight="1">
      <c r="Q26" s="309"/>
      <c r="R26" s="309"/>
      <c r="S26" s="23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76"/>
      <c r="U26" s="2376"/>
      <c r="V26" s="2376"/>
      <c r="W26" s="2376"/>
      <c r="X26" s="2376"/>
      <c r="Y26" s="2376"/>
      <c r="Z26" s="2376"/>
      <c r="AA26" s="2376"/>
      <c r="AB26" s="2376"/>
      <c r="AC26" s="2376"/>
      <c r="AD26" s="2376"/>
      <c r="AE26" s="2376"/>
      <c r="AF26" s="2376"/>
      <c r="AG26" s="2376"/>
      <c r="AH26" s="2376"/>
      <c r="AI26" s="2376"/>
      <c r="AJ26" s="2376"/>
      <c r="AK26" s="1031"/>
      <c r="AS26" s="1419">
        <v>14</v>
      </c>
    </row>
    <row r="27" spans="1:45" ht="14.65" customHeight="1">
      <c r="Q27" s="309"/>
      <c r="R27" s="309"/>
      <c r="S27" s="2349" t="str">
        <f>IF(org=0,"Не определено",org)</f>
        <v>ООО "Смоленскрегионтеплоэнерго"</v>
      </c>
      <c r="T27" s="2349"/>
      <c r="U27" s="2349"/>
      <c r="V27" s="2349"/>
      <c r="W27" s="2349"/>
      <c r="X27" s="2349"/>
      <c r="Y27" s="2349"/>
      <c r="Z27" s="2349"/>
      <c r="AA27" s="2349"/>
      <c r="AB27" s="2349"/>
      <c r="AC27" s="2349"/>
      <c r="AD27" s="2349"/>
      <c r="AE27" s="2349"/>
      <c r="AF27" s="2349"/>
      <c r="AG27" s="2349"/>
      <c r="AH27" s="2349"/>
      <c r="AI27" s="2349"/>
      <c r="AJ27" s="2349"/>
      <c r="AK27" s="1031"/>
      <c r="AS27" s="1419">
        <v>14</v>
      </c>
    </row>
    <row r="28" spans="1:45" ht="14.25" hidden="1" customHeight="1">
      <c r="Q28" s="309"/>
      <c r="R28" s="309"/>
      <c r="S28" s="1063"/>
      <c r="T28" s="390"/>
      <c r="U28" s="390"/>
      <c r="V28" s="256"/>
      <c r="W28" s="256"/>
      <c r="X28" s="256"/>
      <c r="Y28" s="256"/>
      <c r="Z28" s="256"/>
      <c r="AA28" s="256"/>
      <c r="AB28" s="256"/>
      <c r="AC28" s="256"/>
      <c r="AD28" s="256"/>
      <c r="AE28" s="256"/>
      <c r="AF28" s="256"/>
      <c r="AG28" s="256"/>
      <c r="AH28" s="256"/>
      <c r="AI28" s="256"/>
      <c r="AJ28" s="256"/>
      <c r="AK28" s="256"/>
      <c r="AS28" s="1419">
        <v>0</v>
      </c>
    </row>
    <row r="29" spans="1:45" s="1609" customFormat="1" ht="25.5" hidden="1" customHeight="1">
      <c r="A29" s="1036"/>
      <c r="B29" s="1036"/>
      <c r="C29" s="1036"/>
      <c r="D29" s="1036"/>
      <c r="E29" s="1036"/>
      <c r="F29" s="1036"/>
      <c r="G29" s="1036"/>
      <c r="H29" s="1036"/>
      <c r="I29" s="1036"/>
      <c r="J29" s="1036"/>
      <c r="K29" s="1036"/>
      <c r="L29" s="1168"/>
      <c r="M29" s="1036"/>
      <c r="N29" s="1036"/>
      <c r="O29" s="1036"/>
      <c r="S29" s="2386" t="s">
        <v>28</v>
      </c>
      <c r="T29" s="2386"/>
      <c r="U29" s="1160"/>
      <c r="V29" s="2388" t="str">
        <f>IF(TITLE_NAME_OR_PR_CHANGE="",IF(TITLE_NAME_OR_PR="","",TITLE_NAME_OR_PR),TITLE_NAME_OR_PR_CHANGE)</f>
        <v/>
      </c>
      <c r="W29" s="2388"/>
      <c r="X29" s="2388"/>
      <c r="Y29" s="2388"/>
      <c r="Z29" s="2388"/>
      <c r="AA29" s="2388"/>
      <c r="AB29" s="2388"/>
      <c r="AC29" s="1423"/>
      <c r="AD29" s="2388" t="str">
        <f>IF(TITLE_NAME_OR_PR_CHANGE="",IF(TITLE_NAME_OR_PR="","",TITLE_NAME_OR_PR),TITLE_NAME_OR_PR_CHANGE)</f>
        <v/>
      </c>
      <c r="AE29" s="2388"/>
      <c r="AF29" s="2388"/>
      <c r="AG29" s="2388"/>
      <c r="AH29" s="2388"/>
      <c r="AI29" s="2388"/>
      <c r="AJ29" s="2388"/>
      <c r="AK29" s="1423"/>
      <c r="AL29" s="1423"/>
      <c r="AM29" s="214"/>
      <c r="AN29" s="301"/>
      <c r="AO29" s="301"/>
      <c r="AP29" s="301"/>
      <c r="AQ29" s="301"/>
      <c r="AR29" s="301"/>
      <c r="AS29" s="351">
        <v>0</v>
      </c>
    </row>
    <row r="30" spans="1:45" s="1609" customFormat="1" ht="18.75" hidden="1" customHeight="1">
      <c r="A30" s="1036"/>
      <c r="B30" s="1036"/>
      <c r="C30" s="1036"/>
      <c r="D30" s="1036"/>
      <c r="E30" s="1036"/>
      <c r="F30" s="1036"/>
      <c r="G30" s="1036"/>
      <c r="H30" s="1036"/>
      <c r="I30" s="1036"/>
      <c r="J30" s="1036"/>
      <c r="K30" s="1036"/>
      <c r="L30" s="1168"/>
      <c r="M30" s="1036"/>
      <c r="N30" s="1036"/>
      <c r="O30" s="1036"/>
      <c r="S30" s="2386" t="s">
        <v>507</v>
      </c>
      <c r="T30" s="2386"/>
      <c r="U30" s="1160"/>
      <c r="V30" s="2387" t="str">
        <f>IF(TITLE_DATE_PR_CHANGE="",IF(TITLE_DATE_PR="","",TITLE_DATE_PR),TITLE_DATE_PR_CHANGE)</f>
        <v/>
      </c>
      <c r="W30" s="2387"/>
      <c r="X30" s="2387"/>
      <c r="Y30" s="2387"/>
      <c r="Z30" s="2387"/>
      <c r="AA30" s="2387"/>
      <c r="AB30" s="2387"/>
      <c r="AC30" s="1423"/>
      <c r="AD30" s="2387" t="str">
        <f>IF(TITLE_DATE_PR_CHANGE="",IF(TITLE_DATE_PR="","",TITLE_DATE_PR),TITLE_DATE_PR_CHANGE)</f>
        <v/>
      </c>
      <c r="AE30" s="2387"/>
      <c r="AF30" s="2387"/>
      <c r="AG30" s="2387"/>
      <c r="AH30" s="2387"/>
      <c r="AI30" s="2387"/>
      <c r="AJ30" s="2387"/>
      <c r="AK30" s="1423"/>
      <c r="AL30" s="1423"/>
      <c r="AM30" s="214"/>
      <c r="AN30" s="301"/>
      <c r="AO30" s="301"/>
      <c r="AP30" s="301"/>
      <c r="AQ30" s="301"/>
      <c r="AR30" s="301"/>
      <c r="AS30" s="351">
        <v>0</v>
      </c>
    </row>
    <row r="31" spans="1:45" s="1609" customFormat="1" ht="18.75" hidden="1" customHeight="1">
      <c r="A31" s="1036"/>
      <c r="B31" s="1036"/>
      <c r="C31" s="1036"/>
      <c r="D31" s="1036"/>
      <c r="E31" s="1036"/>
      <c r="F31" s="1036"/>
      <c r="G31" s="1036"/>
      <c r="H31" s="1036"/>
      <c r="I31" s="1036"/>
      <c r="J31" s="1036"/>
      <c r="K31" s="1036"/>
      <c r="L31" s="1168"/>
      <c r="M31" s="1036"/>
      <c r="N31" s="1036"/>
      <c r="O31" s="1036"/>
      <c r="S31" s="2386" t="s">
        <v>508</v>
      </c>
      <c r="T31" s="2386"/>
      <c r="U31" s="1160"/>
      <c r="V31" s="2388" t="str">
        <f>IF(TITLE_NUMBER_PR_CHANGE="",IF(TITLE_NUMBER_PR="","",TITLE_NUMBER_PR),TITLE_NUMBER_PR_CHANGE)</f>
        <v/>
      </c>
      <c r="W31" s="2388"/>
      <c r="X31" s="2388"/>
      <c r="Y31" s="2388"/>
      <c r="Z31" s="2388"/>
      <c r="AA31" s="2388"/>
      <c r="AB31" s="2388"/>
      <c r="AC31" s="1423"/>
      <c r="AD31" s="2388" t="str">
        <f>IF(TITLE_NUMBER_PR_CHANGE="",IF(TITLE_NUMBER_PR="","",TITLE_NUMBER_PR),TITLE_NUMBER_PR_CHANGE)</f>
        <v/>
      </c>
      <c r="AE31" s="2388"/>
      <c r="AF31" s="2388"/>
      <c r="AG31" s="2388"/>
      <c r="AH31" s="2388"/>
      <c r="AI31" s="2388"/>
      <c r="AJ31" s="2388"/>
      <c r="AK31" s="1423"/>
      <c r="AL31" s="1423"/>
      <c r="AM31" s="214"/>
      <c r="AN31" s="301"/>
      <c r="AO31" s="301"/>
      <c r="AP31" s="301"/>
      <c r="AQ31" s="301"/>
      <c r="AR31" s="301"/>
      <c r="AS31" s="351">
        <v>0</v>
      </c>
    </row>
    <row r="32" spans="1:45" s="1609" customFormat="1" ht="18.75" hidden="1" customHeight="1">
      <c r="A32" s="1036"/>
      <c r="B32" s="1036"/>
      <c r="C32" s="1036"/>
      <c r="D32" s="1036"/>
      <c r="E32" s="1036"/>
      <c r="F32" s="1036"/>
      <c r="G32" s="1036"/>
      <c r="H32" s="1036"/>
      <c r="I32" s="1036"/>
      <c r="J32" s="1036"/>
      <c r="K32" s="1036"/>
      <c r="L32" s="1168"/>
      <c r="M32" s="1036"/>
      <c r="N32" s="1036"/>
      <c r="O32" s="1036"/>
      <c r="S32" s="2386" t="s">
        <v>29</v>
      </c>
      <c r="T32" s="2386"/>
      <c r="U32" s="1160"/>
      <c r="V32" s="2388" t="str">
        <f>IF(TITLE_IST_PUB_CHANGE="",IF(TITLE_IST_PUB="","",TITLE_IST_PUB),TITLE_IST_PUB_CHANGE)</f>
        <v/>
      </c>
      <c r="W32" s="2388"/>
      <c r="X32" s="2388"/>
      <c r="Y32" s="2388"/>
      <c r="Z32" s="2388"/>
      <c r="AA32" s="2388"/>
      <c r="AB32" s="2388"/>
      <c r="AC32" s="1423"/>
      <c r="AD32" s="2388" t="str">
        <f>IF(TITLE_IST_PUB_CHANGE="",IF(TITLE_IST_PUB="","",TITLE_IST_PUB),TITLE_IST_PUB_CHANGE)</f>
        <v/>
      </c>
      <c r="AE32" s="2388"/>
      <c r="AF32" s="2388"/>
      <c r="AG32" s="2388"/>
      <c r="AH32" s="2388"/>
      <c r="AI32" s="2388"/>
      <c r="AJ32" s="2388"/>
      <c r="AK32" s="1423"/>
      <c r="AL32" s="1423"/>
      <c r="AM32" s="214"/>
      <c r="AN32" s="301"/>
      <c r="AO32" s="301"/>
      <c r="AP32" s="301"/>
      <c r="AQ32" s="301"/>
      <c r="AR32" s="301"/>
      <c r="AS32" s="351">
        <v>0</v>
      </c>
    </row>
    <row r="33" spans="1:45" ht="14.25" hidden="1" customHeight="1">
      <c r="Q33" s="309"/>
      <c r="R33" s="309"/>
      <c r="S33" s="1063"/>
      <c r="T33" s="390"/>
      <c r="U33" s="390"/>
      <c r="V33" s="256"/>
      <c r="W33" s="256"/>
      <c r="X33" s="256"/>
      <c r="Y33" s="256"/>
      <c r="Z33" s="256"/>
      <c r="AA33" s="256"/>
      <c r="AB33" s="256"/>
      <c r="AC33" s="256"/>
      <c r="AD33" s="256"/>
      <c r="AE33" s="256"/>
      <c r="AF33" s="256"/>
      <c r="AG33" s="256"/>
      <c r="AH33" s="256"/>
      <c r="AI33" s="256"/>
      <c r="AJ33" s="256"/>
      <c r="AK33" s="256"/>
      <c r="AS33" s="1419">
        <v>0</v>
      </c>
    </row>
    <row r="34" spans="1:45" s="1609" customFormat="1" ht="18.75" hidden="1" customHeight="1">
      <c r="A34" s="1036"/>
      <c r="B34" s="1036"/>
      <c r="C34" s="1036"/>
      <c r="D34" s="1036"/>
      <c r="E34" s="1036"/>
      <c r="F34" s="1036"/>
      <c r="G34" s="1036"/>
      <c r="H34" s="1036"/>
      <c r="I34" s="1036"/>
      <c r="J34" s="1036"/>
      <c r="K34" s="1036"/>
      <c r="L34" s="1168"/>
      <c r="M34" s="1036"/>
      <c r="N34" s="1036"/>
      <c r="O34" s="1036"/>
      <c r="S34" s="2386" t="s">
        <v>509</v>
      </c>
      <c r="T34" s="2386"/>
      <c r="U34" s="1160"/>
      <c r="V34" s="2387" t="str">
        <f>IF(TITLE_DATE_PR_CHANGE="",IF(TITLE_DATE_PR="","",TITLE_DATE_PR),TITLE_DATE_PR_CHANGE)</f>
        <v/>
      </c>
      <c r="W34" s="2387"/>
      <c r="X34" s="2387"/>
      <c r="Y34" s="2387"/>
      <c r="Z34" s="2387"/>
      <c r="AA34" s="2387"/>
      <c r="AB34" s="2387"/>
      <c r="AC34" s="1423"/>
      <c r="AD34" s="2387" t="str">
        <f>IF(TITLE_DATE_PR_CHANGE="",IF(TITLE_DATE_PR="","",TITLE_DATE_PR),TITLE_DATE_PR_CHANGE)</f>
        <v/>
      </c>
      <c r="AE34" s="2387"/>
      <c r="AF34" s="2387"/>
      <c r="AG34" s="2387"/>
      <c r="AH34" s="2387"/>
      <c r="AI34" s="2387"/>
      <c r="AJ34" s="2387"/>
      <c r="AK34" s="1423"/>
      <c r="AL34" s="1423"/>
      <c r="AM34" s="214"/>
      <c r="AN34" s="301"/>
      <c r="AO34" s="301"/>
      <c r="AP34" s="301"/>
      <c r="AQ34" s="301"/>
      <c r="AR34" s="301"/>
      <c r="AS34" s="351">
        <v>0</v>
      </c>
    </row>
    <row r="35" spans="1:45" s="1609" customFormat="1" ht="18.75" hidden="1" customHeight="1">
      <c r="A35" s="1036"/>
      <c r="B35" s="1036"/>
      <c r="C35" s="1036"/>
      <c r="D35" s="1036"/>
      <c r="E35" s="1036"/>
      <c r="F35" s="1036"/>
      <c r="G35" s="1036"/>
      <c r="H35" s="1036"/>
      <c r="I35" s="1036"/>
      <c r="J35" s="1036"/>
      <c r="K35" s="1036"/>
      <c r="L35" s="1168"/>
      <c r="M35" s="1036"/>
      <c r="N35" s="1036"/>
      <c r="O35" s="1036"/>
      <c r="S35" s="2386" t="s">
        <v>510</v>
      </c>
      <c r="T35" s="2386"/>
      <c r="U35" s="1160"/>
      <c r="V35" s="2388" t="str">
        <f>IF(TITLE_NUMBER_PR_CHANGE="",IF(TITLE_NUMBER_PR="","",TITLE_NUMBER_PR),TITLE_NUMBER_PR_CHANGE)</f>
        <v/>
      </c>
      <c r="W35" s="2388"/>
      <c r="X35" s="2388"/>
      <c r="Y35" s="2388"/>
      <c r="Z35" s="2388"/>
      <c r="AA35" s="2388"/>
      <c r="AB35" s="2388"/>
      <c r="AC35" s="1423"/>
      <c r="AD35" s="2388" t="str">
        <f>IF(TITLE_NUMBER_PR_CHANGE="",IF(TITLE_NUMBER_PR="","",TITLE_NUMBER_PR),TITLE_NUMBER_PR_CHANGE)</f>
        <v/>
      </c>
      <c r="AE35" s="2388"/>
      <c r="AF35" s="2388"/>
      <c r="AG35" s="2388"/>
      <c r="AH35" s="2388"/>
      <c r="AI35" s="2388"/>
      <c r="AJ35" s="2388"/>
      <c r="AK35" s="1423"/>
      <c r="AL35" s="1423"/>
      <c r="AM35" s="214"/>
      <c r="AN35" s="301"/>
      <c r="AO35" s="301"/>
      <c r="AP35" s="301"/>
      <c r="AQ35" s="301"/>
      <c r="AR35" s="301"/>
      <c r="AS35" s="351">
        <v>0</v>
      </c>
    </row>
    <row r="36" spans="1:45" s="1609" customFormat="1" ht="0" hidden="1" customHeight="1">
      <c r="A36" s="1036"/>
      <c r="B36" s="1036"/>
      <c r="C36" s="1036"/>
      <c r="D36" s="1036"/>
      <c r="E36" s="1036"/>
      <c r="F36" s="1036"/>
      <c r="G36" s="1036"/>
      <c r="H36" s="1036"/>
      <c r="I36" s="1036"/>
      <c r="J36" s="1036"/>
      <c r="K36" s="1036"/>
      <c r="L36" s="1168"/>
      <c r="M36" s="1036"/>
      <c r="N36" s="1036"/>
      <c r="O36" s="1036"/>
      <c r="S36" s="1423"/>
      <c r="T36" s="1423"/>
      <c r="U36" s="1720"/>
      <c r="V36" s="1423"/>
      <c r="W36" s="1423"/>
      <c r="X36" s="1423"/>
      <c r="Y36" s="1423"/>
      <c r="Z36" s="1423"/>
      <c r="AA36" s="1423"/>
      <c r="AB36" s="1423"/>
      <c r="AC36" s="1430" t="s">
        <v>511</v>
      </c>
      <c r="AD36" s="1423"/>
      <c r="AE36" s="1423"/>
      <c r="AF36" s="1423"/>
      <c r="AG36" s="1423"/>
      <c r="AH36" s="1423"/>
      <c r="AI36" s="1423"/>
      <c r="AJ36" s="1423"/>
      <c r="AK36" s="1430" t="s">
        <v>511</v>
      </c>
      <c r="AN36" s="301"/>
      <c r="AO36" s="301"/>
      <c r="AP36" s="301"/>
      <c r="AQ36" s="301"/>
      <c r="AR36" s="301"/>
      <c r="AS36" s="351">
        <v>0</v>
      </c>
    </row>
    <row r="37" spans="1:45" ht="14.65" customHeight="1">
      <c r="Q37" s="309"/>
      <c r="R37" s="309"/>
      <c r="S37" s="1063"/>
      <c r="T37" s="390"/>
      <c r="U37" s="1032"/>
      <c r="V37" s="2407"/>
      <c r="W37" s="2407"/>
      <c r="X37" s="2407"/>
      <c r="Y37" s="2407"/>
      <c r="Z37" s="2407"/>
      <c r="AA37" s="2407"/>
      <c r="AB37" s="2407"/>
      <c r="AC37" s="2407"/>
      <c r="AD37" s="2407"/>
      <c r="AE37" s="2407"/>
      <c r="AF37" s="2407"/>
      <c r="AG37" s="2407"/>
      <c r="AH37" s="2407"/>
      <c r="AI37" s="2407"/>
      <c r="AJ37" s="2407"/>
      <c r="AK37" s="2407"/>
      <c r="AS37" s="1419">
        <v>14</v>
      </c>
    </row>
    <row r="38" spans="1:45" ht="14.65" customHeight="1">
      <c r="Q38" s="309"/>
      <c r="R38" s="309"/>
      <c r="S38" s="2266" t="s">
        <v>384</v>
      </c>
      <c r="T38" s="2266"/>
      <c r="U38" s="2266"/>
      <c r="V38" s="2266"/>
      <c r="W38" s="2266"/>
      <c r="X38" s="2266"/>
      <c r="Y38" s="2266"/>
      <c r="Z38" s="2266"/>
      <c r="AA38" s="2266"/>
      <c r="AB38" s="2266"/>
      <c r="AC38" s="2266"/>
      <c r="AD38" s="2266"/>
      <c r="AE38" s="2266"/>
      <c r="AF38" s="2266"/>
      <c r="AG38" s="2266"/>
      <c r="AH38" s="2266"/>
      <c r="AI38" s="2266"/>
      <c r="AJ38" s="2266"/>
      <c r="AK38" s="2266"/>
      <c r="AL38" s="2266"/>
      <c r="AM38" s="2266" t="s">
        <v>385</v>
      </c>
      <c r="AS38" s="1419">
        <v>14</v>
      </c>
    </row>
    <row r="39" spans="1:45" ht="14.65" customHeight="1">
      <c r="Q39" s="309"/>
      <c r="R39" s="309"/>
      <c r="S39" s="2408" t="s">
        <v>75</v>
      </c>
      <c r="T39" s="2357" t="s">
        <v>512</v>
      </c>
      <c r="U39" s="271"/>
      <c r="V39" s="2409" t="s">
        <v>513</v>
      </c>
      <c r="W39" s="2410"/>
      <c r="X39" s="2410"/>
      <c r="Y39" s="2410"/>
      <c r="Z39" s="2410"/>
      <c r="AA39" s="2410"/>
      <c r="AB39" s="2411"/>
      <c r="AC39" s="2412" t="s">
        <v>514</v>
      </c>
      <c r="AD39" s="2409" t="s">
        <v>513</v>
      </c>
      <c r="AE39" s="2410"/>
      <c r="AF39" s="2410"/>
      <c r="AG39" s="2410"/>
      <c r="AH39" s="2410"/>
      <c r="AI39" s="2410"/>
      <c r="AJ39" s="2411"/>
      <c r="AK39" s="2412" t="s">
        <v>515</v>
      </c>
      <c r="AL39" s="2415" t="s">
        <v>516</v>
      </c>
      <c r="AM39" s="2266"/>
      <c r="AS39" s="1419">
        <v>14</v>
      </c>
    </row>
    <row r="40" spans="1:45" ht="35.65" customHeight="1">
      <c r="Q40" s="309"/>
      <c r="R40" s="309"/>
      <c r="S40" s="2408"/>
      <c r="T40" s="2357"/>
      <c r="U40" s="874"/>
      <c r="V40" s="2327" t="s">
        <v>517</v>
      </c>
      <c r="W40" s="2404" t="s">
        <v>518</v>
      </c>
      <c r="X40" s="2247" t="s">
        <v>519</v>
      </c>
      <c r="Y40" s="2246"/>
      <c r="Z40" s="2247" t="s">
        <v>533</v>
      </c>
      <c r="AA40" s="2252"/>
      <c r="AB40" s="2246"/>
      <c r="AC40" s="2413"/>
      <c r="AD40" s="2327" t="s">
        <v>517</v>
      </c>
      <c r="AE40" s="2404" t="s">
        <v>518</v>
      </c>
      <c r="AF40" s="2247" t="s">
        <v>519</v>
      </c>
      <c r="AG40" s="2246"/>
      <c r="AH40" s="2247" t="s">
        <v>520</v>
      </c>
      <c r="AI40" s="2252"/>
      <c r="AJ40" s="2246"/>
      <c r="AK40" s="2413"/>
      <c r="AL40" s="2416"/>
      <c r="AM40" s="2266"/>
      <c r="AS40" s="1419">
        <v>34</v>
      </c>
    </row>
    <row r="41" spans="1:45" ht="35.65" customHeight="1">
      <c r="A41" s="1054"/>
      <c r="B41" s="1054" t="s">
        <v>226</v>
      </c>
      <c r="C41" s="1054" t="s">
        <v>227</v>
      </c>
      <c r="D41" s="1054" t="s">
        <v>228</v>
      </c>
      <c r="E41" s="1098" t="s">
        <v>521</v>
      </c>
      <c r="F41" s="1098" t="s">
        <v>522</v>
      </c>
      <c r="G41" s="1098" t="s">
        <v>523</v>
      </c>
      <c r="H41" s="1098" t="s">
        <v>524</v>
      </c>
      <c r="I41" s="1098" t="s">
        <v>525</v>
      </c>
      <c r="J41" s="1098" t="s">
        <v>526</v>
      </c>
      <c r="K41" s="1098" t="s">
        <v>527</v>
      </c>
      <c r="L41" s="1098" t="s">
        <v>502</v>
      </c>
      <c r="Q41" s="309"/>
      <c r="R41" s="309"/>
      <c r="S41" s="2408"/>
      <c r="T41" s="2357"/>
      <c r="U41" s="236"/>
      <c r="V41" s="2381"/>
      <c r="W41" s="2405"/>
      <c r="X41" s="1688" t="s">
        <v>528</v>
      </c>
      <c r="Y41" s="1688" t="s">
        <v>529</v>
      </c>
      <c r="Z41" s="1688" t="s">
        <v>530</v>
      </c>
      <c r="AA41" s="2362" t="s">
        <v>531</v>
      </c>
      <c r="AB41" s="2375"/>
      <c r="AC41" s="2414"/>
      <c r="AD41" s="2381"/>
      <c r="AE41" s="2405"/>
      <c r="AF41" s="1688" t="s">
        <v>528</v>
      </c>
      <c r="AG41" s="1688" t="s">
        <v>529</v>
      </c>
      <c r="AH41" s="1688" t="s">
        <v>530</v>
      </c>
      <c r="AI41" s="2362" t="s">
        <v>531</v>
      </c>
      <c r="AJ41" s="2375"/>
      <c r="AK41" s="2414"/>
      <c r="AL41" s="2417"/>
      <c r="AM41" s="2266"/>
      <c r="AS41" s="1419">
        <v>34</v>
      </c>
    </row>
    <row r="42" spans="1:45" s="1429" customFormat="1" ht="11.25" hidden="1" customHeight="1">
      <c r="A42" s="1054"/>
      <c r="B42" s="1054"/>
      <c r="C42" s="1054"/>
      <c r="D42" s="1054"/>
      <c r="E42" s="1054"/>
      <c r="F42" s="1054"/>
      <c r="G42" s="1054"/>
      <c r="H42" s="1054"/>
      <c r="I42" s="1054"/>
      <c r="J42" s="1054"/>
      <c r="K42" s="1054"/>
      <c r="L42" s="1098"/>
      <c r="M42" s="1715"/>
      <c r="N42" s="1715"/>
      <c r="O42" s="1715"/>
      <c r="P42" s="1034"/>
      <c r="Q42" s="1035"/>
      <c r="R42" s="1042">
        <v>1</v>
      </c>
      <c r="S42" s="1065" t="s">
        <v>161</v>
      </c>
      <c r="T42" s="1043" t="s">
        <v>89</v>
      </c>
      <c r="U42" s="1033" t="str">
        <f ca="1">OFFSET(U42,0,-1)</f>
        <v>2</v>
      </c>
      <c r="V42" s="1706">
        <f ca="1">OFFSET(V42,0,-1)+1</f>
        <v>3</v>
      </c>
      <c r="W42" s="1706"/>
      <c r="X42" s="1706">
        <f ca="1">OFFSET(X42,0,-1)+1</f>
        <v>1</v>
      </c>
      <c r="Y42" s="1706">
        <f ca="1">OFFSET(Y42,0,-1)+1</f>
        <v>2</v>
      </c>
      <c r="Z42" s="1706">
        <f ca="1">OFFSET(Z42,0,-1)+1</f>
        <v>3</v>
      </c>
      <c r="AA42" s="2406">
        <f ca="1">OFFSET(AA42,0,-1)+1</f>
        <v>4</v>
      </c>
      <c r="AB42" s="2406"/>
      <c r="AC42" s="1706">
        <f ca="1">OFFSET(AC42,0,-2)+1</f>
        <v>5</v>
      </c>
      <c r="AD42" s="1706">
        <f ca="1">OFFSET(AD42,0,-1)+1</f>
        <v>6</v>
      </c>
      <c r="AE42" s="1706"/>
      <c r="AF42" s="1706">
        <f ca="1">OFFSET(AF42,0,-1)+1</f>
        <v>1</v>
      </c>
      <c r="AG42" s="1706">
        <f ca="1">OFFSET(AG42,0,-1)+1</f>
        <v>2</v>
      </c>
      <c r="AH42" s="1706">
        <f ca="1">OFFSET(AH42,0,-1)+1</f>
        <v>3</v>
      </c>
      <c r="AI42" s="2406">
        <f ca="1">OFFSET(AI42,0,-1)+1</f>
        <v>4</v>
      </c>
      <c r="AJ42" s="2406"/>
      <c r="AK42" s="1706">
        <f ca="1">OFFSET(AK42,0,-2)+1</f>
        <v>5</v>
      </c>
      <c r="AL42" s="1033">
        <f ca="1">OFFSET(AL42,0,-1)</f>
        <v>5</v>
      </c>
      <c r="AM42" s="1706">
        <f ca="1">OFFSET(AM42,0,-1)+1</f>
        <v>6</v>
      </c>
      <c r="AN42" s="1424"/>
      <c r="AO42" s="1424"/>
      <c r="AP42" s="1424"/>
      <c r="AQ42" s="1424"/>
      <c r="AR42" s="1424"/>
      <c r="AS42" s="1429">
        <v>0</v>
      </c>
    </row>
    <row r="43" spans="1:45" ht="21.95" customHeight="1">
      <c r="A43" s="1055" t="s">
        <v>296</v>
      </c>
      <c r="B43" s="1055"/>
      <c r="C43" s="1055"/>
      <c r="D43" s="1055"/>
      <c r="E43" s="2421">
        <v>1</v>
      </c>
      <c r="F43" s="1055"/>
      <c r="G43" s="1055"/>
      <c r="H43" s="1055"/>
      <c r="I43" s="1055"/>
      <c r="J43" s="1055"/>
      <c r="K43" s="1055"/>
      <c r="L43" s="1098"/>
      <c r="M43" s="1398"/>
      <c r="N43" s="1398"/>
      <c r="O43" s="1398"/>
      <c r="P43" s="1378"/>
      <c r="Q43" s="293"/>
      <c r="R43" s="288"/>
      <c r="S43" s="1708">
        <f>INDEX(PT_DIFFERENTIATION_NUM_NTAR,MATCH(A43,PT_DIFFERENTIATION_NTAR_ID,0))</f>
        <v>0</v>
      </c>
      <c r="T43" s="1313" t="s">
        <v>214</v>
      </c>
      <c r="U43" s="234"/>
      <c r="V43" s="2389"/>
      <c r="W43" s="2390"/>
      <c r="X43" s="2390"/>
      <c r="Y43" s="2390"/>
      <c r="Z43" s="2390"/>
      <c r="AA43" s="2390"/>
      <c r="AB43" s="2390"/>
      <c r="AC43" s="2391"/>
      <c r="AD43" s="2389" t="str">
        <f>INDEX(PT_DIFFERENTIATION_NTAR,MATCH(A43,PT_DIFFERENTIATION_NTAR_ID,0))</f>
        <v/>
      </c>
      <c r="AE43" s="2390"/>
      <c r="AF43" s="2390"/>
      <c r="AG43" s="2390"/>
      <c r="AH43" s="2390"/>
      <c r="AI43" s="2390"/>
      <c r="AJ43" s="2390"/>
      <c r="AK43" s="2390"/>
      <c r="AL43" s="2391"/>
      <c r="AM43" s="104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12"/>
      <c r="AP43" s="1412" t="str">
        <f t="shared" ref="AP43:AP57" si="1">IF(T43="","",T43)</f>
        <v>Наименование тарифа</v>
      </c>
      <c r="AQ43" s="1412"/>
      <c r="AR43" s="1412"/>
      <c r="AS43" s="1419">
        <v>21</v>
      </c>
    </row>
    <row r="44" spans="1:45" ht="21.95" customHeight="1">
      <c r="A44" s="1055" t="s">
        <v>296</v>
      </c>
      <c r="B44" s="1055" t="s">
        <v>297</v>
      </c>
      <c r="C44" s="1055"/>
      <c r="D44" s="1055"/>
      <c r="E44" s="2422"/>
      <c r="F44" s="2421">
        <v>1</v>
      </c>
      <c r="G44" s="1055"/>
      <c r="H44" s="1055"/>
      <c r="I44" s="1055"/>
      <c r="J44" s="1055"/>
      <c r="K44" s="1055"/>
      <c r="L44" s="1098"/>
      <c r="M44" s="1398"/>
      <c r="N44" s="1398"/>
      <c r="O44" s="1398"/>
      <c r="P44" s="1690"/>
      <c r="Q44" s="285"/>
      <c r="R44" s="286"/>
      <c r="S44" s="1708" t="str">
        <f>INDEX(PT_DIFFERENTIATION_NUM_TER,MATCH(B44,PT_DIFFERENTIATION_TER_ID,0))</f>
        <v>.</v>
      </c>
      <c r="T44" s="1310" t="s">
        <v>481</v>
      </c>
      <c r="U44" s="234"/>
      <c r="V44" s="2389"/>
      <c r="W44" s="2390"/>
      <c r="X44" s="2390"/>
      <c r="Y44" s="2390"/>
      <c r="Z44" s="2390"/>
      <c r="AA44" s="2390"/>
      <c r="AB44" s="2390"/>
      <c r="AC44" s="2391"/>
      <c r="AD44" s="2389" t="str">
        <f>INDEX(PT_DIFFERENTIATION_TER,MATCH(B44,PT_DIFFERENTIATION_TER_ID,0))</f>
        <v/>
      </c>
      <c r="AE44" s="2390"/>
      <c r="AF44" s="2390"/>
      <c r="AG44" s="2390"/>
      <c r="AH44" s="2390"/>
      <c r="AI44" s="2390"/>
      <c r="AJ44" s="2390"/>
      <c r="AK44" s="2390"/>
      <c r="AL44" s="2391"/>
      <c r="AM44" s="1046" t="s">
        <v>482</v>
      </c>
      <c r="AO44" s="1412"/>
      <c r="AP44" s="1412" t="str">
        <f t="shared" si="1"/>
        <v>Территория действия тарифа</v>
      </c>
      <c r="AQ44" s="1412"/>
      <c r="AR44" s="1412"/>
      <c r="AS44" s="1419">
        <v>21</v>
      </c>
    </row>
    <row r="45" spans="1:45" ht="24" customHeight="1">
      <c r="A45" s="1055" t="s">
        <v>296</v>
      </c>
      <c r="B45" s="1055" t="s">
        <v>297</v>
      </c>
      <c r="C45" s="1055" t="s">
        <v>298</v>
      </c>
      <c r="D45" s="1055"/>
      <c r="E45" s="2422"/>
      <c r="F45" s="2422"/>
      <c r="G45" s="2421">
        <v>1</v>
      </c>
      <c r="H45" s="1055"/>
      <c r="I45" s="1055"/>
      <c r="J45" s="1055"/>
      <c r="K45" s="1055"/>
      <c r="L45" s="1098"/>
      <c r="M45" s="1398"/>
      <c r="N45" s="1398"/>
      <c r="O45" s="1398"/>
      <c r="P45" s="287"/>
      <c r="Q45" s="285"/>
      <c r="R45" s="286"/>
      <c r="S45" s="1708" t="str">
        <f>INDEX(PT_DIFFERENTIATION_NUM_CS,MATCH(C45,PT_DIFFERENTIATION_CS_ID,0))</f>
        <v>..</v>
      </c>
      <c r="T45" s="243" t="s">
        <v>483</v>
      </c>
      <c r="U45" s="234"/>
      <c r="V45" s="2389"/>
      <c r="W45" s="2390"/>
      <c r="X45" s="2390"/>
      <c r="Y45" s="2390"/>
      <c r="Z45" s="2390"/>
      <c r="AA45" s="2390"/>
      <c r="AB45" s="2390"/>
      <c r="AC45" s="2391"/>
      <c r="AD45" s="2389" t="str">
        <f>INDEX(PT_DIFFERENTIATION_CS,MATCH(C45,PT_DIFFERENTIATION_CS_ID,0))</f>
        <v/>
      </c>
      <c r="AE45" s="2390"/>
      <c r="AF45" s="2390"/>
      <c r="AG45" s="2390"/>
      <c r="AH45" s="2390"/>
      <c r="AI45" s="2390"/>
      <c r="AJ45" s="2390"/>
      <c r="AK45" s="2390"/>
      <c r="AL45" s="2391"/>
      <c r="AM45" s="1046" t="s">
        <v>484</v>
      </c>
      <c r="AO45" s="1412"/>
      <c r="AP45" s="1412" t="str">
        <f t="shared" si="1"/>
        <v xml:space="preserve">Наименование системы теплоснабжения </v>
      </c>
      <c r="AQ45" s="1412"/>
      <c r="AR45" s="1412"/>
      <c r="AS45" s="1419">
        <v>23</v>
      </c>
    </row>
    <row r="46" spans="1:45" ht="21.95" customHeight="1">
      <c r="A46" s="1055" t="s">
        <v>296</v>
      </c>
      <c r="B46" s="1055" t="s">
        <v>297</v>
      </c>
      <c r="C46" s="1055" t="s">
        <v>298</v>
      </c>
      <c r="D46" s="1055" t="s">
        <v>299</v>
      </c>
      <c r="E46" s="2422"/>
      <c r="F46" s="2422"/>
      <c r="G46" s="2422"/>
      <c r="H46" s="2421">
        <v>1</v>
      </c>
      <c r="I46" s="1055"/>
      <c r="J46" s="1055"/>
      <c r="K46" s="1055"/>
      <c r="L46" s="1098"/>
      <c r="M46" s="1398"/>
      <c r="N46" s="1398"/>
      <c r="O46" s="1398"/>
      <c r="P46" s="287"/>
      <c r="Q46" s="285"/>
      <c r="R46" s="286"/>
      <c r="S46" s="1708" t="str">
        <f>INDEX(PT_DIFFERENTIATION_NUM_IST_TE,MATCH(D46,PT_DIFFERENTIATION_IST_TE_ID,0))</f>
        <v>...</v>
      </c>
      <c r="T46" s="244" t="s">
        <v>485</v>
      </c>
      <c r="U46" s="234"/>
      <c r="V46" s="2389"/>
      <c r="W46" s="2390"/>
      <c r="X46" s="2390"/>
      <c r="Y46" s="2390"/>
      <c r="Z46" s="2390"/>
      <c r="AA46" s="2390"/>
      <c r="AB46" s="2390"/>
      <c r="AC46" s="2391"/>
      <c r="AD46" s="2389" t="str">
        <f>INDEX(PT_DIFFERENTIATION_IST_TE,MATCH(D46,PT_DIFFERENTIATION_IST_TE_ID,0))</f>
        <v/>
      </c>
      <c r="AE46" s="2390"/>
      <c r="AF46" s="2390"/>
      <c r="AG46" s="2390"/>
      <c r="AH46" s="2390"/>
      <c r="AI46" s="2390"/>
      <c r="AJ46" s="2390"/>
      <c r="AK46" s="2390"/>
      <c r="AL46" s="2391"/>
      <c r="AM46" s="1046" t="s">
        <v>486</v>
      </c>
      <c r="AO46" s="1412"/>
      <c r="AP46" s="1412" t="str">
        <f t="shared" si="1"/>
        <v xml:space="preserve">Источник тепловой энергии  </v>
      </c>
      <c r="AQ46" s="1412"/>
      <c r="AR46" s="1412"/>
      <c r="AS46" s="1419">
        <v>21</v>
      </c>
    </row>
    <row r="47" spans="1:45" ht="49.5" customHeight="1">
      <c r="A47" s="1055" t="s">
        <v>296</v>
      </c>
      <c r="B47" s="1055" t="s">
        <v>297</v>
      </c>
      <c r="C47" s="1055" t="s">
        <v>298</v>
      </c>
      <c r="D47" s="1055" t="s">
        <v>299</v>
      </c>
      <c r="E47" s="2422"/>
      <c r="F47" s="2422"/>
      <c r="G47" s="2422"/>
      <c r="H47" s="2422"/>
      <c r="I47" s="2266" t="str">
        <f>S46&amp;".1"</f>
        <v>....1</v>
      </c>
      <c r="J47" s="1055"/>
      <c r="K47" s="1055"/>
      <c r="L47" s="1098" t="s">
        <v>487</v>
      </c>
      <c r="P47" s="2399">
        <v>1</v>
      </c>
      <c r="Q47" s="1704"/>
      <c r="R47" s="289"/>
      <c r="S47" s="1708" t="str">
        <f>$I47</f>
        <v>....1</v>
      </c>
      <c r="T47" s="219" t="s">
        <v>488</v>
      </c>
      <c r="U47" s="234"/>
      <c r="V47" s="2383"/>
      <c r="W47" s="2384"/>
      <c r="X47" s="2384"/>
      <c r="Y47" s="2384"/>
      <c r="Z47" s="2384"/>
      <c r="AA47" s="2384"/>
      <c r="AB47" s="2384"/>
      <c r="AC47" s="2385"/>
      <c r="AD47" s="2383"/>
      <c r="AE47" s="2384"/>
      <c r="AF47" s="2384"/>
      <c r="AG47" s="2384"/>
      <c r="AH47" s="2384"/>
      <c r="AI47" s="2384"/>
      <c r="AJ47" s="2384"/>
      <c r="AK47" s="2384"/>
      <c r="AL47" s="2385"/>
      <c r="AM47" s="1046" t="s">
        <v>489</v>
      </c>
      <c r="AO47" s="1412"/>
      <c r="AP47" s="1412" t="str">
        <f t="shared" si="1"/>
        <v>Схема подключения теплопотребляющей установки к коллектору источника тепловой энергии</v>
      </c>
      <c r="AQ47" s="1412"/>
      <c r="AR47" s="1412"/>
      <c r="AS47" s="1419">
        <v>47</v>
      </c>
    </row>
    <row r="48" spans="1:45" ht="21.95" customHeight="1">
      <c r="A48" s="1055" t="s">
        <v>296</v>
      </c>
      <c r="B48" s="1055" t="s">
        <v>297</v>
      </c>
      <c r="C48" s="1055" t="s">
        <v>298</v>
      </c>
      <c r="D48" s="1055" t="s">
        <v>299</v>
      </c>
      <c r="E48" s="2422"/>
      <c r="F48" s="2422"/>
      <c r="G48" s="2422"/>
      <c r="H48" s="2422"/>
      <c r="I48" s="2247"/>
      <c r="J48" s="2266" t="str">
        <f>I47&amp;".1"</f>
        <v>....1.1</v>
      </c>
      <c r="K48" s="1055"/>
      <c r="L48" s="1098" t="s">
        <v>490</v>
      </c>
      <c r="P48" s="2399"/>
      <c r="Q48" s="2399">
        <v>1</v>
      </c>
      <c r="R48" s="290"/>
      <c r="S48" s="1708" t="str">
        <f>$J48</f>
        <v>....1.1</v>
      </c>
      <c r="T48" s="220" t="s">
        <v>491</v>
      </c>
      <c r="U48" s="234"/>
      <c r="V48" s="2383"/>
      <c r="W48" s="2384"/>
      <c r="X48" s="2384"/>
      <c r="Y48" s="2384"/>
      <c r="Z48" s="2384"/>
      <c r="AA48" s="2384"/>
      <c r="AB48" s="2384"/>
      <c r="AC48" s="2385"/>
      <c r="AD48" s="2383"/>
      <c r="AE48" s="2384"/>
      <c r="AF48" s="2384"/>
      <c r="AG48" s="2384"/>
      <c r="AH48" s="2384"/>
      <c r="AI48" s="2384"/>
      <c r="AJ48" s="2384"/>
      <c r="AK48" s="2384"/>
      <c r="AL48" s="2385"/>
      <c r="AM48" s="1046" t="s">
        <v>492</v>
      </c>
      <c r="AO48" s="1412"/>
      <c r="AP48" s="1412" t="str">
        <f t="shared" si="1"/>
        <v>Группа потребителей</v>
      </c>
      <c r="AQ48" s="1412"/>
      <c r="AR48" s="1412"/>
      <c r="AS48" s="1419">
        <v>21</v>
      </c>
    </row>
    <row r="49" spans="1:45" ht="21.95" customHeight="1">
      <c r="A49" s="1055" t="s">
        <v>296</v>
      </c>
      <c r="B49" s="1055" t="s">
        <v>297</v>
      </c>
      <c r="C49" s="1055" t="s">
        <v>298</v>
      </c>
      <c r="D49" s="1055" t="s">
        <v>299</v>
      </c>
      <c r="E49" s="2422"/>
      <c r="F49" s="2422"/>
      <c r="G49" s="2422"/>
      <c r="H49" s="2422"/>
      <c r="I49" s="2247"/>
      <c r="J49" s="2247"/>
      <c r="K49" s="2266" t="str">
        <f>J48&amp;".1"</f>
        <v>....1.1.1</v>
      </c>
      <c r="L49" s="1098" t="s">
        <v>493</v>
      </c>
      <c r="P49" s="2399"/>
      <c r="Q49" s="2399"/>
      <c r="R49" s="290">
        <v>1</v>
      </c>
      <c r="S49" s="1708" t="str">
        <f>$K49</f>
        <v>....1.1.1</v>
      </c>
      <c r="T49" s="1135"/>
      <c r="U49" s="234"/>
      <c r="V49" s="658"/>
      <c r="W49" s="259"/>
      <c r="X49" s="658"/>
      <c r="Y49" s="1045"/>
      <c r="Z49" s="2400"/>
      <c r="AA49" s="2276" t="s">
        <v>52</v>
      </c>
      <c r="AB49" s="2400"/>
      <c r="AC49" s="2276" t="s">
        <v>52</v>
      </c>
      <c r="AD49" s="658"/>
      <c r="AE49" s="259"/>
      <c r="AF49" s="658"/>
      <c r="AG49" s="1045"/>
      <c r="AH49" s="2400"/>
      <c r="AI49" s="2276" t="s">
        <v>52</v>
      </c>
      <c r="AJ49" s="2402"/>
      <c r="AK49" s="2276" t="s">
        <v>52</v>
      </c>
      <c r="AL49" s="1136"/>
      <c r="AM49" s="2418" t="s">
        <v>494</v>
      </c>
      <c r="AN49" s="1424" t="e">
        <f ca="1">STRCHECKDATE(V50:AL50)</f>
        <v>#NAME?</v>
      </c>
      <c r="AO49" s="1412"/>
      <c r="AP49" s="1412" t="str">
        <f t="shared" si="1"/>
        <v/>
      </c>
      <c r="AQ49" s="1412"/>
      <c r="AR49" s="1412"/>
      <c r="AS49" s="1419">
        <v>21</v>
      </c>
    </row>
    <row r="50" spans="1:45" ht="1.1499999999999999" customHeight="1">
      <c r="A50" s="1055" t="s">
        <v>296</v>
      </c>
      <c r="B50" s="1055" t="s">
        <v>297</v>
      </c>
      <c r="C50" s="1055" t="s">
        <v>298</v>
      </c>
      <c r="D50" s="1055" t="s">
        <v>299</v>
      </c>
      <c r="E50" s="2422"/>
      <c r="F50" s="2422"/>
      <c r="G50" s="2422"/>
      <c r="H50" s="2422"/>
      <c r="I50" s="2247"/>
      <c r="J50" s="2247"/>
      <c r="K50" s="2266"/>
      <c r="L50" s="1098"/>
      <c r="P50" s="2399"/>
      <c r="Q50" s="2399"/>
      <c r="R50" s="290"/>
      <c r="S50" s="1717"/>
      <c r="T50" s="234"/>
      <c r="U50" s="234"/>
      <c r="V50" s="259"/>
      <c r="W50" s="259"/>
      <c r="X50" s="259"/>
      <c r="Y50" s="262" t="str">
        <f>Z49&amp;"-"&amp;AB49</f>
        <v>-</v>
      </c>
      <c r="Z50" s="2401"/>
      <c r="AA50" s="2276"/>
      <c r="AB50" s="2401"/>
      <c r="AC50" s="2276"/>
      <c r="AD50" s="259"/>
      <c r="AE50" s="259"/>
      <c r="AF50" s="259"/>
      <c r="AG50" s="262" t="str">
        <f>AH49&amp;"-"&amp;AJ49</f>
        <v>-</v>
      </c>
      <c r="AH50" s="2401"/>
      <c r="AI50" s="2276"/>
      <c r="AJ50" s="2403"/>
      <c r="AK50" s="2276"/>
      <c r="AL50" s="1137"/>
      <c r="AM50" s="2419"/>
      <c r="AO50" s="1412"/>
      <c r="AP50" s="1412" t="str">
        <f t="shared" si="1"/>
        <v/>
      </c>
      <c r="AQ50" s="1412"/>
      <c r="AR50" s="1412"/>
      <c r="AS50" s="1419">
        <v>1</v>
      </c>
    </row>
    <row r="51" spans="1:45" ht="11.45" customHeight="1">
      <c r="A51" s="1055" t="s">
        <v>296</v>
      </c>
      <c r="B51" s="1055" t="s">
        <v>297</v>
      </c>
      <c r="C51" s="1055" t="s">
        <v>298</v>
      </c>
      <c r="D51" s="1055" t="s">
        <v>299</v>
      </c>
      <c r="E51" s="2422"/>
      <c r="F51" s="2422"/>
      <c r="G51" s="2422"/>
      <c r="H51" s="2422"/>
      <c r="I51" s="2247"/>
      <c r="J51" s="2266"/>
      <c r="K51" s="1055"/>
      <c r="L51" s="1098"/>
      <c r="P51" s="2399"/>
      <c r="Q51" s="2399"/>
      <c r="R51" s="289"/>
      <c r="S51" s="1066"/>
      <c r="T51" s="222" t="s">
        <v>495</v>
      </c>
      <c r="U51" s="531"/>
      <c r="V51" s="531"/>
      <c r="W51" s="531"/>
      <c r="X51" s="531"/>
      <c r="Y51" s="531"/>
      <c r="Z51" s="531"/>
      <c r="AA51" s="531"/>
      <c r="AB51" s="531"/>
      <c r="AC51" s="531"/>
      <c r="AD51" s="531"/>
      <c r="AE51" s="531"/>
      <c r="AF51" s="531"/>
      <c r="AG51" s="531"/>
      <c r="AH51" s="531"/>
      <c r="AI51" s="531"/>
      <c r="AJ51" s="531"/>
      <c r="AK51" s="531"/>
      <c r="AL51" s="258"/>
      <c r="AM51" s="2420"/>
      <c r="AO51" s="1412"/>
      <c r="AP51" s="1412" t="str">
        <f t="shared" si="1"/>
        <v>Добавить вид теплоносителя (параметры теплоносителя)</v>
      </c>
      <c r="AQ51" s="1412"/>
      <c r="AR51" s="1412"/>
      <c r="AS51" s="1419">
        <v>11</v>
      </c>
    </row>
    <row r="52" spans="1:45" ht="11.45" customHeight="1">
      <c r="A52" s="1055" t="s">
        <v>296</v>
      </c>
      <c r="B52" s="1055" t="s">
        <v>297</v>
      </c>
      <c r="C52" s="1055" t="s">
        <v>298</v>
      </c>
      <c r="D52" s="1055" t="s">
        <v>299</v>
      </c>
      <c r="E52" s="2422"/>
      <c r="F52" s="2422"/>
      <c r="G52" s="2422"/>
      <c r="H52" s="2422"/>
      <c r="I52" s="2266"/>
      <c r="J52" s="1055"/>
      <c r="K52" s="1055"/>
      <c r="L52" s="1098"/>
      <c r="P52" s="2399"/>
      <c r="Q52" s="1704"/>
      <c r="R52" s="289"/>
      <c r="S52" s="1066"/>
      <c r="T52" s="221" t="s">
        <v>496</v>
      </c>
      <c r="U52" s="531"/>
      <c r="V52" s="531"/>
      <c r="W52" s="531"/>
      <c r="X52" s="531"/>
      <c r="Y52" s="531"/>
      <c r="Z52" s="531"/>
      <c r="AA52" s="531"/>
      <c r="AB52" s="531"/>
      <c r="AC52" s="299"/>
      <c r="AD52" s="531"/>
      <c r="AE52" s="531"/>
      <c r="AF52" s="531"/>
      <c r="AG52" s="531"/>
      <c r="AH52" s="531"/>
      <c r="AI52" s="531"/>
      <c r="AJ52" s="531"/>
      <c r="AK52" s="299"/>
      <c r="AL52" s="531"/>
      <c r="AM52" s="237"/>
      <c r="AO52" s="1412"/>
      <c r="AP52" s="1412" t="str">
        <f t="shared" si="1"/>
        <v>Добавить группу потребителей</v>
      </c>
      <c r="AQ52" s="1412"/>
      <c r="AR52" s="1412"/>
      <c r="AS52" s="1419">
        <v>11</v>
      </c>
    </row>
    <row r="53" spans="1:45" ht="14.65" customHeight="1">
      <c r="A53" s="1055" t="s">
        <v>296</v>
      </c>
      <c r="B53" s="1055" t="s">
        <v>297</v>
      </c>
      <c r="C53" s="1055" t="s">
        <v>298</v>
      </c>
      <c r="D53" s="1055" t="s">
        <v>299</v>
      </c>
      <c r="E53" s="2422"/>
      <c r="F53" s="2422"/>
      <c r="G53" s="2422"/>
      <c r="H53" s="2421"/>
      <c r="I53" s="1055"/>
      <c r="J53" s="1055"/>
      <c r="K53" s="1055"/>
      <c r="L53" s="1098"/>
      <c r="M53" s="1398"/>
      <c r="N53" s="1398"/>
      <c r="O53" s="1423"/>
      <c r="P53" s="293"/>
      <c r="Q53" s="308"/>
      <c r="R53" s="288"/>
      <c r="S53" s="1066"/>
      <c r="T53" s="298" t="s">
        <v>497</v>
      </c>
      <c r="U53" s="531"/>
      <c r="V53" s="531"/>
      <c r="W53" s="531"/>
      <c r="X53" s="531"/>
      <c r="Y53" s="531"/>
      <c r="Z53" s="531"/>
      <c r="AA53" s="531"/>
      <c r="AB53" s="531"/>
      <c r="AC53" s="299"/>
      <c r="AD53" s="531"/>
      <c r="AE53" s="531"/>
      <c r="AF53" s="531"/>
      <c r="AG53" s="531"/>
      <c r="AH53" s="531"/>
      <c r="AI53" s="531"/>
      <c r="AJ53" s="531"/>
      <c r="AK53" s="299"/>
      <c r="AL53" s="531"/>
      <c r="AM53" s="237"/>
      <c r="AO53" s="1412"/>
      <c r="AP53" s="1412" t="str">
        <f t="shared" si="1"/>
        <v>Добавить схему подключения</v>
      </c>
      <c r="AQ53" s="1412"/>
      <c r="AR53" s="1412"/>
      <c r="AS53" s="1419">
        <v>14</v>
      </c>
    </row>
    <row r="54" spans="1:45" s="1430" customFormat="1" ht="4.1500000000000004" customHeight="1">
      <c r="A54" s="1163" t="s">
        <v>296</v>
      </c>
      <c r="B54" s="1163" t="s">
        <v>297</v>
      </c>
      <c r="C54" s="1163" t="s">
        <v>298</v>
      </c>
      <c r="D54" s="1162"/>
      <c r="E54" s="2422"/>
      <c r="F54" s="2422"/>
      <c r="G54" s="2421"/>
      <c r="H54" s="1162"/>
      <c r="I54" s="1162"/>
      <c r="J54" s="1162"/>
      <c r="K54" s="1162"/>
      <c r="L54" s="1165"/>
      <c r="M54" s="1166"/>
      <c r="N54" s="1166"/>
      <c r="O54" s="284"/>
      <c r="P54" s="1104"/>
      <c r="Q54" s="1105"/>
      <c r="R54" s="1104"/>
      <c r="S54" s="1110"/>
      <c r="T54" s="1113" t="s">
        <v>498</v>
      </c>
      <c r="U54" s="1112"/>
      <c r="V54" s="1112"/>
      <c r="W54" s="1112"/>
      <c r="X54" s="1112"/>
      <c r="Y54" s="1112"/>
      <c r="Z54" s="1112"/>
      <c r="AA54" s="1112"/>
      <c r="AB54" s="1112"/>
      <c r="AC54" s="1112"/>
      <c r="AD54" s="1112"/>
      <c r="AE54" s="1112"/>
      <c r="AF54" s="1112"/>
      <c r="AG54" s="1112"/>
      <c r="AH54" s="1112"/>
      <c r="AI54" s="1112"/>
      <c r="AJ54" s="1112"/>
      <c r="AK54" s="1112"/>
      <c r="AL54" s="1112"/>
      <c r="AM54" s="1112"/>
      <c r="AO54" s="1039"/>
      <c r="AP54" s="1039" t="str">
        <f t="shared" si="1"/>
        <v>Добавить источник для дифференциации</v>
      </c>
      <c r="AQ54" s="1039"/>
      <c r="AR54" s="1039"/>
      <c r="AS54" s="1430">
        <v>4</v>
      </c>
    </row>
    <row r="55" spans="1:45" s="1430" customFormat="1" ht="4.1500000000000004" customHeight="1">
      <c r="A55" s="1163" t="s">
        <v>296</v>
      </c>
      <c r="B55" s="1163" t="s">
        <v>297</v>
      </c>
      <c r="C55" s="1162"/>
      <c r="D55" s="1162"/>
      <c r="E55" s="2422"/>
      <c r="F55" s="2421"/>
      <c r="G55" s="1162"/>
      <c r="H55" s="1162"/>
      <c r="I55" s="1162"/>
      <c r="J55" s="1162"/>
      <c r="K55" s="1162"/>
      <c r="L55" s="1165"/>
      <c r="M55" s="1167"/>
      <c r="N55" s="1167"/>
      <c r="O55" s="284"/>
      <c r="P55" s="1104"/>
      <c r="Q55" s="1105"/>
      <c r="R55" s="1104"/>
      <c r="S55" s="1110"/>
      <c r="T55" s="1113" t="s">
        <v>499</v>
      </c>
      <c r="U55" s="1112"/>
      <c r="V55" s="1112"/>
      <c r="W55" s="1112"/>
      <c r="X55" s="1112"/>
      <c r="Y55" s="1112"/>
      <c r="Z55" s="1112"/>
      <c r="AA55" s="1112"/>
      <c r="AB55" s="1112"/>
      <c r="AC55" s="1112"/>
      <c r="AD55" s="1112"/>
      <c r="AE55" s="1112"/>
      <c r="AF55" s="1112"/>
      <c r="AG55" s="1112"/>
      <c r="AH55" s="1112"/>
      <c r="AI55" s="1112"/>
      <c r="AJ55" s="1112"/>
      <c r="AK55" s="1112"/>
      <c r="AL55" s="1112"/>
      <c r="AM55" s="1112"/>
      <c r="AO55" s="1039"/>
      <c r="AP55" s="1039" t="str">
        <f t="shared" si="1"/>
        <v>Добавить централизованную систему для дифференциации</v>
      </c>
      <c r="AQ55" s="1039"/>
      <c r="AR55" s="1039"/>
      <c r="AS55" s="1430">
        <v>4</v>
      </c>
    </row>
    <row r="56" spans="1:45" s="1430" customFormat="1" ht="4.1500000000000004" customHeight="1">
      <c r="A56" s="1163" t="s">
        <v>296</v>
      </c>
      <c r="B56" s="1163"/>
      <c r="C56" s="1163"/>
      <c r="D56" s="1163"/>
      <c r="E56" s="2421"/>
      <c r="F56" s="1163"/>
      <c r="G56" s="1163"/>
      <c r="H56" s="1163"/>
      <c r="I56" s="1163"/>
      <c r="J56" s="1163"/>
      <c r="K56" s="1163"/>
      <c r="L56" s="1169"/>
      <c r="M56" s="1167"/>
      <c r="N56" s="1167"/>
      <c r="O56" s="284"/>
      <c r="P56" s="313"/>
      <c r="Q56" s="1132"/>
      <c r="R56" s="313"/>
      <c r="S56" s="1110"/>
      <c r="T56" s="1113" t="s">
        <v>500</v>
      </c>
      <c r="U56" s="1112"/>
      <c r="V56" s="1112"/>
      <c r="W56" s="1112"/>
      <c r="X56" s="1112"/>
      <c r="Y56" s="1112"/>
      <c r="Z56" s="1112"/>
      <c r="AA56" s="1112"/>
      <c r="AB56" s="1112"/>
      <c r="AC56" s="1112"/>
      <c r="AD56" s="1112"/>
      <c r="AE56" s="1112"/>
      <c r="AF56" s="1112"/>
      <c r="AG56" s="1112"/>
      <c r="AH56" s="1112"/>
      <c r="AI56" s="1112"/>
      <c r="AJ56" s="1112"/>
      <c r="AK56" s="1112"/>
      <c r="AL56" s="1112"/>
      <c r="AM56" s="1112"/>
      <c r="AO56" s="1412"/>
      <c r="AP56" s="1412" t="str">
        <f t="shared" si="1"/>
        <v>Добавить территорию для дифференциации</v>
      </c>
      <c r="AQ56" s="1412"/>
      <c r="AR56" s="1412"/>
      <c r="AS56" s="1424">
        <v>4</v>
      </c>
    </row>
    <row r="57" spans="1:45" s="1430" customFormat="1" ht="4.1500000000000004" customHeight="1">
      <c r="A57" s="1162"/>
      <c r="B57" s="1162"/>
      <c r="C57" s="1162"/>
      <c r="D57" s="1162"/>
      <c r="E57" s="1163"/>
      <c r="F57" s="1162"/>
      <c r="G57" s="1162"/>
      <c r="H57" s="1162"/>
      <c r="I57" s="1162"/>
      <c r="J57" s="1162"/>
      <c r="K57" s="1162"/>
      <c r="L57" s="1165"/>
      <c r="M57" s="1167"/>
      <c r="N57" s="1167"/>
      <c r="O57" s="284"/>
      <c r="P57" s="1104"/>
      <c r="Q57" s="1105"/>
      <c r="R57" s="1104"/>
      <c r="S57" s="1110"/>
      <c r="T57" s="1113" t="s">
        <v>532</v>
      </c>
      <c r="U57" s="1112"/>
      <c r="V57" s="1112"/>
      <c r="W57" s="1112"/>
      <c r="X57" s="1112"/>
      <c r="Y57" s="1112"/>
      <c r="Z57" s="1112"/>
      <c r="AA57" s="1112"/>
      <c r="AB57" s="1112"/>
      <c r="AC57" s="1112"/>
      <c r="AD57" s="1112"/>
      <c r="AE57" s="1112"/>
      <c r="AF57" s="1112"/>
      <c r="AG57" s="1112"/>
      <c r="AH57" s="1112"/>
      <c r="AI57" s="1112"/>
      <c r="AJ57" s="1112"/>
      <c r="AK57" s="1112"/>
      <c r="AL57" s="1112"/>
      <c r="AM57" s="1112"/>
      <c r="AO57" s="1039"/>
      <c r="AP57" s="1039" t="str">
        <f t="shared" si="1"/>
        <v>Добавить наименование тарифа</v>
      </c>
      <c r="AQ57" s="1039"/>
      <c r="AR57" s="1039"/>
      <c r="AS57" s="1430">
        <v>4</v>
      </c>
    </row>
    <row r="58" spans="1:45" ht="11.45" customHeight="1">
      <c r="M58" s="1419"/>
      <c r="N58" s="1419"/>
      <c r="O58" s="1423"/>
      <c r="P58" s="1419"/>
      <c r="Q58" s="1419"/>
      <c r="R58" s="1419"/>
      <c r="S58" s="1419"/>
      <c r="AN58" s="1419"/>
      <c r="AO58" s="1419"/>
      <c r="AP58" s="1419"/>
      <c r="AQ58" s="1419"/>
      <c r="AR58" s="1419"/>
      <c r="AS58" s="1419">
        <v>11</v>
      </c>
    </row>
    <row r="59" spans="1:45" ht="28.5" customHeight="1">
      <c r="O59" s="1423"/>
      <c r="S59" s="1041"/>
      <c r="T59" s="2394"/>
      <c r="U59" s="2394"/>
      <c r="V59" s="2394"/>
      <c r="W59" s="2394"/>
      <c r="X59" s="2394"/>
      <c r="Y59" s="2394"/>
      <c r="Z59" s="2394"/>
      <c r="AA59" s="2394"/>
      <c r="AB59" s="2394"/>
      <c r="AC59" s="2394"/>
      <c r="AD59" s="2394"/>
      <c r="AE59" s="2394"/>
      <c r="AF59" s="2394"/>
      <c r="AG59" s="2394"/>
      <c r="AH59" s="2394"/>
      <c r="AI59" s="2394"/>
      <c r="AJ59" s="2394"/>
      <c r="AK59" s="2394"/>
      <c r="AL59" s="2394"/>
      <c r="AM59" s="2394"/>
      <c r="AS59" s="1419">
        <v>27</v>
      </c>
    </row>
    <row r="60" spans="1:45" ht="65.25" customHeight="1">
      <c r="O60" s="1423"/>
      <c r="T60" s="2394"/>
      <c r="U60" s="2394"/>
      <c r="V60" s="2394"/>
      <c r="W60" s="2394"/>
      <c r="X60" s="2394"/>
      <c r="Y60" s="2394"/>
      <c r="Z60" s="2394"/>
      <c r="AA60" s="2394"/>
      <c r="AB60" s="2394"/>
      <c r="AC60" s="2394"/>
      <c r="AD60" s="2394"/>
      <c r="AE60" s="2394"/>
      <c r="AF60" s="2394"/>
      <c r="AG60" s="2394"/>
      <c r="AH60" s="2394"/>
      <c r="AI60" s="2394"/>
      <c r="AJ60" s="2394"/>
      <c r="AK60" s="2394"/>
      <c r="AL60" s="2394"/>
      <c r="AM60" s="2394"/>
      <c r="AS60" s="1419">
        <v>62</v>
      </c>
    </row>
    <row r="61" spans="1:45" ht="14.65" customHeight="1">
      <c r="O61" s="1423"/>
      <c r="AS61" s="1419">
        <v>14</v>
      </c>
    </row>
    <row r="62" spans="1:45" ht="18.75" customHeight="1">
      <c r="O62" s="1423"/>
      <c r="S62" s="1041"/>
      <c r="T62" s="2394"/>
      <c r="U62" s="2394"/>
      <c r="V62" s="2394"/>
      <c r="W62" s="2394"/>
      <c r="X62" s="2394"/>
      <c r="Y62" s="2394"/>
      <c r="Z62" s="2394"/>
      <c r="AA62" s="2394"/>
      <c r="AB62" s="2394"/>
      <c r="AC62" s="2394"/>
      <c r="AD62" s="2394"/>
      <c r="AE62" s="2394"/>
      <c r="AF62" s="2394"/>
      <c r="AG62" s="2394"/>
      <c r="AH62" s="2394"/>
      <c r="AI62" s="2394"/>
      <c r="AJ62" s="2394"/>
      <c r="AK62" s="2394"/>
      <c r="AL62" s="2394"/>
      <c r="AM62" s="2394"/>
      <c r="AS62" s="1419">
        <v>18</v>
      </c>
    </row>
    <row r="63" spans="1:45" ht="18.75" customHeight="1">
      <c r="O63" s="1423"/>
      <c r="T63" s="2394"/>
      <c r="U63" s="2394"/>
      <c r="V63" s="2394"/>
      <c r="W63" s="2394"/>
      <c r="X63" s="2394"/>
      <c r="Y63" s="2394"/>
      <c r="Z63" s="2394"/>
      <c r="AA63" s="2394"/>
      <c r="AB63" s="2394"/>
      <c r="AC63" s="2394"/>
      <c r="AD63" s="2394"/>
      <c r="AE63" s="2394"/>
      <c r="AF63" s="2394"/>
      <c r="AG63" s="2394"/>
      <c r="AH63" s="2394"/>
      <c r="AI63" s="2394"/>
      <c r="AJ63" s="2394"/>
      <c r="AK63" s="2394"/>
      <c r="AL63" s="2394"/>
      <c r="AM63" s="2394"/>
      <c r="AS63" s="1419">
        <v>18</v>
      </c>
    </row>
    <row r="64" spans="1:45" ht="29.25" customHeight="1">
      <c r="O64" s="1423"/>
      <c r="S64" s="1041"/>
      <c r="T64" s="2394"/>
      <c r="U64" s="2394"/>
      <c r="V64" s="2394"/>
      <c r="W64" s="2394"/>
      <c r="X64" s="2394"/>
      <c r="Y64" s="2394"/>
      <c r="Z64" s="2394"/>
      <c r="AA64" s="2394"/>
      <c r="AB64" s="2394"/>
      <c r="AC64" s="2394"/>
      <c r="AD64" s="2394"/>
      <c r="AE64" s="2394"/>
      <c r="AF64" s="2394"/>
      <c r="AG64" s="2394"/>
      <c r="AH64" s="2394"/>
      <c r="AI64" s="2394"/>
      <c r="AJ64" s="2394"/>
      <c r="AK64" s="2394"/>
      <c r="AL64" s="2394"/>
      <c r="AM64" s="2394"/>
      <c r="AS64" s="1419">
        <v>28</v>
      </c>
    </row>
    <row r="65" spans="1:45" ht="22.5" hidden="1" customHeight="1">
      <c r="A65" s="1419" t="s">
        <v>69</v>
      </c>
      <c r="B65" s="1419">
        <v>0</v>
      </c>
      <c r="C65" s="1419">
        <v>0</v>
      </c>
      <c r="D65" s="1419">
        <v>0</v>
      </c>
      <c r="E65" s="1419">
        <v>0</v>
      </c>
      <c r="F65" s="1419">
        <v>0</v>
      </c>
      <c r="G65" s="1419">
        <v>0</v>
      </c>
      <c r="H65" s="1419">
        <v>0</v>
      </c>
      <c r="I65" s="1419">
        <v>0</v>
      </c>
      <c r="J65" s="1419">
        <v>0</v>
      </c>
      <c r="K65" s="1419">
        <v>0</v>
      </c>
      <c r="L65" s="1689">
        <v>0</v>
      </c>
      <c r="M65" s="1715">
        <v>0</v>
      </c>
      <c r="N65" s="1715">
        <v>0</v>
      </c>
      <c r="O65" s="1715">
        <v>0</v>
      </c>
      <c r="P65" s="1715">
        <v>3</v>
      </c>
      <c r="Q65" s="278">
        <v>3</v>
      </c>
      <c r="R65" s="278">
        <v>3</v>
      </c>
      <c r="S65" s="512">
        <v>12</v>
      </c>
      <c r="T65" s="1419">
        <v>31</v>
      </c>
      <c r="U65" s="1419">
        <v>0</v>
      </c>
      <c r="V65" s="1419">
        <v>0</v>
      </c>
      <c r="W65" s="1419">
        <v>0</v>
      </c>
      <c r="X65" s="1419">
        <v>0</v>
      </c>
      <c r="Y65" s="1419">
        <v>0</v>
      </c>
      <c r="Z65" s="1419">
        <v>0</v>
      </c>
      <c r="AA65" s="1419">
        <v>0</v>
      </c>
      <c r="AB65" s="1419">
        <v>0</v>
      </c>
      <c r="AC65" s="1419">
        <v>0</v>
      </c>
      <c r="AD65" s="1419">
        <v>24</v>
      </c>
      <c r="AE65" s="1419">
        <v>0</v>
      </c>
      <c r="AF65" s="1419">
        <v>24</v>
      </c>
      <c r="AG65" s="1419">
        <v>24</v>
      </c>
      <c r="AH65" s="1419">
        <v>11</v>
      </c>
      <c r="AI65" s="1419">
        <v>3</v>
      </c>
      <c r="AJ65" s="1419">
        <v>11</v>
      </c>
      <c r="AK65" s="1419">
        <v>0</v>
      </c>
      <c r="AL65" s="1419">
        <v>4</v>
      </c>
      <c r="AM65" s="1419">
        <v>115</v>
      </c>
      <c r="AN65" s="1424">
        <v>10</v>
      </c>
      <c r="AO65" s="1424">
        <v>10</v>
      </c>
      <c r="AP65" s="1424">
        <v>10</v>
      </c>
      <c r="AQ65" s="1424">
        <v>10</v>
      </c>
      <c r="AR65" s="1424">
        <v>10</v>
      </c>
      <c r="AS65" s="141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423" hidden="1"/>
    <col min="2" max="2" width="11" style="1423" hidden="1" customWidth="1"/>
    <col min="3" max="3" width="10.5703125" style="1423" hidden="1"/>
    <col min="4" max="4" width="11.85546875" style="1423" hidden="1" customWidth="1"/>
    <col min="5" max="5" width="10" style="1423" hidden="1" customWidth="1"/>
    <col min="6" max="6" width="8.7109375" style="1423" hidden="1" customWidth="1"/>
    <col min="7" max="7" width="7.5703125" style="1423" hidden="1" customWidth="1"/>
    <col min="8" max="8" width="11.42578125" style="1423" hidden="1" customWidth="1"/>
    <col min="9" max="9" width="12" style="1423" hidden="1" customWidth="1"/>
    <col min="10" max="10" width="9.85546875" style="1423" hidden="1" customWidth="1"/>
    <col min="11" max="11" width="11.42578125" style="1423" hidden="1" customWidth="1"/>
    <col min="12" max="12" width="19.140625" style="1844" hidden="1" customWidth="1"/>
    <col min="13" max="14" width="12.28515625" style="1857" hidden="1" customWidth="1"/>
    <col min="15" max="15" width="23.42578125" style="1857" hidden="1" customWidth="1"/>
    <col min="16" max="16" width="3" style="1857" customWidth="1"/>
    <col min="17" max="18" width="3" style="278" customWidth="1"/>
    <col min="19" max="19" width="12" style="1858" customWidth="1"/>
    <col min="20" max="20" width="31" style="1423" customWidth="1"/>
    <col min="21" max="21" width="0.140625" style="1423" customWidth="1"/>
    <col min="22" max="22" width="24.7109375" style="1423" hidden="1" customWidth="1"/>
    <col min="23" max="23" width="0.140625" style="1423" hidden="1" customWidth="1"/>
    <col min="24" max="25" width="24.7109375" style="1423" hidden="1" customWidth="1"/>
    <col min="26" max="26" width="11.7109375" style="1423" hidden="1" customWidth="1"/>
    <col min="27" max="27" width="3.7109375" style="1423" hidden="1" customWidth="1"/>
    <col min="28" max="28" width="11.7109375" style="1423" hidden="1" customWidth="1"/>
    <col min="29" max="29" width="8.5703125" style="1423" hidden="1" customWidth="1"/>
    <col min="30" max="30" width="24.7109375" style="1423" customWidth="1"/>
    <col min="31" max="31" width="0.140625" style="1423" customWidth="1"/>
    <col min="32" max="33" width="24" style="1423" customWidth="1"/>
    <col min="34" max="34" width="11" style="1423" customWidth="1"/>
    <col min="35" max="35" width="3.7109375" style="1423" customWidth="1"/>
    <col min="36" max="36" width="11" style="1423" customWidth="1"/>
    <col min="37" max="37" width="8.5703125" style="1423" hidden="1" customWidth="1"/>
    <col min="38" max="38" width="4" style="1423" customWidth="1"/>
    <col min="39" max="39" width="115" style="1423" customWidth="1"/>
    <col min="40" max="44" width="10" style="1430" customWidth="1"/>
    <col min="45" max="45" width="10.5703125" style="1423" hidden="1"/>
  </cols>
  <sheetData>
    <row r="1" spans="1:45" ht="22.5" hidden="1" customHeight="1">
      <c r="AS1" s="1419" t="s">
        <v>1</v>
      </c>
    </row>
    <row r="2" spans="1:45" ht="21" hidden="1" customHeight="1">
      <c r="A2" s="1055"/>
      <c r="B2" s="1055"/>
      <c r="C2" s="1055"/>
      <c r="D2" s="1055"/>
      <c r="E2" s="2421">
        <v>1</v>
      </c>
      <c r="F2" s="1055"/>
      <c r="G2" s="1055"/>
      <c r="H2" s="1055"/>
      <c r="I2" s="1055"/>
      <c r="J2" s="1055"/>
      <c r="K2" s="1055"/>
      <c r="L2" s="1098"/>
      <c r="M2" s="1398"/>
      <c r="N2" s="1398"/>
      <c r="O2" s="1398"/>
      <c r="P2" s="1378"/>
      <c r="Q2" s="293"/>
      <c r="R2" s="288"/>
      <c r="S2" s="1708" t="e">
        <f>INDEX(PT_DIFFERENTIATION_NUM_NTAR,MATCH(A2,PT_DIFFERENTIATION_NTAR_ID,0))</f>
        <v>#N/A</v>
      </c>
      <c r="T2" s="1313" t="s">
        <v>214</v>
      </c>
      <c r="U2" s="234"/>
      <c r="V2" s="2389"/>
      <c r="W2" s="2390"/>
      <c r="X2" s="2390"/>
      <c r="Y2" s="2390"/>
      <c r="Z2" s="2390"/>
      <c r="AA2" s="2390"/>
      <c r="AB2" s="2390"/>
      <c r="AC2" s="2391"/>
      <c r="AD2" s="2389" t="e">
        <f>INDEX(PT_DIFFERENTIATION_NTAR,MATCH(A2,PT_DIFFERENTIATION_NTAR_ID,0))</f>
        <v>#N/A</v>
      </c>
      <c r="AE2" s="2390"/>
      <c r="AF2" s="2390"/>
      <c r="AG2" s="2390"/>
      <c r="AH2" s="2390"/>
      <c r="AI2" s="2390"/>
      <c r="AJ2" s="2390"/>
      <c r="AK2" s="2390"/>
      <c r="AL2" s="2391"/>
      <c r="AM2" s="1046" t="s">
        <v>480</v>
      </c>
      <c r="AO2" s="1412"/>
      <c r="AP2" s="1412" t="str">
        <f t="shared" ref="AP2:AP15" si="0">IF(T2="","",T2)</f>
        <v>Наименование тарифа</v>
      </c>
      <c r="AQ2" s="1412"/>
      <c r="AR2" s="1412"/>
      <c r="AS2" s="1419">
        <v>0</v>
      </c>
    </row>
    <row r="3" spans="1:45" ht="21" hidden="1" customHeight="1">
      <c r="A3" s="1055"/>
      <c r="B3" s="1055"/>
      <c r="C3" s="1055"/>
      <c r="D3" s="1055"/>
      <c r="E3" s="2422"/>
      <c r="F3" s="2421">
        <v>1</v>
      </c>
      <c r="G3" s="1055"/>
      <c r="H3" s="1055"/>
      <c r="I3" s="1055"/>
      <c r="J3" s="1055"/>
      <c r="K3" s="1055"/>
      <c r="L3" s="1098"/>
      <c r="M3" s="1398"/>
      <c r="N3" s="1398"/>
      <c r="O3" s="1398"/>
      <c r="P3" s="1690"/>
      <c r="Q3" s="285"/>
      <c r="R3" s="286"/>
      <c r="S3" s="1708" t="e">
        <f>INDEX(PT_DIFFERENTIATION_NUM_TER,MATCH(B3,PT_DIFFERENTIATION_TER_ID,0))</f>
        <v>#N/A</v>
      </c>
      <c r="T3" s="1310" t="s">
        <v>481</v>
      </c>
      <c r="U3" s="234"/>
      <c r="V3" s="2389"/>
      <c r="W3" s="2390"/>
      <c r="X3" s="2390"/>
      <c r="Y3" s="2390"/>
      <c r="Z3" s="2390"/>
      <c r="AA3" s="2390"/>
      <c r="AB3" s="2390"/>
      <c r="AC3" s="2391"/>
      <c r="AD3" s="2389" t="e">
        <f>INDEX(PT_DIFFERENTIATION_TER,MATCH(B3,PT_DIFFERENTIATION_TER_ID,0))</f>
        <v>#N/A</v>
      </c>
      <c r="AE3" s="2390"/>
      <c r="AF3" s="2390"/>
      <c r="AG3" s="2390"/>
      <c r="AH3" s="2390"/>
      <c r="AI3" s="2390"/>
      <c r="AJ3" s="2390"/>
      <c r="AK3" s="2390"/>
      <c r="AL3" s="2391"/>
      <c r="AM3" s="1046" t="s">
        <v>482</v>
      </c>
      <c r="AO3" s="1412"/>
      <c r="AP3" s="1412" t="str">
        <f t="shared" si="0"/>
        <v>Территория действия тарифа</v>
      </c>
      <c r="AQ3" s="1412"/>
      <c r="AR3" s="1412"/>
      <c r="AS3" s="1419">
        <v>0</v>
      </c>
    </row>
    <row r="4" spans="1:45" ht="23.25" hidden="1" customHeight="1">
      <c r="A4" s="1055"/>
      <c r="B4" s="1055"/>
      <c r="C4" s="1055"/>
      <c r="D4" s="1055"/>
      <c r="E4" s="2422"/>
      <c r="F4" s="2422"/>
      <c r="G4" s="2421">
        <v>1</v>
      </c>
      <c r="H4" s="1055"/>
      <c r="I4" s="1055"/>
      <c r="J4" s="1055"/>
      <c r="K4" s="1055"/>
      <c r="L4" s="1098"/>
      <c r="M4" s="1398"/>
      <c r="N4" s="1398"/>
      <c r="O4" s="1398"/>
      <c r="P4" s="287"/>
      <c r="Q4" s="285"/>
      <c r="R4" s="286"/>
      <c r="S4" s="1708" t="e">
        <f>INDEX(PT_DIFFERENTIATION_NUM_CS,MATCH(C4,PT_DIFFERENTIATION_CS_ID,0))</f>
        <v>#N/A</v>
      </c>
      <c r="T4" s="243" t="s">
        <v>483</v>
      </c>
      <c r="U4" s="234"/>
      <c r="V4" s="2389"/>
      <c r="W4" s="2390"/>
      <c r="X4" s="2390"/>
      <c r="Y4" s="2390"/>
      <c r="Z4" s="2390"/>
      <c r="AA4" s="2390"/>
      <c r="AB4" s="2390"/>
      <c r="AC4" s="2391"/>
      <c r="AD4" s="2389" t="e">
        <f>INDEX(PT_DIFFERENTIATION_CS,MATCH(C4,PT_DIFFERENTIATION_CS_ID,0))</f>
        <v>#N/A</v>
      </c>
      <c r="AE4" s="2390"/>
      <c r="AF4" s="2390"/>
      <c r="AG4" s="2390"/>
      <c r="AH4" s="2390"/>
      <c r="AI4" s="2390"/>
      <c r="AJ4" s="2390"/>
      <c r="AK4" s="2390"/>
      <c r="AL4" s="2391"/>
      <c r="AM4" s="1046" t="s">
        <v>484</v>
      </c>
      <c r="AO4" s="1412"/>
      <c r="AP4" s="1412" t="str">
        <f t="shared" si="0"/>
        <v xml:space="preserve">Наименование системы теплоснабжения </v>
      </c>
      <c r="AQ4" s="1412"/>
      <c r="AR4" s="1412"/>
      <c r="AS4" s="1419">
        <v>0</v>
      </c>
    </row>
    <row r="5" spans="1:45" ht="21" hidden="1" customHeight="1">
      <c r="A5" s="1055"/>
      <c r="B5" s="1055"/>
      <c r="C5" s="1055"/>
      <c r="D5" s="1055"/>
      <c r="E5" s="2422"/>
      <c r="F5" s="2422"/>
      <c r="G5" s="2422"/>
      <c r="H5" s="2421">
        <v>1</v>
      </c>
      <c r="I5" s="1055"/>
      <c r="J5" s="1055"/>
      <c r="K5" s="1055"/>
      <c r="L5" s="1098"/>
      <c r="M5" s="1398"/>
      <c r="N5" s="1398"/>
      <c r="O5" s="1398"/>
      <c r="P5" s="287"/>
      <c r="Q5" s="285"/>
      <c r="R5" s="286"/>
      <c r="S5" s="1708" t="e">
        <f>INDEX(PT_DIFFERENTIATION_NUM_IST_TE,MATCH(D5,PT_DIFFERENTIATION_IST_TE_ID,0))</f>
        <v>#N/A</v>
      </c>
      <c r="T5" s="244" t="s">
        <v>485</v>
      </c>
      <c r="U5" s="234"/>
      <c r="V5" s="2389"/>
      <c r="W5" s="2390"/>
      <c r="X5" s="2390"/>
      <c r="Y5" s="2390"/>
      <c r="Z5" s="2390"/>
      <c r="AA5" s="2390"/>
      <c r="AB5" s="2390"/>
      <c r="AC5" s="2391"/>
      <c r="AD5" s="2389" t="e">
        <f>INDEX(PT_DIFFERENTIATION_IST_TE,MATCH(D5,PT_DIFFERENTIATION_IST_TE_ID,0))</f>
        <v>#N/A</v>
      </c>
      <c r="AE5" s="2390"/>
      <c r="AF5" s="2390"/>
      <c r="AG5" s="2390"/>
      <c r="AH5" s="2390"/>
      <c r="AI5" s="2390"/>
      <c r="AJ5" s="2390"/>
      <c r="AK5" s="2390"/>
      <c r="AL5" s="2391"/>
      <c r="AM5" s="1046" t="s">
        <v>486</v>
      </c>
      <c r="AO5" s="1412"/>
      <c r="AP5" s="1412" t="str">
        <f t="shared" si="0"/>
        <v xml:space="preserve">Источник тепловой энергии  </v>
      </c>
      <c r="AQ5" s="1412"/>
      <c r="AR5" s="1412"/>
      <c r="AS5" s="1419">
        <v>0</v>
      </c>
    </row>
    <row r="6" spans="1:45" ht="47.25" hidden="1" customHeight="1">
      <c r="A6" s="1055"/>
      <c r="B6" s="1055"/>
      <c r="C6" s="1055"/>
      <c r="D6" s="1055"/>
      <c r="E6" s="2422"/>
      <c r="F6" s="2422"/>
      <c r="G6" s="2422"/>
      <c r="H6" s="2422"/>
      <c r="I6" s="2266" t="e">
        <f>S5&amp;".1"</f>
        <v>#N/A</v>
      </c>
      <c r="J6" s="1055"/>
      <c r="K6" s="1055"/>
      <c r="L6" s="1098" t="s">
        <v>487</v>
      </c>
      <c r="M6" s="1423"/>
      <c r="P6" s="2399">
        <v>1</v>
      </c>
      <c r="Q6" s="1704"/>
      <c r="R6" s="289"/>
      <c r="S6" s="1708" t="e">
        <f>$I6</f>
        <v>#N/A</v>
      </c>
      <c r="T6" s="219" t="s">
        <v>488</v>
      </c>
      <c r="U6" s="234"/>
      <c r="V6" s="2383"/>
      <c r="W6" s="2384"/>
      <c r="X6" s="2384"/>
      <c r="Y6" s="2384"/>
      <c r="Z6" s="2384"/>
      <c r="AA6" s="2384"/>
      <c r="AB6" s="2384"/>
      <c r="AC6" s="2385"/>
      <c r="AD6" s="2383"/>
      <c r="AE6" s="2384"/>
      <c r="AF6" s="2384"/>
      <c r="AG6" s="2384"/>
      <c r="AH6" s="2384"/>
      <c r="AI6" s="2384"/>
      <c r="AJ6" s="2384"/>
      <c r="AK6" s="2384"/>
      <c r="AL6" s="2385"/>
      <c r="AM6" s="1046" t="s">
        <v>489</v>
      </c>
      <c r="AO6" s="1412"/>
      <c r="AP6" s="1412" t="str">
        <f t="shared" si="0"/>
        <v>Схема подключения теплопотребляющей установки к коллектору источника тепловой энергии</v>
      </c>
      <c r="AQ6" s="1412"/>
      <c r="AR6" s="1412"/>
      <c r="AS6" s="1419">
        <v>0</v>
      </c>
    </row>
    <row r="7" spans="1:45" ht="21" hidden="1" customHeight="1">
      <c r="A7" s="1055"/>
      <c r="B7" s="1055"/>
      <c r="C7" s="1055"/>
      <c r="D7" s="1055"/>
      <c r="E7" s="2422"/>
      <c r="F7" s="2422"/>
      <c r="G7" s="2422"/>
      <c r="H7" s="2422"/>
      <c r="I7" s="2247"/>
      <c r="J7" s="2266" t="e">
        <f>I6&amp;".1"</f>
        <v>#N/A</v>
      </c>
      <c r="K7" s="1055"/>
      <c r="L7" s="1098" t="s">
        <v>490</v>
      </c>
      <c r="M7" s="1423"/>
      <c r="N7" s="1419"/>
      <c r="P7" s="2399"/>
      <c r="Q7" s="2399">
        <v>1</v>
      </c>
      <c r="R7" s="290"/>
      <c r="S7" s="1708" t="e">
        <f>$J7</f>
        <v>#N/A</v>
      </c>
      <c r="T7" s="220" t="s">
        <v>491</v>
      </c>
      <c r="U7" s="234"/>
      <c r="V7" s="2383"/>
      <c r="W7" s="2384"/>
      <c r="X7" s="2384"/>
      <c r="Y7" s="2384"/>
      <c r="Z7" s="2384"/>
      <c r="AA7" s="2384"/>
      <c r="AB7" s="2384"/>
      <c r="AC7" s="2385"/>
      <c r="AD7" s="2383"/>
      <c r="AE7" s="2384"/>
      <c r="AF7" s="2384"/>
      <c r="AG7" s="2384"/>
      <c r="AH7" s="2384"/>
      <c r="AI7" s="2384"/>
      <c r="AJ7" s="2384"/>
      <c r="AK7" s="2384"/>
      <c r="AL7" s="2385"/>
      <c r="AM7" s="1046" t="s">
        <v>492</v>
      </c>
      <c r="AO7" s="1412"/>
      <c r="AP7" s="1412" t="str">
        <f t="shared" si="0"/>
        <v>Группа потребителей</v>
      </c>
      <c r="AQ7" s="1412"/>
      <c r="AR7" s="1412"/>
      <c r="AS7" s="1419">
        <v>0</v>
      </c>
    </row>
    <row r="8" spans="1:45" ht="21" hidden="1" customHeight="1">
      <c r="A8" s="1055"/>
      <c r="B8" s="1055"/>
      <c r="C8" s="1055"/>
      <c r="D8" s="1055"/>
      <c r="E8" s="2422"/>
      <c r="F8" s="2422"/>
      <c r="G8" s="2422"/>
      <c r="H8" s="2422"/>
      <c r="I8" s="2247"/>
      <c r="J8" s="2247"/>
      <c r="K8" s="2266" t="e">
        <f>J7&amp;".1"</f>
        <v>#N/A</v>
      </c>
      <c r="L8" s="1098" t="s">
        <v>493</v>
      </c>
      <c r="M8" s="1423"/>
      <c r="N8" s="1419"/>
      <c r="O8" s="1419"/>
      <c r="P8" s="2399"/>
      <c r="Q8" s="2399"/>
      <c r="R8" s="290">
        <v>1</v>
      </c>
      <c r="S8" s="1708" t="e">
        <f>$K8</f>
        <v>#N/A</v>
      </c>
      <c r="T8" s="1135"/>
      <c r="U8" s="234"/>
      <c r="V8" s="658"/>
      <c r="W8" s="259"/>
      <c r="X8" s="658"/>
      <c r="Y8" s="1045"/>
      <c r="Z8" s="2400"/>
      <c r="AA8" s="2276" t="s">
        <v>52</v>
      </c>
      <c r="AB8" s="2400"/>
      <c r="AC8" s="2276" t="s">
        <v>52</v>
      </c>
      <c r="AD8" s="658"/>
      <c r="AE8" s="259"/>
      <c r="AF8" s="658"/>
      <c r="AG8" s="1045"/>
      <c r="AH8" s="2400"/>
      <c r="AI8" s="2276" t="s">
        <v>52</v>
      </c>
      <c r="AJ8" s="2400"/>
      <c r="AK8" s="2276" t="s">
        <v>52</v>
      </c>
      <c r="AL8" s="259"/>
      <c r="AM8" s="2418" t="s">
        <v>494</v>
      </c>
      <c r="AN8" s="1424" t="e">
        <f ca="1">STRCHECKDATE(V9:AL9)</f>
        <v>#NAME?</v>
      </c>
      <c r="AO8" s="1412"/>
      <c r="AP8" s="1412" t="str">
        <f t="shared" si="0"/>
        <v/>
      </c>
      <c r="AQ8" s="1412"/>
      <c r="AR8" s="1412"/>
      <c r="AS8" s="1419">
        <v>0</v>
      </c>
    </row>
    <row r="9" spans="1:45" ht="0.75" hidden="1" customHeight="1">
      <c r="A9" s="1055"/>
      <c r="B9" s="1055"/>
      <c r="C9" s="1055"/>
      <c r="D9" s="1055"/>
      <c r="E9" s="2422"/>
      <c r="F9" s="2422"/>
      <c r="G9" s="2422"/>
      <c r="H9" s="2422"/>
      <c r="I9" s="2247"/>
      <c r="J9" s="2247"/>
      <c r="K9" s="2266"/>
      <c r="L9" s="1098"/>
      <c r="M9" s="1423"/>
      <c r="N9" s="1419"/>
      <c r="O9" s="1419"/>
      <c r="P9" s="2399"/>
      <c r="Q9" s="2399"/>
      <c r="R9" s="290"/>
      <c r="S9" s="1717"/>
      <c r="T9" s="234"/>
      <c r="U9" s="234"/>
      <c r="V9" s="259"/>
      <c r="W9" s="259"/>
      <c r="X9" s="259"/>
      <c r="Y9" s="262" t="str">
        <f>Z8&amp;"-"&amp;AB8</f>
        <v>-</v>
      </c>
      <c r="Z9" s="2401"/>
      <c r="AA9" s="2276"/>
      <c r="AB9" s="2401"/>
      <c r="AC9" s="2276"/>
      <c r="AD9" s="259"/>
      <c r="AE9" s="259"/>
      <c r="AF9" s="259"/>
      <c r="AG9" s="262" t="str">
        <f>AH8&amp;"-"&amp;AJ8</f>
        <v>-</v>
      </c>
      <c r="AH9" s="2401"/>
      <c r="AI9" s="2276"/>
      <c r="AJ9" s="2401"/>
      <c r="AK9" s="2276"/>
      <c r="AL9" s="259"/>
      <c r="AM9" s="2419"/>
      <c r="AO9" s="1412"/>
      <c r="AP9" s="1412" t="str">
        <f t="shared" si="0"/>
        <v/>
      </c>
      <c r="AQ9" s="1412"/>
      <c r="AR9" s="1412"/>
      <c r="AS9" s="1419">
        <v>0</v>
      </c>
    </row>
    <row r="10" spans="1:45" ht="15" hidden="1" customHeight="1">
      <c r="A10" s="1055"/>
      <c r="B10" s="1055"/>
      <c r="C10" s="1055"/>
      <c r="D10" s="1055"/>
      <c r="E10" s="2422"/>
      <c r="F10" s="2422"/>
      <c r="G10" s="2422"/>
      <c r="H10" s="2422"/>
      <c r="I10" s="2247"/>
      <c r="J10" s="2266"/>
      <c r="K10" s="1055"/>
      <c r="L10" s="1098"/>
      <c r="M10" s="1423"/>
      <c r="N10" s="1419"/>
      <c r="P10" s="2399"/>
      <c r="Q10" s="2399"/>
      <c r="R10" s="289"/>
      <c r="S10" s="1066"/>
      <c r="T10" s="222" t="s">
        <v>495</v>
      </c>
      <c r="U10" s="531"/>
      <c r="V10" s="531"/>
      <c r="W10" s="531"/>
      <c r="X10" s="531"/>
      <c r="Y10" s="531"/>
      <c r="Z10" s="531"/>
      <c r="AA10" s="531"/>
      <c r="AB10" s="531"/>
      <c r="AC10" s="531"/>
      <c r="AD10" s="531"/>
      <c r="AE10" s="531"/>
      <c r="AF10" s="531"/>
      <c r="AG10" s="531"/>
      <c r="AH10" s="531"/>
      <c r="AI10" s="531"/>
      <c r="AJ10" s="531"/>
      <c r="AK10" s="531"/>
      <c r="AL10" s="258"/>
      <c r="AM10" s="2420"/>
      <c r="AO10" s="1412"/>
      <c r="AP10" s="1412" t="str">
        <f t="shared" si="0"/>
        <v>Добавить вид теплоносителя (параметры теплоносителя)</v>
      </c>
      <c r="AQ10" s="1412"/>
      <c r="AR10" s="1412"/>
      <c r="AS10" s="1419">
        <v>0</v>
      </c>
    </row>
    <row r="11" spans="1:45" ht="15" hidden="1" customHeight="1">
      <c r="A11" s="1055"/>
      <c r="B11" s="1055"/>
      <c r="C11" s="1055"/>
      <c r="D11" s="1055"/>
      <c r="E11" s="2422"/>
      <c r="F11" s="2422"/>
      <c r="G11" s="2422"/>
      <c r="H11" s="2422"/>
      <c r="I11" s="2266"/>
      <c r="J11" s="1055"/>
      <c r="K11" s="1055"/>
      <c r="L11" s="1098"/>
      <c r="M11" s="1423"/>
      <c r="P11" s="2399"/>
      <c r="Q11" s="1704"/>
      <c r="R11" s="289"/>
      <c r="S11" s="1066"/>
      <c r="T11" s="221" t="s">
        <v>496</v>
      </c>
      <c r="U11" s="531"/>
      <c r="V11" s="531"/>
      <c r="W11" s="531"/>
      <c r="X11" s="531"/>
      <c r="Y11" s="531"/>
      <c r="Z11" s="531"/>
      <c r="AA11" s="531"/>
      <c r="AB11" s="531"/>
      <c r="AC11" s="299"/>
      <c r="AD11" s="531"/>
      <c r="AE11" s="531"/>
      <c r="AF11" s="531"/>
      <c r="AG11" s="531"/>
      <c r="AH11" s="531"/>
      <c r="AI11" s="531"/>
      <c r="AJ11" s="531"/>
      <c r="AK11" s="299"/>
      <c r="AL11" s="531"/>
      <c r="AM11" s="237"/>
      <c r="AO11" s="1412"/>
      <c r="AP11" s="1412" t="str">
        <f t="shared" si="0"/>
        <v>Добавить группу потребителей</v>
      </c>
      <c r="AQ11" s="1412"/>
      <c r="AR11" s="1412"/>
      <c r="AS11" s="1419">
        <v>0</v>
      </c>
    </row>
    <row r="12" spans="1:45" ht="14.25" hidden="1" customHeight="1">
      <c r="A12" s="1055"/>
      <c r="B12" s="1055"/>
      <c r="C12" s="1055"/>
      <c r="D12" s="1055"/>
      <c r="E12" s="2422"/>
      <c r="F12" s="2422"/>
      <c r="G12" s="2422"/>
      <c r="H12" s="2421"/>
      <c r="I12" s="1055"/>
      <c r="J12" s="1055"/>
      <c r="K12" s="1055"/>
      <c r="L12" s="1098"/>
      <c r="M12" s="1398"/>
      <c r="N12" s="1398"/>
      <c r="O12" s="1423"/>
      <c r="P12" s="293"/>
      <c r="Q12" s="308"/>
      <c r="R12" s="288"/>
      <c r="S12" s="1066"/>
      <c r="T12" s="298" t="s">
        <v>497</v>
      </c>
      <c r="U12" s="531"/>
      <c r="V12" s="531"/>
      <c r="W12" s="531"/>
      <c r="X12" s="531"/>
      <c r="Y12" s="531"/>
      <c r="Z12" s="531"/>
      <c r="AA12" s="531"/>
      <c r="AB12" s="531"/>
      <c r="AC12" s="299"/>
      <c r="AD12" s="531"/>
      <c r="AE12" s="531"/>
      <c r="AF12" s="531"/>
      <c r="AG12" s="531"/>
      <c r="AH12" s="531"/>
      <c r="AI12" s="531"/>
      <c r="AJ12" s="531"/>
      <c r="AK12" s="299"/>
      <c r="AL12" s="531"/>
      <c r="AM12" s="237"/>
      <c r="AO12" s="1412"/>
      <c r="AP12" s="1412" t="str">
        <f t="shared" si="0"/>
        <v>Добавить схему подключения</v>
      </c>
      <c r="AQ12" s="1412"/>
      <c r="AR12" s="1412"/>
      <c r="AS12" s="1419">
        <v>0</v>
      </c>
    </row>
    <row r="13" spans="1:45" s="1430" customFormat="1" ht="0.75" hidden="1" customHeight="1">
      <c r="A13" s="1724"/>
      <c r="B13" s="1724"/>
      <c r="C13" s="1724"/>
      <c r="D13" s="1724"/>
      <c r="E13" s="2422"/>
      <c r="F13" s="2422"/>
      <c r="G13" s="2421"/>
      <c r="H13" s="1724"/>
      <c r="I13" s="1724"/>
      <c r="J13" s="1724"/>
      <c r="K13" s="1724"/>
      <c r="L13" s="1168"/>
      <c r="M13" s="1398"/>
      <c r="N13" s="1398"/>
      <c r="O13" s="1423"/>
      <c r="P13" s="1104"/>
      <c r="Q13" s="1105"/>
      <c r="R13" s="1104"/>
      <c r="S13" s="1106"/>
      <c r="T13" s="1107" t="s">
        <v>498</v>
      </c>
      <c r="U13" s="1108"/>
      <c r="V13" s="1108"/>
      <c r="W13" s="1108"/>
      <c r="X13" s="1108"/>
      <c r="Y13" s="1108"/>
      <c r="Z13" s="1108"/>
      <c r="AA13" s="1108"/>
      <c r="AB13" s="1108"/>
      <c r="AC13" s="1108"/>
      <c r="AD13" s="1108"/>
      <c r="AE13" s="1108"/>
      <c r="AF13" s="1108"/>
      <c r="AG13" s="1108"/>
      <c r="AH13" s="1108"/>
      <c r="AI13" s="1108"/>
      <c r="AJ13" s="1108"/>
      <c r="AK13" s="1108"/>
      <c r="AL13" s="1108"/>
      <c r="AM13" s="1108"/>
      <c r="AO13" s="1039"/>
      <c r="AP13" s="1039" t="str">
        <f t="shared" si="0"/>
        <v>Добавить источник для дифференциации</v>
      </c>
      <c r="AQ13" s="1039"/>
      <c r="AR13" s="1039"/>
      <c r="AS13" s="1430">
        <v>0</v>
      </c>
    </row>
    <row r="14" spans="1:45" s="1430" customFormat="1" ht="0.75" hidden="1" customHeight="1">
      <c r="A14" s="1724"/>
      <c r="B14" s="1724"/>
      <c r="C14" s="1724"/>
      <c r="D14" s="1724"/>
      <c r="E14" s="2422"/>
      <c r="F14" s="2421"/>
      <c r="G14" s="1724"/>
      <c r="H14" s="1724"/>
      <c r="I14" s="1724"/>
      <c r="J14" s="1724"/>
      <c r="K14" s="1724"/>
      <c r="L14" s="1168"/>
      <c r="M14" s="1725"/>
      <c r="N14" s="1725"/>
      <c r="O14" s="1423"/>
      <c r="P14" s="1104"/>
      <c r="Q14" s="1105"/>
      <c r="R14" s="1104"/>
      <c r="S14" s="1110"/>
      <c r="T14" s="1111" t="s">
        <v>499</v>
      </c>
      <c r="U14" s="1112"/>
      <c r="V14" s="1112"/>
      <c r="W14" s="1112"/>
      <c r="X14" s="1112"/>
      <c r="Y14" s="1112"/>
      <c r="Z14" s="1112"/>
      <c r="AA14" s="1112"/>
      <c r="AB14" s="1112"/>
      <c r="AC14" s="1112"/>
      <c r="AD14" s="1112"/>
      <c r="AE14" s="1112"/>
      <c r="AF14" s="1112"/>
      <c r="AG14" s="1112"/>
      <c r="AH14" s="1112"/>
      <c r="AI14" s="1112"/>
      <c r="AJ14" s="1112"/>
      <c r="AK14" s="1112"/>
      <c r="AL14" s="1112"/>
      <c r="AM14" s="1112"/>
      <c r="AO14" s="1039"/>
      <c r="AP14" s="1039" t="str">
        <f t="shared" si="0"/>
        <v>Добавить централизованную систему для дифференциации</v>
      </c>
      <c r="AQ14" s="1039"/>
      <c r="AR14" s="1039"/>
      <c r="AS14" s="1430">
        <v>0</v>
      </c>
    </row>
    <row r="15" spans="1:45" s="1430" customFormat="1" ht="0.75" hidden="1" customHeight="1">
      <c r="A15" s="1724"/>
      <c r="B15" s="1724"/>
      <c r="C15" s="1724"/>
      <c r="D15" s="1724"/>
      <c r="E15" s="2421"/>
      <c r="F15" s="1724"/>
      <c r="G15" s="1724"/>
      <c r="H15" s="1724"/>
      <c r="I15" s="1724"/>
      <c r="J15" s="1724"/>
      <c r="K15" s="1724"/>
      <c r="L15" s="1168"/>
      <c r="M15" s="1725"/>
      <c r="N15" s="1725"/>
      <c r="O15" s="1423"/>
      <c r="P15" s="1104"/>
      <c r="Q15" s="1105"/>
      <c r="R15" s="1104"/>
      <c r="S15" s="1110"/>
      <c r="T15" s="1113" t="s">
        <v>500</v>
      </c>
      <c r="U15" s="1112"/>
      <c r="V15" s="1112"/>
      <c r="W15" s="1112"/>
      <c r="X15" s="1112"/>
      <c r="Y15" s="1112"/>
      <c r="Z15" s="1112"/>
      <c r="AA15" s="1112"/>
      <c r="AB15" s="1112"/>
      <c r="AC15" s="1112"/>
      <c r="AD15" s="1112"/>
      <c r="AE15" s="1112"/>
      <c r="AF15" s="1112"/>
      <c r="AG15" s="1112"/>
      <c r="AH15" s="1112"/>
      <c r="AI15" s="1112"/>
      <c r="AJ15" s="1112"/>
      <c r="AK15" s="1112"/>
      <c r="AL15" s="1112"/>
      <c r="AM15" s="1112"/>
      <c r="AO15" s="1039"/>
      <c r="AP15" s="1039" t="str">
        <f t="shared" si="0"/>
        <v>Добавить территорию для дифференциации</v>
      </c>
      <c r="AQ15" s="1039"/>
      <c r="AR15" s="1039"/>
      <c r="AS15" s="1430">
        <v>0</v>
      </c>
    </row>
    <row r="16" spans="1:45" ht="14.25" hidden="1" customHeight="1">
      <c r="AS16" s="1419">
        <v>0</v>
      </c>
    </row>
    <row r="17" spans="1:45" ht="14.25" hidden="1" customHeight="1">
      <c r="AD17" s="1148"/>
      <c r="AE17" s="1148"/>
      <c r="AF17" s="1148"/>
      <c r="AG17" s="1149"/>
      <c r="AH17" s="2393"/>
      <c r="AI17" s="2392" t="s">
        <v>52</v>
      </c>
      <c r="AJ17" s="2393"/>
      <c r="AK17" s="2392" t="s">
        <v>52</v>
      </c>
      <c r="AS17" s="1419">
        <v>0</v>
      </c>
    </row>
    <row r="18" spans="1:45" ht="14.25" hidden="1" customHeight="1">
      <c r="AD18" s="1148"/>
      <c r="AE18" s="1148"/>
      <c r="AF18" s="1148"/>
      <c r="AG18" s="262" t="str">
        <f>AH17&amp;"-"&amp;AJ17</f>
        <v>-</v>
      </c>
      <c r="AH18" s="2392"/>
      <c r="AI18" s="2392"/>
      <c r="AJ18" s="2392"/>
      <c r="AK18" s="2392"/>
      <c r="AS18" s="1419">
        <v>0</v>
      </c>
    </row>
    <row r="19" spans="1:45" ht="14.25" hidden="1" customHeight="1">
      <c r="AS19" s="1419">
        <v>0</v>
      </c>
    </row>
    <row r="20" spans="1:45" s="1154" customFormat="1" ht="22.5" hidden="1" customHeight="1">
      <c r="A20" s="1419"/>
      <c r="B20" s="1419"/>
      <c r="C20" s="1419"/>
      <c r="D20" s="1419"/>
      <c r="E20" s="1419"/>
      <c r="F20" s="1419"/>
      <c r="G20" s="1419"/>
      <c r="H20" s="1419"/>
      <c r="I20" s="1419"/>
      <c r="J20" s="1419"/>
      <c r="K20" s="1419"/>
      <c r="L20" s="1689"/>
      <c r="M20" s="1715"/>
      <c r="N20" s="1715"/>
      <c r="O20" s="1133" t="s">
        <v>501</v>
      </c>
      <c r="P20" s="1150"/>
      <c r="Q20" s="1159"/>
      <c r="R20" s="1159"/>
      <c r="S20" s="640"/>
      <c r="Z20" s="1155"/>
      <c r="AB20" s="1155"/>
      <c r="AH20" s="1155"/>
      <c r="AJ20" s="1155"/>
      <c r="AN20" s="1424"/>
      <c r="AO20" s="1424"/>
      <c r="AP20" s="1424"/>
      <c r="AQ20" s="1424"/>
      <c r="AR20" s="1424"/>
      <c r="AS20" s="1154">
        <v>0</v>
      </c>
    </row>
    <row r="21" spans="1:45" s="1154" customFormat="1" ht="14.25" hidden="1" customHeight="1">
      <c r="A21" s="1419"/>
      <c r="B21" s="1419"/>
      <c r="C21" s="1419"/>
      <c r="D21" s="1419"/>
      <c r="E21" s="1419"/>
      <c r="F21" s="1419"/>
      <c r="G21" s="1419"/>
      <c r="H21" s="1419"/>
      <c r="I21" s="1419"/>
      <c r="J21" s="1419"/>
      <c r="K21" s="1419"/>
      <c r="L21" s="1689"/>
      <c r="M21" s="1715"/>
      <c r="N21" s="1715"/>
      <c r="O21" s="1715"/>
      <c r="P21" s="1150"/>
      <c r="Q21" s="1159"/>
      <c r="R21" s="1159"/>
      <c r="S21" s="640"/>
      <c r="AN21" s="1424"/>
      <c r="AO21" s="1424"/>
      <c r="AP21" s="1424"/>
      <c r="AQ21" s="1424"/>
      <c r="AR21" s="1424"/>
      <c r="AS21" s="1154">
        <v>0</v>
      </c>
    </row>
    <row r="22" spans="1:45" s="1154" customFormat="1" ht="14.25" hidden="1" customHeight="1">
      <c r="A22" s="1419"/>
      <c r="B22" s="1419"/>
      <c r="C22" s="1419"/>
      <c r="D22" s="1419"/>
      <c r="E22" s="1419"/>
      <c r="F22" s="1419"/>
      <c r="G22" s="1419"/>
      <c r="H22" s="1419"/>
      <c r="I22" s="1419"/>
      <c r="J22" s="1419"/>
      <c r="K22" s="1419"/>
      <c r="L22" s="1689"/>
      <c r="M22" s="1715"/>
      <c r="N22" s="1715"/>
      <c r="O22" s="1098" t="s">
        <v>502</v>
      </c>
      <c r="P22" s="1150"/>
      <c r="Q22" s="1159"/>
      <c r="R22" s="1159"/>
      <c r="S22" s="640"/>
      <c r="T22" s="1154" t="s">
        <v>503</v>
      </c>
      <c r="AA22" s="526" t="s">
        <v>504</v>
      </c>
      <c r="AC22" s="526" t="s">
        <v>505</v>
      </c>
      <c r="AD22" s="1154" t="s">
        <v>503</v>
      </c>
      <c r="AI22" s="526" t="s">
        <v>506</v>
      </c>
      <c r="AK22" s="526" t="s">
        <v>505</v>
      </c>
      <c r="AN22" s="1424"/>
      <c r="AO22" s="1424"/>
      <c r="AP22" s="1424"/>
      <c r="AQ22" s="1424"/>
      <c r="AR22" s="1424"/>
      <c r="AS22" s="1154">
        <v>0</v>
      </c>
    </row>
    <row r="23" spans="1:45" ht="14.25" hidden="1" customHeight="1">
      <c r="O23" s="1098"/>
      <c r="AS23" s="1419">
        <v>0</v>
      </c>
    </row>
    <row r="24" spans="1:45" ht="14.25" hidden="1" customHeight="1">
      <c r="O24" s="1098"/>
      <c r="AS24" s="1419">
        <v>0</v>
      </c>
    </row>
    <row r="25" spans="1:45" ht="14.65" customHeight="1">
      <c r="Q25" s="309"/>
      <c r="R25" s="309"/>
      <c r="S25" s="1063"/>
      <c r="T25" s="390"/>
      <c r="U25" s="390"/>
      <c r="AS25" s="1419">
        <v>14</v>
      </c>
    </row>
    <row r="26" spans="1:45" ht="14.65" customHeight="1">
      <c r="Q26" s="309"/>
      <c r="R26" s="309"/>
      <c r="S26" s="23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76"/>
      <c r="U26" s="2376"/>
      <c r="V26" s="2376"/>
      <c r="W26" s="2376"/>
      <c r="X26" s="2376"/>
      <c r="Y26" s="2376"/>
      <c r="Z26" s="2376"/>
      <c r="AA26" s="2376"/>
      <c r="AB26" s="2376"/>
      <c r="AC26" s="2376"/>
      <c r="AD26" s="2376"/>
      <c r="AE26" s="2376"/>
      <c r="AF26" s="2376"/>
      <c r="AG26" s="2376"/>
      <c r="AH26" s="2376"/>
      <c r="AI26" s="2376"/>
      <c r="AJ26" s="2376"/>
      <c r="AK26" s="1031"/>
      <c r="AS26" s="1419">
        <v>14</v>
      </c>
    </row>
    <row r="27" spans="1:45" ht="14.65" customHeight="1">
      <c r="Q27" s="309"/>
      <c r="R27" s="309"/>
      <c r="S27" s="2349" t="str">
        <f>IF(org=0,"Не определено",org)</f>
        <v>ООО "Смоленскрегионтеплоэнерго"</v>
      </c>
      <c r="T27" s="2349"/>
      <c r="U27" s="2349"/>
      <c r="V27" s="2349"/>
      <c r="W27" s="2349"/>
      <c r="X27" s="2349"/>
      <c r="Y27" s="2349"/>
      <c r="Z27" s="2349"/>
      <c r="AA27" s="2349"/>
      <c r="AB27" s="2349"/>
      <c r="AC27" s="2349"/>
      <c r="AD27" s="2349"/>
      <c r="AE27" s="2349"/>
      <c r="AF27" s="2349"/>
      <c r="AG27" s="2349"/>
      <c r="AH27" s="2349"/>
      <c r="AI27" s="2349"/>
      <c r="AJ27" s="2349"/>
      <c r="AK27" s="1031"/>
      <c r="AS27" s="1419">
        <v>14</v>
      </c>
    </row>
    <row r="28" spans="1:45" ht="14.25" hidden="1" customHeight="1">
      <c r="Q28" s="309"/>
      <c r="R28" s="309"/>
      <c r="S28" s="1063"/>
      <c r="T28" s="390"/>
      <c r="U28" s="390"/>
      <c r="V28" s="256"/>
      <c r="W28" s="256"/>
      <c r="X28" s="256"/>
      <c r="Y28" s="256"/>
      <c r="Z28" s="256"/>
      <c r="AA28" s="256"/>
      <c r="AB28" s="256"/>
      <c r="AC28" s="256"/>
      <c r="AD28" s="256"/>
      <c r="AE28" s="256"/>
      <c r="AF28" s="256"/>
      <c r="AG28" s="256"/>
      <c r="AH28" s="256"/>
      <c r="AI28" s="256"/>
      <c r="AJ28" s="256"/>
      <c r="AK28" s="256"/>
      <c r="AS28" s="1419">
        <v>0</v>
      </c>
    </row>
    <row r="29" spans="1:45" s="1609" customFormat="1" ht="25.5" hidden="1" customHeight="1">
      <c r="A29" s="1036"/>
      <c r="B29" s="1036"/>
      <c r="C29" s="1036"/>
      <c r="D29" s="1036"/>
      <c r="E29" s="1036"/>
      <c r="F29" s="1036"/>
      <c r="G29" s="1036"/>
      <c r="H29" s="1036"/>
      <c r="I29" s="1036"/>
      <c r="J29" s="1036"/>
      <c r="K29" s="1036"/>
      <c r="L29" s="1168"/>
      <c r="M29" s="1036"/>
      <c r="N29" s="1036"/>
      <c r="O29" s="1036"/>
      <c r="S29" s="2386" t="s">
        <v>28</v>
      </c>
      <c r="T29" s="2386"/>
      <c r="U29" s="1160"/>
      <c r="V29" s="2388" t="str">
        <f>IF(TITLE_NAME_OR_PR_CHANGE="",IF(TITLE_NAME_OR_PR="","",TITLE_NAME_OR_PR),TITLE_NAME_OR_PR_CHANGE)</f>
        <v/>
      </c>
      <c r="W29" s="2388"/>
      <c r="X29" s="2388"/>
      <c r="Y29" s="2388"/>
      <c r="Z29" s="2388"/>
      <c r="AA29" s="2388"/>
      <c r="AB29" s="2388"/>
      <c r="AC29" s="1423"/>
      <c r="AD29" s="2388" t="str">
        <f>IF(TITLE_NAME_OR_PR_CHANGE="",IF(TITLE_NAME_OR_PR="","",TITLE_NAME_OR_PR),TITLE_NAME_OR_PR_CHANGE)</f>
        <v/>
      </c>
      <c r="AE29" s="2388"/>
      <c r="AF29" s="2388"/>
      <c r="AG29" s="2388"/>
      <c r="AH29" s="2388"/>
      <c r="AI29" s="2388"/>
      <c r="AJ29" s="2388"/>
      <c r="AK29" s="1423"/>
      <c r="AL29" s="1423"/>
      <c r="AM29" s="214"/>
      <c r="AN29" s="301"/>
      <c r="AO29" s="301"/>
      <c r="AP29" s="301"/>
      <c r="AQ29" s="301"/>
      <c r="AR29" s="301"/>
      <c r="AS29" s="351">
        <v>0</v>
      </c>
    </row>
    <row r="30" spans="1:45" s="1609" customFormat="1" ht="18.75" hidden="1" customHeight="1">
      <c r="A30" s="1036"/>
      <c r="B30" s="1036"/>
      <c r="C30" s="1036"/>
      <c r="D30" s="1036"/>
      <c r="E30" s="1036"/>
      <c r="F30" s="1036"/>
      <c r="G30" s="1036"/>
      <c r="H30" s="1036"/>
      <c r="I30" s="1036"/>
      <c r="J30" s="1036"/>
      <c r="K30" s="1036"/>
      <c r="L30" s="1168"/>
      <c r="M30" s="1036"/>
      <c r="N30" s="1036"/>
      <c r="O30" s="1036"/>
      <c r="S30" s="2386" t="s">
        <v>507</v>
      </c>
      <c r="T30" s="2386"/>
      <c r="U30" s="1160"/>
      <c r="V30" s="2387" t="str">
        <f>IF(TITLE_DATE_PR_CHANGE="",IF(TITLE_DATE_PR="","",TITLE_DATE_PR),TITLE_DATE_PR_CHANGE)</f>
        <v/>
      </c>
      <c r="W30" s="2387"/>
      <c r="X30" s="2387"/>
      <c r="Y30" s="2387"/>
      <c r="Z30" s="2387"/>
      <c r="AA30" s="2387"/>
      <c r="AB30" s="2387"/>
      <c r="AC30" s="1423"/>
      <c r="AD30" s="2387" t="str">
        <f>IF(TITLE_DATE_PR_CHANGE="",IF(TITLE_DATE_PR="","",TITLE_DATE_PR),TITLE_DATE_PR_CHANGE)</f>
        <v/>
      </c>
      <c r="AE30" s="2387"/>
      <c r="AF30" s="2387"/>
      <c r="AG30" s="2387"/>
      <c r="AH30" s="2387"/>
      <c r="AI30" s="2387"/>
      <c r="AJ30" s="2387"/>
      <c r="AK30" s="1423"/>
      <c r="AL30" s="1423"/>
      <c r="AM30" s="214"/>
      <c r="AN30" s="301"/>
      <c r="AO30" s="301"/>
      <c r="AP30" s="301"/>
      <c r="AQ30" s="301"/>
      <c r="AR30" s="301"/>
      <c r="AS30" s="351">
        <v>0</v>
      </c>
    </row>
    <row r="31" spans="1:45" s="1609" customFormat="1" ht="18.75" hidden="1" customHeight="1">
      <c r="A31" s="1036"/>
      <c r="B31" s="1036"/>
      <c r="C31" s="1036"/>
      <c r="D31" s="1036"/>
      <c r="E31" s="1036"/>
      <c r="F31" s="1036"/>
      <c r="G31" s="1036"/>
      <c r="H31" s="1036"/>
      <c r="I31" s="1036"/>
      <c r="J31" s="1036"/>
      <c r="K31" s="1036"/>
      <c r="L31" s="1168"/>
      <c r="M31" s="1036"/>
      <c r="N31" s="1036"/>
      <c r="O31" s="1036"/>
      <c r="S31" s="2386" t="s">
        <v>508</v>
      </c>
      <c r="T31" s="2386"/>
      <c r="U31" s="1160"/>
      <c r="V31" s="2388" t="str">
        <f>IF(TITLE_NUMBER_PR_CHANGE="",IF(TITLE_NUMBER_PR="","",TITLE_NUMBER_PR),TITLE_NUMBER_PR_CHANGE)</f>
        <v/>
      </c>
      <c r="W31" s="2388"/>
      <c r="X31" s="2388"/>
      <c r="Y31" s="2388"/>
      <c r="Z31" s="2388"/>
      <c r="AA31" s="2388"/>
      <c r="AB31" s="2388"/>
      <c r="AC31" s="1423"/>
      <c r="AD31" s="2388" t="str">
        <f>IF(TITLE_NUMBER_PR_CHANGE="",IF(TITLE_NUMBER_PR="","",TITLE_NUMBER_PR),TITLE_NUMBER_PR_CHANGE)</f>
        <v/>
      </c>
      <c r="AE31" s="2388"/>
      <c r="AF31" s="2388"/>
      <c r="AG31" s="2388"/>
      <c r="AH31" s="2388"/>
      <c r="AI31" s="2388"/>
      <c r="AJ31" s="2388"/>
      <c r="AK31" s="1423"/>
      <c r="AL31" s="1423"/>
      <c r="AM31" s="214"/>
      <c r="AN31" s="301"/>
      <c r="AO31" s="301"/>
      <c r="AP31" s="301"/>
      <c r="AQ31" s="301"/>
      <c r="AR31" s="301"/>
      <c r="AS31" s="351">
        <v>0</v>
      </c>
    </row>
    <row r="32" spans="1:45" s="1609" customFormat="1" ht="18.75" hidden="1" customHeight="1">
      <c r="A32" s="1036"/>
      <c r="B32" s="1036"/>
      <c r="C32" s="1036"/>
      <c r="D32" s="1036"/>
      <c r="E32" s="1036"/>
      <c r="F32" s="1036"/>
      <c r="G32" s="1036"/>
      <c r="H32" s="1036"/>
      <c r="I32" s="1036"/>
      <c r="J32" s="1036"/>
      <c r="K32" s="1036"/>
      <c r="L32" s="1168"/>
      <c r="M32" s="1036"/>
      <c r="N32" s="1036"/>
      <c r="O32" s="1036"/>
      <c r="S32" s="2386" t="s">
        <v>29</v>
      </c>
      <c r="T32" s="2386"/>
      <c r="U32" s="1160"/>
      <c r="V32" s="2388" t="str">
        <f>IF(TITLE_IST_PUB_CHANGE="",IF(TITLE_IST_PUB="","",TITLE_IST_PUB),TITLE_IST_PUB_CHANGE)</f>
        <v/>
      </c>
      <c r="W32" s="2388"/>
      <c r="X32" s="2388"/>
      <c r="Y32" s="2388"/>
      <c r="Z32" s="2388"/>
      <c r="AA32" s="2388"/>
      <c r="AB32" s="2388"/>
      <c r="AC32" s="1423"/>
      <c r="AD32" s="2388" t="str">
        <f>IF(TITLE_IST_PUB_CHANGE="",IF(TITLE_IST_PUB="","",TITLE_IST_PUB),TITLE_IST_PUB_CHANGE)</f>
        <v/>
      </c>
      <c r="AE32" s="2388"/>
      <c r="AF32" s="2388"/>
      <c r="AG32" s="2388"/>
      <c r="AH32" s="2388"/>
      <c r="AI32" s="2388"/>
      <c r="AJ32" s="2388"/>
      <c r="AK32" s="1423"/>
      <c r="AL32" s="1423"/>
      <c r="AM32" s="214"/>
      <c r="AN32" s="301"/>
      <c r="AO32" s="301"/>
      <c r="AP32" s="301"/>
      <c r="AQ32" s="301"/>
      <c r="AR32" s="301"/>
      <c r="AS32" s="351">
        <v>0</v>
      </c>
    </row>
    <row r="33" spans="1:45" ht="14.25" hidden="1" customHeight="1">
      <c r="Q33" s="309"/>
      <c r="R33" s="309"/>
      <c r="S33" s="1063"/>
      <c r="T33" s="390"/>
      <c r="U33" s="390"/>
      <c r="V33" s="256"/>
      <c r="W33" s="256"/>
      <c r="X33" s="256"/>
      <c r="Y33" s="256"/>
      <c r="Z33" s="256"/>
      <c r="AA33" s="256"/>
      <c r="AB33" s="256"/>
      <c r="AC33" s="256"/>
      <c r="AD33" s="256"/>
      <c r="AE33" s="256"/>
      <c r="AF33" s="256"/>
      <c r="AG33" s="256"/>
      <c r="AH33" s="256"/>
      <c r="AI33" s="256"/>
      <c r="AJ33" s="256"/>
      <c r="AK33" s="256"/>
      <c r="AS33" s="1419">
        <v>0</v>
      </c>
    </row>
    <row r="34" spans="1:45" s="1609" customFormat="1" ht="18.75" hidden="1" customHeight="1">
      <c r="A34" s="1036"/>
      <c r="B34" s="1036"/>
      <c r="C34" s="1036"/>
      <c r="D34" s="1036"/>
      <c r="E34" s="1036"/>
      <c r="F34" s="1036"/>
      <c r="G34" s="1036"/>
      <c r="H34" s="1036"/>
      <c r="I34" s="1036"/>
      <c r="J34" s="1036"/>
      <c r="K34" s="1036"/>
      <c r="L34" s="1168"/>
      <c r="M34" s="1036"/>
      <c r="N34" s="1036"/>
      <c r="O34" s="1036"/>
      <c r="S34" s="2386" t="s">
        <v>509</v>
      </c>
      <c r="T34" s="2386"/>
      <c r="U34" s="1160"/>
      <c r="V34" s="2387" t="str">
        <f>IF(TITLE_DATE_PR_CHANGE="",IF(TITLE_DATE_PR="","",TITLE_DATE_PR),TITLE_DATE_PR_CHANGE)</f>
        <v/>
      </c>
      <c r="W34" s="2387"/>
      <c r="X34" s="2387"/>
      <c r="Y34" s="2387"/>
      <c r="Z34" s="2387"/>
      <c r="AA34" s="2387"/>
      <c r="AB34" s="2387"/>
      <c r="AC34" s="1423"/>
      <c r="AD34" s="2387" t="str">
        <f>IF(TITLE_DATE_PR_CHANGE="",IF(TITLE_DATE_PR="","",TITLE_DATE_PR),TITLE_DATE_PR_CHANGE)</f>
        <v/>
      </c>
      <c r="AE34" s="2387"/>
      <c r="AF34" s="2387"/>
      <c r="AG34" s="2387"/>
      <c r="AH34" s="2387"/>
      <c r="AI34" s="2387"/>
      <c r="AJ34" s="2387"/>
      <c r="AK34" s="1423"/>
      <c r="AL34" s="1423"/>
      <c r="AM34" s="214"/>
      <c r="AN34" s="301"/>
      <c r="AO34" s="301"/>
      <c r="AP34" s="301"/>
      <c r="AQ34" s="301"/>
      <c r="AR34" s="301"/>
      <c r="AS34" s="351">
        <v>0</v>
      </c>
    </row>
    <row r="35" spans="1:45" s="1609" customFormat="1" ht="18.75" hidden="1" customHeight="1">
      <c r="A35" s="1036"/>
      <c r="B35" s="1036"/>
      <c r="C35" s="1036"/>
      <c r="D35" s="1036"/>
      <c r="E35" s="1036"/>
      <c r="F35" s="1036"/>
      <c r="G35" s="1036"/>
      <c r="H35" s="1036"/>
      <c r="I35" s="1036"/>
      <c r="J35" s="1036"/>
      <c r="K35" s="1036"/>
      <c r="L35" s="1168"/>
      <c r="M35" s="1036"/>
      <c r="N35" s="1036"/>
      <c r="O35" s="1036"/>
      <c r="S35" s="2386" t="s">
        <v>510</v>
      </c>
      <c r="T35" s="2386"/>
      <c r="U35" s="1160"/>
      <c r="V35" s="2388" t="str">
        <f>IF(TITLE_NUMBER_PR_CHANGE="",IF(TITLE_NUMBER_PR="","",TITLE_NUMBER_PR),TITLE_NUMBER_PR_CHANGE)</f>
        <v/>
      </c>
      <c r="W35" s="2388"/>
      <c r="X35" s="2388"/>
      <c r="Y35" s="2388"/>
      <c r="Z35" s="2388"/>
      <c r="AA35" s="2388"/>
      <c r="AB35" s="2388"/>
      <c r="AC35" s="1423"/>
      <c r="AD35" s="2388" t="str">
        <f>IF(TITLE_NUMBER_PR_CHANGE="",IF(TITLE_NUMBER_PR="","",TITLE_NUMBER_PR),TITLE_NUMBER_PR_CHANGE)</f>
        <v/>
      </c>
      <c r="AE35" s="2388"/>
      <c r="AF35" s="2388"/>
      <c r="AG35" s="2388"/>
      <c r="AH35" s="2388"/>
      <c r="AI35" s="2388"/>
      <c r="AJ35" s="2388"/>
      <c r="AK35" s="1423"/>
      <c r="AL35" s="1423"/>
      <c r="AM35" s="214"/>
      <c r="AN35" s="301"/>
      <c r="AO35" s="301"/>
      <c r="AP35" s="301"/>
      <c r="AQ35" s="301"/>
      <c r="AR35" s="301"/>
      <c r="AS35" s="351">
        <v>0</v>
      </c>
    </row>
    <row r="36" spans="1:45" s="1609" customFormat="1" ht="0" hidden="1" customHeight="1">
      <c r="A36" s="1036"/>
      <c r="B36" s="1036"/>
      <c r="C36" s="1036"/>
      <c r="D36" s="1036"/>
      <c r="E36" s="1036"/>
      <c r="F36" s="1036"/>
      <c r="G36" s="1036"/>
      <c r="H36" s="1036"/>
      <c r="I36" s="1036"/>
      <c r="J36" s="1036"/>
      <c r="K36" s="1036"/>
      <c r="L36" s="1168"/>
      <c r="M36" s="1036"/>
      <c r="N36" s="1036"/>
      <c r="O36" s="1036"/>
      <c r="S36" s="1423"/>
      <c r="T36" s="1423"/>
      <c r="U36" s="1720"/>
      <c r="V36" s="1423"/>
      <c r="W36" s="1423"/>
      <c r="X36" s="1423"/>
      <c r="Y36" s="1423"/>
      <c r="Z36" s="1423"/>
      <c r="AA36" s="1423"/>
      <c r="AB36" s="1423"/>
      <c r="AC36" s="1430" t="s">
        <v>511</v>
      </c>
      <c r="AD36" s="1423"/>
      <c r="AE36" s="1423"/>
      <c r="AF36" s="1423"/>
      <c r="AG36" s="1423"/>
      <c r="AH36" s="1423"/>
      <c r="AI36" s="1423"/>
      <c r="AJ36" s="1423"/>
      <c r="AK36" s="1430" t="s">
        <v>511</v>
      </c>
      <c r="AN36" s="301"/>
      <c r="AO36" s="301"/>
      <c r="AP36" s="301"/>
      <c r="AQ36" s="301"/>
      <c r="AR36" s="301"/>
      <c r="AS36" s="351">
        <v>0</v>
      </c>
    </row>
    <row r="37" spans="1:45" ht="14.65" customHeight="1">
      <c r="Q37" s="309"/>
      <c r="R37" s="309"/>
      <c r="S37" s="1063"/>
      <c r="T37" s="390"/>
      <c r="U37" s="1032"/>
      <c r="V37" s="2407"/>
      <c r="W37" s="2407"/>
      <c r="X37" s="2407"/>
      <c r="Y37" s="2407"/>
      <c r="Z37" s="2407"/>
      <c r="AA37" s="2407"/>
      <c r="AB37" s="2407"/>
      <c r="AC37" s="2407"/>
      <c r="AD37" s="2407"/>
      <c r="AE37" s="2407"/>
      <c r="AF37" s="2407"/>
      <c r="AG37" s="2407"/>
      <c r="AH37" s="2407"/>
      <c r="AI37" s="2407"/>
      <c r="AJ37" s="2407"/>
      <c r="AK37" s="2407"/>
      <c r="AS37" s="1419">
        <v>14</v>
      </c>
    </row>
    <row r="38" spans="1:45" ht="14.65" customHeight="1">
      <c r="Q38" s="309"/>
      <c r="R38" s="309"/>
      <c r="S38" s="2266" t="s">
        <v>384</v>
      </c>
      <c r="T38" s="2266"/>
      <c r="U38" s="2266"/>
      <c r="V38" s="2266"/>
      <c r="W38" s="2266"/>
      <c r="X38" s="2266"/>
      <c r="Y38" s="2266"/>
      <c r="Z38" s="2266"/>
      <c r="AA38" s="2266"/>
      <c r="AB38" s="2266"/>
      <c r="AC38" s="2266"/>
      <c r="AD38" s="2266"/>
      <c r="AE38" s="2266"/>
      <c r="AF38" s="2266"/>
      <c r="AG38" s="2266"/>
      <c r="AH38" s="2266"/>
      <c r="AI38" s="2266"/>
      <c r="AJ38" s="2266"/>
      <c r="AK38" s="2266"/>
      <c r="AL38" s="2266"/>
      <c r="AM38" s="2266" t="s">
        <v>385</v>
      </c>
      <c r="AS38" s="1419">
        <v>14</v>
      </c>
    </row>
    <row r="39" spans="1:45" ht="14.65" customHeight="1">
      <c r="Q39" s="309"/>
      <c r="R39" s="309"/>
      <c r="S39" s="2408" t="s">
        <v>75</v>
      </c>
      <c r="T39" s="2357" t="s">
        <v>512</v>
      </c>
      <c r="U39" s="271"/>
      <c r="V39" s="2409" t="s">
        <v>513</v>
      </c>
      <c r="W39" s="2410"/>
      <c r="X39" s="2410"/>
      <c r="Y39" s="2410"/>
      <c r="Z39" s="2410"/>
      <c r="AA39" s="2410"/>
      <c r="AB39" s="2411"/>
      <c r="AC39" s="2412" t="s">
        <v>514</v>
      </c>
      <c r="AD39" s="2409" t="s">
        <v>513</v>
      </c>
      <c r="AE39" s="2410"/>
      <c r="AF39" s="2410"/>
      <c r="AG39" s="2410"/>
      <c r="AH39" s="2410"/>
      <c r="AI39" s="2410"/>
      <c r="AJ39" s="2411"/>
      <c r="AK39" s="2412" t="s">
        <v>515</v>
      </c>
      <c r="AL39" s="2415" t="s">
        <v>516</v>
      </c>
      <c r="AM39" s="2266"/>
      <c r="AS39" s="1419">
        <v>14</v>
      </c>
    </row>
    <row r="40" spans="1:45" ht="35.65" customHeight="1">
      <c r="Q40" s="309"/>
      <c r="R40" s="309"/>
      <c r="S40" s="2408"/>
      <c r="T40" s="2357"/>
      <c r="U40" s="874"/>
      <c r="V40" s="2327" t="s">
        <v>517</v>
      </c>
      <c r="W40" s="2404" t="s">
        <v>518</v>
      </c>
      <c r="X40" s="2247" t="s">
        <v>519</v>
      </c>
      <c r="Y40" s="2246"/>
      <c r="Z40" s="2247" t="s">
        <v>533</v>
      </c>
      <c r="AA40" s="2252"/>
      <c r="AB40" s="2246"/>
      <c r="AC40" s="2413"/>
      <c r="AD40" s="2327" t="s">
        <v>517</v>
      </c>
      <c r="AE40" s="2404" t="s">
        <v>518</v>
      </c>
      <c r="AF40" s="2247" t="s">
        <v>519</v>
      </c>
      <c r="AG40" s="2246"/>
      <c r="AH40" s="2247" t="s">
        <v>520</v>
      </c>
      <c r="AI40" s="2252"/>
      <c r="AJ40" s="2246"/>
      <c r="AK40" s="2413"/>
      <c r="AL40" s="2416"/>
      <c r="AM40" s="2266"/>
      <c r="AS40" s="1419">
        <v>34</v>
      </c>
    </row>
    <row r="41" spans="1:45" ht="35.65" customHeight="1">
      <c r="A41" s="1054"/>
      <c r="B41" s="1054" t="s">
        <v>226</v>
      </c>
      <c r="C41" s="1054" t="s">
        <v>227</v>
      </c>
      <c r="D41" s="1054" t="s">
        <v>228</v>
      </c>
      <c r="E41" s="1098" t="s">
        <v>521</v>
      </c>
      <c r="F41" s="1098" t="s">
        <v>522</v>
      </c>
      <c r="G41" s="1098" t="s">
        <v>523</v>
      </c>
      <c r="H41" s="1098" t="s">
        <v>524</v>
      </c>
      <c r="I41" s="1098" t="s">
        <v>525</v>
      </c>
      <c r="J41" s="1098" t="s">
        <v>526</v>
      </c>
      <c r="K41" s="1098" t="s">
        <v>527</v>
      </c>
      <c r="L41" s="1098" t="s">
        <v>502</v>
      </c>
      <c r="Q41" s="309"/>
      <c r="R41" s="309"/>
      <c r="S41" s="2408"/>
      <c r="T41" s="2357"/>
      <c r="U41" s="236"/>
      <c r="V41" s="2381"/>
      <c r="W41" s="2405"/>
      <c r="X41" s="1688" t="s">
        <v>528</v>
      </c>
      <c r="Y41" s="1688" t="s">
        <v>529</v>
      </c>
      <c r="Z41" s="1688" t="s">
        <v>530</v>
      </c>
      <c r="AA41" s="2362" t="s">
        <v>531</v>
      </c>
      <c r="AB41" s="2375"/>
      <c r="AC41" s="2414"/>
      <c r="AD41" s="2381"/>
      <c r="AE41" s="2405"/>
      <c r="AF41" s="1688" t="s">
        <v>528</v>
      </c>
      <c r="AG41" s="1688" t="s">
        <v>529</v>
      </c>
      <c r="AH41" s="1688" t="s">
        <v>530</v>
      </c>
      <c r="AI41" s="2362" t="s">
        <v>531</v>
      </c>
      <c r="AJ41" s="2375"/>
      <c r="AK41" s="2414"/>
      <c r="AL41" s="2417"/>
      <c r="AM41" s="2266"/>
      <c r="AS41" s="1419">
        <v>34</v>
      </c>
    </row>
    <row r="42" spans="1:45" s="1429" customFormat="1" ht="11.25" hidden="1" customHeight="1">
      <c r="A42" s="1054"/>
      <c r="B42" s="1054"/>
      <c r="C42" s="1054"/>
      <c r="D42" s="1054"/>
      <c r="E42" s="1054"/>
      <c r="F42" s="1054"/>
      <c r="G42" s="1054"/>
      <c r="H42" s="1054"/>
      <c r="I42" s="1054"/>
      <c r="J42" s="1054"/>
      <c r="K42" s="1054"/>
      <c r="L42" s="1098"/>
      <c r="M42" s="1715"/>
      <c r="N42" s="1715"/>
      <c r="O42" s="1715"/>
      <c r="P42" s="1034"/>
      <c r="Q42" s="1035"/>
      <c r="R42" s="1042">
        <v>1</v>
      </c>
      <c r="S42" s="1065" t="s">
        <v>161</v>
      </c>
      <c r="T42" s="1043" t="s">
        <v>89</v>
      </c>
      <c r="U42" s="1033" t="str">
        <f ca="1">OFFSET(U42,0,-1)</f>
        <v>2</v>
      </c>
      <c r="V42" s="1706">
        <f ca="1">OFFSET(V42,0,-1)+1</f>
        <v>3</v>
      </c>
      <c r="W42" s="1706"/>
      <c r="X42" s="1706">
        <f ca="1">OFFSET(X42,0,-1)+1</f>
        <v>1</v>
      </c>
      <c r="Y42" s="1706">
        <f ca="1">OFFSET(Y42,0,-1)+1</f>
        <v>2</v>
      </c>
      <c r="Z42" s="1706">
        <f ca="1">OFFSET(Z42,0,-1)+1</f>
        <v>3</v>
      </c>
      <c r="AA42" s="2406">
        <f ca="1">OFFSET(AA42,0,-1)+1</f>
        <v>4</v>
      </c>
      <c r="AB42" s="2406"/>
      <c r="AC42" s="1706">
        <f ca="1">OFFSET(AC42,0,-2)+1</f>
        <v>5</v>
      </c>
      <c r="AD42" s="1706">
        <f ca="1">OFFSET(AD42,0,-1)+1</f>
        <v>6</v>
      </c>
      <c r="AE42" s="1706"/>
      <c r="AF42" s="1706">
        <f ca="1">OFFSET(AF42,0,-1)+1</f>
        <v>1</v>
      </c>
      <c r="AG42" s="1706">
        <f ca="1">OFFSET(AG42,0,-1)+1</f>
        <v>2</v>
      </c>
      <c r="AH42" s="1706">
        <f ca="1">OFFSET(AH42,0,-1)+1</f>
        <v>3</v>
      </c>
      <c r="AI42" s="2406">
        <f ca="1">OFFSET(AI42,0,-1)+1</f>
        <v>4</v>
      </c>
      <c r="AJ42" s="2406"/>
      <c r="AK42" s="1706">
        <f ca="1">OFFSET(AK42,0,-2)+1</f>
        <v>5</v>
      </c>
      <c r="AL42" s="1033">
        <f ca="1">OFFSET(AL42,0,-1)</f>
        <v>5</v>
      </c>
      <c r="AM42" s="1706">
        <f ca="1">OFFSET(AM42,0,-1)+1</f>
        <v>6</v>
      </c>
      <c r="AN42" s="1424"/>
      <c r="AO42" s="1424"/>
      <c r="AP42" s="1424"/>
      <c r="AQ42" s="1424"/>
      <c r="AR42" s="1424"/>
      <c r="AS42" s="1429">
        <v>0</v>
      </c>
    </row>
    <row r="43" spans="1:45" ht="21.95" customHeight="1">
      <c r="A43" s="1055" t="s">
        <v>296</v>
      </c>
      <c r="B43" s="1055"/>
      <c r="C43" s="1055"/>
      <c r="D43" s="1055"/>
      <c r="E43" s="2421">
        <v>1</v>
      </c>
      <c r="F43" s="1055"/>
      <c r="G43" s="1055"/>
      <c r="H43" s="1055"/>
      <c r="I43" s="1055"/>
      <c r="J43" s="1055"/>
      <c r="K43" s="1055"/>
      <c r="L43" s="1098"/>
      <c r="M43" s="1398"/>
      <c r="N43" s="1398"/>
      <c r="O43" s="1398"/>
      <c r="P43" s="1378"/>
      <c r="Q43" s="293"/>
      <c r="R43" s="288"/>
      <c r="S43" s="1708">
        <f>INDEX(PT_DIFFERENTIATION_NUM_NTAR,MATCH(A43,PT_DIFFERENTIATION_NTAR_ID,0))</f>
        <v>0</v>
      </c>
      <c r="T43" s="1313" t="s">
        <v>214</v>
      </c>
      <c r="U43" s="234"/>
      <c r="V43" s="2389"/>
      <c r="W43" s="2390"/>
      <c r="X43" s="2390"/>
      <c r="Y43" s="2390"/>
      <c r="Z43" s="2390"/>
      <c r="AA43" s="2390"/>
      <c r="AB43" s="2390"/>
      <c r="AC43" s="2391"/>
      <c r="AD43" s="2389" t="str">
        <f>INDEX(PT_DIFFERENTIATION_NTAR,MATCH(A43,PT_DIFFERENTIATION_NTAR_ID,0))</f>
        <v/>
      </c>
      <c r="AE43" s="2390"/>
      <c r="AF43" s="2390"/>
      <c r="AG43" s="2390"/>
      <c r="AH43" s="2390"/>
      <c r="AI43" s="2390"/>
      <c r="AJ43" s="2390"/>
      <c r="AK43" s="2390"/>
      <c r="AL43" s="2391"/>
      <c r="AM43" s="104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12"/>
      <c r="AP43" s="1412" t="str">
        <f t="shared" ref="AP43:AP57" si="1">IF(T43="","",T43)</f>
        <v>Наименование тарифа</v>
      </c>
      <c r="AQ43" s="1412"/>
      <c r="AR43" s="1412"/>
      <c r="AS43" s="1419">
        <v>21</v>
      </c>
    </row>
    <row r="44" spans="1:45" ht="21.95" customHeight="1">
      <c r="A44" s="1055" t="s">
        <v>296</v>
      </c>
      <c r="B44" s="1055" t="s">
        <v>297</v>
      </c>
      <c r="C44" s="1055"/>
      <c r="D44" s="1055"/>
      <c r="E44" s="2422"/>
      <c r="F44" s="2421">
        <v>1</v>
      </c>
      <c r="G44" s="1055"/>
      <c r="H44" s="1055"/>
      <c r="I44" s="1055"/>
      <c r="J44" s="1055"/>
      <c r="K44" s="1055"/>
      <c r="L44" s="1098"/>
      <c r="M44" s="1398"/>
      <c r="N44" s="1398"/>
      <c r="O44" s="1398"/>
      <c r="P44" s="1690"/>
      <c r="Q44" s="285"/>
      <c r="R44" s="286"/>
      <c r="S44" s="1708" t="str">
        <f>INDEX(PT_DIFFERENTIATION_NUM_TER,MATCH(B44,PT_DIFFERENTIATION_TER_ID,0))</f>
        <v>.</v>
      </c>
      <c r="T44" s="1310" t="s">
        <v>481</v>
      </c>
      <c r="U44" s="234"/>
      <c r="V44" s="2389"/>
      <c r="W44" s="2390"/>
      <c r="X44" s="2390"/>
      <c r="Y44" s="2390"/>
      <c r="Z44" s="2390"/>
      <c r="AA44" s="2390"/>
      <c r="AB44" s="2390"/>
      <c r="AC44" s="2391"/>
      <c r="AD44" s="2389" t="str">
        <f>INDEX(PT_DIFFERENTIATION_TER,MATCH(B44,PT_DIFFERENTIATION_TER_ID,0))</f>
        <v/>
      </c>
      <c r="AE44" s="2390"/>
      <c r="AF44" s="2390"/>
      <c r="AG44" s="2390"/>
      <c r="AH44" s="2390"/>
      <c r="AI44" s="2390"/>
      <c r="AJ44" s="2390"/>
      <c r="AK44" s="2390"/>
      <c r="AL44" s="2391"/>
      <c r="AM44" s="1046" t="s">
        <v>482</v>
      </c>
      <c r="AO44" s="1412"/>
      <c r="AP44" s="1412" t="str">
        <f t="shared" si="1"/>
        <v>Территория действия тарифа</v>
      </c>
      <c r="AQ44" s="1412"/>
      <c r="AR44" s="1412"/>
      <c r="AS44" s="1419">
        <v>21</v>
      </c>
    </row>
    <row r="45" spans="1:45" ht="24" customHeight="1">
      <c r="A45" s="1055" t="s">
        <v>296</v>
      </c>
      <c r="B45" s="1055" t="s">
        <v>297</v>
      </c>
      <c r="C45" s="1055" t="s">
        <v>298</v>
      </c>
      <c r="D45" s="1055"/>
      <c r="E45" s="2422"/>
      <c r="F45" s="2422"/>
      <c r="G45" s="2421">
        <v>1</v>
      </c>
      <c r="H45" s="1055"/>
      <c r="I45" s="1055"/>
      <c r="J45" s="1055"/>
      <c r="K45" s="1055"/>
      <c r="L45" s="1098"/>
      <c r="M45" s="1398"/>
      <c r="N45" s="1398"/>
      <c r="O45" s="1398"/>
      <c r="P45" s="287"/>
      <c r="Q45" s="285"/>
      <c r="R45" s="286"/>
      <c r="S45" s="1708" t="str">
        <f>INDEX(PT_DIFFERENTIATION_NUM_CS,MATCH(C45,PT_DIFFERENTIATION_CS_ID,0))</f>
        <v>..</v>
      </c>
      <c r="T45" s="243" t="s">
        <v>483</v>
      </c>
      <c r="U45" s="234"/>
      <c r="V45" s="2389"/>
      <c r="W45" s="2390"/>
      <c r="X45" s="2390"/>
      <c r="Y45" s="2390"/>
      <c r="Z45" s="2390"/>
      <c r="AA45" s="2390"/>
      <c r="AB45" s="2390"/>
      <c r="AC45" s="2391"/>
      <c r="AD45" s="2389" t="str">
        <f>INDEX(PT_DIFFERENTIATION_CS,MATCH(C45,PT_DIFFERENTIATION_CS_ID,0))</f>
        <v/>
      </c>
      <c r="AE45" s="2390"/>
      <c r="AF45" s="2390"/>
      <c r="AG45" s="2390"/>
      <c r="AH45" s="2390"/>
      <c r="AI45" s="2390"/>
      <c r="AJ45" s="2390"/>
      <c r="AK45" s="2390"/>
      <c r="AL45" s="2391"/>
      <c r="AM45" s="1046" t="s">
        <v>484</v>
      </c>
      <c r="AO45" s="1412"/>
      <c r="AP45" s="1412" t="str">
        <f t="shared" si="1"/>
        <v xml:space="preserve">Наименование системы теплоснабжения </v>
      </c>
      <c r="AQ45" s="1412"/>
      <c r="AR45" s="1412"/>
      <c r="AS45" s="1419">
        <v>23</v>
      </c>
    </row>
    <row r="46" spans="1:45" ht="21.95" customHeight="1">
      <c r="A46" s="1055" t="s">
        <v>296</v>
      </c>
      <c r="B46" s="1055" t="s">
        <v>297</v>
      </c>
      <c r="C46" s="1055" t="s">
        <v>298</v>
      </c>
      <c r="D46" s="1055" t="s">
        <v>299</v>
      </c>
      <c r="E46" s="2422"/>
      <c r="F46" s="2422"/>
      <c r="G46" s="2422"/>
      <c r="H46" s="2421">
        <v>1</v>
      </c>
      <c r="I46" s="1055"/>
      <c r="J46" s="1055"/>
      <c r="K46" s="1055"/>
      <c r="L46" s="1098"/>
      <c r="M46" s="1398"/>
      <c r="N46" s="1398"/>
      <c r="O46" s="1398"/>
      <c r="P46" s="287"/>
      <c r="Q46" s="285"/>
      <c r="R46" s="286"/>
      <c r="S46" s="1708" t="str">
        <f>INDEX(PT_DIFFERENTIATION_NUM_IST_TE,MATCH(D46,PT_DIFFERENTIATION_IST_TE_ID,0))</f>
        <v>...</v>
      </c>
      <c r="T46" s="244" t="s">
        <v>485</v>
      </c>
      <c r="U46" s="234"/>
      <c r="V46" s="2389"/>
      <c r="W46" s="2390"/>
      <c r="X46" s="2390"/>
      <c r="Y46" s="2390"/>
      <c r="Z46" s="2390"/>
      <c r="AA46" s="2390"/>
      <c r="AB46" s="2390"/>
      <c r="AC46" s="2391"/>
      <c r="AD46" s="2389" t="str">
        <f>INDEX(PT_DIFFERENTIATION_IST_TE,MATCH(D46,PT_DIFFERENTIATION_IST_TE_ID,0))</f>
        <v/>
      </c>
      <c r="AE46" s="2390"/>
      <c r="AF46" s="2390"/>
      <c r="AG46" s="2390"/>
      <c r="AH46" s="2390"/>
      <c r="AI46" s="2390"/>
      <c r="AJ46" s="2390"/>
      <c r="AK46" s="2390"/>
      <c r="AL46" s="2391"/>
      <c r="AM46" s="1046" t="s">
        <v>486</v>
      </c>
      <c r="AO46" s="1412"/>
      <c r="AP46" s="1412" t="str">
        <f t="shared" si="1"/>
        <v xml:space="preserve">Источник тепловой энергии  </v>
      </c>
      <c r="AQ46" s="1412"/>
      <c r="AR46" s="1412"/>
      <c r="AS46" s="1419">
        <v>21</v>
      </c>
    </row>
    <row r="47" spans="1:45" ht="49.5" customHeight="1">
      <c r="A47" s="1055" t="s">
        <v>296</v>
      </c>
      <c r="B47" s="1055" t="s">
        <v>297</v>
      </c>
      <c r="C47" s="1055" t="s">
        <v>298</v>
      </c>
      <c r="D47" s="1055" t="s">
        <v>299</v>
      </c>
      <c r="E47" s="2422"/>
      <c r="F47" s="2422"/>
      <c r="G47" s="2422"/>
      <c r="H47" s="2422"/>
      <c r="I47" s="2266" t="str">
        <f>S46&amp;".1"</f>
        <v>....1</v>
      </c>
      <c r="J47" s="1055"/>
      <c r="K47" s="1055"/>
      <c r="L47" s="1098" t="s">
        <v>487</v>
      </c>
      <c r="P47" s="2399">
        <v>1</v>
      </c>
      <c r="Q47" s="1704"/>
      <c r="R47" s="289"/>
      <c r="S47" s="1708" t="str">
        <f>$I47</f>
        <v>....1</v>
      </c>
      <c r="T47" s="219" t="s">
        <v>488</v>
      </c>
      <c r="U47" s="234"/>
      <c r="V47" s="2383"/>
      <c r="W47" s="2384"/>
      <c r="X47" s="2384"/>
      <c r="Y47" s="2384"/>
      <c r="Z47" s="2384"/>
      <c r="AA47" s="2384"/>
      <c r="AB47" s="2384"/>
      <c r="AC47" s="2385"/>
      <c r="AD47" s="2383"/>
      <c r="AE47" s="2384"/>
      <c r="AF47" s="2384"/>
      <c r="AG47" s="2384"/>
      <c r="AH47" s="2384"/>
      <c r="AI47" s="2384"/>
      <c r="AJ47" s="2384"/>
      <c r="AK47" s="2384"/>
      <c r="AL47" s="2385"/>
      <c r="AM47" s="1046" t="s">
        <v>489</v>
      </c>
      <c r="AO47" s="1412"/>
      <c r="AP47" s="1412" t="str">
        <f t="shared" si="1"/>
        <v>Схема подключения теплопотребляющей установки к коллектору источника тепловой энергии</v>
      </c>
      <c r="AQ47" s="1412"/>
      <c r="AR47" s="1412"/>
      <c r="AS47" s="1419">
        <v>47</v>
      </c>
    </row>
    <row r="48" spans="1:45" ht="21.95" customHeight="1">
      <c r="A48" s="1055" t="s">
        <v>296</v>
      </c>
      <c r="B48" s="1055" t="s">
        <v>297</v>
      </c>
      <c r="C48" s="1055" t="s">
        <v>298</v>
      </c>
      <c r="D48" s="1055" t="s">
        <v>299</v>
      </c>
      <c r="E48" s="2422"/>
      <c r="F48" s="2422"/>
      <c r="G48" s="2422"/>
      <c r="H48" s="2422"/>
      <c r="I48" s="2247"/>
      <c r="J48" s="2266" t="str">
        <f>I47&amp;".1"</f>
        <v>....1.1</v>
      </c>
      <c r="K48" s="1055"/>
      <c r="L48" s="1098" t="s">
        <v>490</v>
      </c>
      <c r="P48" s="2399"/>
      <c r="Q48" s="2399">
        <v>1</v>
      </c>
      <c r="R48" s="290"/>
      <c r="S48" s="1708" t="str">
        <f>$J48</f>
        <v>....1.1</v>
      </c>
      <c r="T48" s="220" t="s">
        <v>491</v>
      </c>
      <c r="U48" s="234"/>
      <c r="V48" s="2383"/>
      <c r="W48" s="2384"/>
      <c r="X48" s="2384"/>
      <c r="Y48" s="2384"/>
      <c r="Z48" s="2384"/>
      <c r="AA48" s="2384"/>
      <c r="AB48" s="2384"/>
      <c r="AC48" s="2385"/>
      <c r="AD48" s="2383"/>
      <c r="AE48" s="2384"/>
      <c r="AF48" s="2384"/>
      <c r="AG48" s="2384"/>
      <c r="AH48" s="2384"/>
      <c r="AI48" s="2384"/>
      <c r="AJ48" s="2384"/>
      <c r="AK48" s="2384"/>
      <c r="AL48" s="2385"/>
      <c r="AM48" s="1046" t="s">
        <v>492</v>
      </c>
      <c r="AO48" s="1412"/>
      <c r="AP48" s="1412" t="str">
        <f t="shared" si="1"/>
        <v>Группа потребителей</v>
      </c>
      <c r="AQ48" s="1412"/>
      <c r="AR48" s="1412"/>
      <c r="AS48" s="1419">
        <v>21</v>
      </c>
    </row>
    <row r="49" spans="1:45" ht="21.95" customHeight="1">
      <c r="A49" s="1055" t="s">
        <v>296</v>
      </c>
      <c r="B49" s="1055" t="s">
        <v>297</v>
      </c>
      <c r="C49" s="1055" t="s">
        <v>298</v>
      </c>
      <c r="D49" s="1055" t="s">
        <v>299</v>
      </c>
      <c r="E49" s="2422"/>
      <c r="F49" s="2422"/>
      <c r="G49" s="2422"/>
      <c r="H49" s="2422"/>
      <c r="I49" s="2247"/>
      <c r="J49" s="2247"/>
      <c r="K49" s="2266" t="str">
        <f>J48&amp;".1"</f>
        <v>....1.1.1</v>
      </c>
      <c r="L49" s="1098" t="s">
        <v>493</v>
      </c>
      <c r="P49" s="2399"/>
      <c r="Q49" s="2399"/>
      <c r="R49" s="290">
        <v>1</v>
      </c>
      <c r="S49" s="1708" t="str">
        <f>$K49</f>
        <v>....1.1.1</v>
      </c>
      <c r="T49" s="1135"/>
      <c r="U49" s="234"/>
      <c r="V49" s="658"/>
      <c r="W49" s="259"/>
      <c r="X49" s="658"/>
      <c r="Y49" s="1045"/>
      <c r="Z49" s="2400"/>
      <c r="AA49" s="2276" t="s">
        <v>52</v>
      </c>
      <c r="AB49" s="2400"/>
      <c r="AC49" s="2276" t="s">
        <v>52</v>
      </c>
      <c r="AD49" s="658"/>
      <c r="AE49" s="259"/>
      <c r="AF49" s="658"/>
      <c r="AG49" s="1045"/>
      <c r="AH49" s="2400"/>
      <c r="AI49" s="2276" t="s">
        <v>52</v>
      </c>
      <c r="AJ49" s="2402"/>
      <c r="AK49" s="2276" t="s">
        <v>52</v>
      </c>
      <c r="AL49" s="1136"/>
      <c r="AM49" s="2418" t="s">
        <v>494</v>
      </c>
      <c r="AN49" s="1424" t="e">
        <f ca="1">STRCHECKDATE(V50:AL50)</f>
        <v>#NAME?</v>
      </c>
      <c r="AO49" s="1412"/>
      <c r="AP49" s="1412" t="str">
        <f t="shared" si="1"/>
        <v/>
      </c>
      <c r="AQ49" s="1412"/>
      <c r="AR49" s="1412"/>
      <c r="AS49" s="1419">
        <v>21</v>
      </c>
    </row>
    <row r="50" spans="1:45" ht="1.1499999999999999" customHeight="1">
      <c r="A50" s="1055" t="s">
        <v>296</v>
      </c>
      <c r="B50" s="1055" t="s">
        <v>297</v>
      </c>
      <c r="C50" s="1055" t="s">
        <v>298</v>
      </c>
      <c r="D50" s="1055" t="s">
        <v>299</v>
      </c>
      <c r="E50" s="2422"/>
      <c r="F50" s="2422"/>
      <c r="G50" s="2422"/>
      <c r="H50" s="2422"/>
      <c r="I50" s="2247"/>
      <c r="J50" s="2247"/>
      <c r="K50" s="2266"/>
      <c r="L50" s="1098"/>
      <c r="P50" s="2399"/>
      <c r="Q50" s="2399"/>
      <c r="R50" s="290"/>
      <c r="S50" s="1717"/>
      <c r="T50" s="234"/>
      <c r="U50" s="234"/>
      <c r="V50" s="259"/>
      <c r="W50" s="259"/>
      <c r="X50" s="259"/>
      <c r="Y50" s="262" t="str">
        <f>Z49&amp;"-"&amp;AB49</f>
        <v>-</v>
      </c>
      <c r="Z50" s="2401"/>
      <c r="AA50" s="2276"/>
      <c r="AB50" s="2401"/>
      <c r="AC50" s="2276"/>
      <c r="AD50" s="259"/>
      <c r="AE50" s="259"/>
      <c r="AF50" s="259"/>
      <c r="AG50" s="262" t="str">
        <f>AH49&amp;"-"&amp;AJ49</f>
        <v>-</v>
      </c>
      <c r="AH50" s="2401"/>
      <c r="AI50" s="2276"/>
      <c r="AJ50" s="2403"/>
      <c r="AK50" s="2276"/>
      <c r="AL50" s="1137"/>
      <c r="AM50" s="2419"/>
      <c r="AO50" s="1412"/>
      <c r="AP50" s="1412" t="str">
        <f t="shared" si="1"/>
        <v/>
      </c>
      <c r="AQ50" s="1412"/>
      <c r="AR50" s="1412"/>
      <c r="AS50" s="1419">
        <v>1</v>
      </c>
    </row>
    <row r="51" spans="1:45" ht="11.45" customHeight="1">
      <c r="A51" s="1055" t="s">
        <v>296</v>
      </c>
      <c r="B51" s="1055" t="s">
        <v>297</v>
      </c>
      <c r="C51" s="1055" t="s">
        <v>298</v>
      </c>
      <c r="D51" s="1055" t="s">
        <v>299</v>
      </c>
      <c r="E51" s="2422"/>
      <c r="F51" s="2422"/>
      <c r="G51" s="2422"/>
      <c r="H51" s="2422"/>
      <c r="I51" s="2247"/>
      <c r="J51" s="2266"/>
      <c r="K51" s="1055"/>
      <c r="L51" s="1098"/>
      <c r="P51" s="2399"/>
      <c r="Q51" s="2399"/>
      <c r="R51" s="289"/>
      <c r="S51" s="1066"/>
      <c r="T51" s="222" t="s">
        <v>495</v>
      </c>
      <c r="U51" s="531"/>
      <c r="V51" s="531"/>
      <c r="W51" s="531"/>
      <c r="X51" s="531"/>
      <c r="Y51" s="531"/>
      <c r="Z51" s="531"/>
      <c r="AA51" s="531"/>
      <c r="AB51" s="531"/>
      <c r="AC51" s="531"/>
      <c r="AD51" s="531"/>
      <c r="AE51" s="531"/>
      <c r="AF51" s="531"/>
      <c r="AG51" s="531"/>
      <c r="AH51" s="531"/>
      <c r="AI51" s="531"/>
      <c r="AJ51" s="531"/>
      <c r="AK51" s="531"/>
      <c r="AL51" s="258"/>
      <c r="AM51" s="2420"/>
      <c r="AO51" s="1412"/>
      <c r="AP51" s="1412" t="str">
        <f t="shared" si="1"/>
        <v>Добавить вид теплоносителя (параметры теплоносителя)</v>
      </c>
      <c r="AQ51" s="1412"/>
      <c r="AR51" s="1412"/>
      <c r="AS51" s="1419">
        <v>11</v>
      </c>
    </row>
    <row r="52" spans="1:45" ht="11.45" customHeight="1">
      <c r="A52" s="1055" t="s">
        <v>296</v>
      </c>
      <c r="B52" s="1055" t="s">
        <v>297</v>
      </c>
      <c r="C52" s="1055" t="s">
        <v>298</v>
      </c>
      <c r="D52" s="1055" t="s">
        <v>299</v>
      </c>
      <c r="E52" s="2422"/>
      <c r="F52" s="2422"/>
      <c r="G52" s="2422"/>
      <c r="H52" s="2422"/>
      <c r="I52" s="2266"/>
      <c r="J52" s="1055"/>
      <c r="K52" s="1055"/>
      <c r="L52" s="1098"/>
      <c r="P52" s="2399"/>
      <c r="Q52" s="1704"/>
      <c r="R52" s="289"/>
      <c r="S52" s="1066"/>
      <c r="T52" s="221" t="s">
        <v>496</v>
      </c>
      <c r="U52" s="531"/>
      <c r="V52" s="531"/>
      <c r="W52" s="531"/>
      <c r="X52" s="531"/>
      <c r="Y52" s="531"/>
      <c r="Z52" s="531"/>
      <c r="AA52" s="531"/>
      <c r="AB52" s="531"/>
      <c r="AC52" s="299"/>
      <c r="AD52" s="531"/>
      <c r="AE52" s="531"/>
      <c r="AF52" s="531"/>
      <c r="AG52" s="531"/>
      <c r="AH52" s="531"/>
      <c r="AI52" s="531"/>
      <c r="AJ52" s="531"/>
      <c r="AK52" s="299"/>
      <c r="AL52" s="531"/>
      <c r="AM52" s="237"/>
      <c r="AO52" s="1412"/>
      <c r="AP52" s="1412" t="str">
        <f t="shared" si="1"/>
        <v>Добавить группу потребителей</v>
      </c>
      <c r="AQ52" s="1412"/>
      <c r="AR52" s="1412"/>
      <c r="AS52" s="1419">
        <v>11</v>
      </c>
    </row>
    <row r="53" spans="1:45" ht="14.65" customHeight="1">
      <c r="A53" s="1055" t="s">
        <v>296</v>
      </c>
      <c r="B53" s="1055" t="s">
        <v>297</v>
      </c>
      <c r="C53" s="1055" t="s">
        <v>298</v>
      </c>
      <c r="D53" s="1055" t="s">
        <v>299</v>
      </c>
      <c r="E53" s="2422"/>
      <c r="F53" s="2422"/>
      <c r="G53" s="2422"/>
      <c r="H53" s="2421"/>
      <c r="I53" s="1055"/>
      <c r="J53" s="1055"/>
      <c r="K53" s="1055"/>
      <c r="L53" s="1098"/>
      <c r="M53" s="1398"/>
      <c r="N53" s="1398"/>
      <c r="O53" s="1423"/>
      <c r="P53" s="293"/>
      <c r="Q53" s="308"/>
      <c r="R53" s="288"/>
      <c r="S53" s="1066"/>
      <c r="T53" s="298" t="s">
        <v>497</v>
      </c>
      <c r="U53" s="531"/>
      <c r="V53" s="531"/>
      <c r="W53" s="531"/>
      <c r="X53" s="531"/>
      <c r="Y53" s="531"/>
      <c r="Z53" s="531"/>
      <c r="AA53" s="531"/>
      <c r="AB53" s="531"/>
      <c r="AC53" s="299"/>
      <c r="AD53" s="531"/>
      <c r="AE53" s="531"/>
      <c r="AF53" s="531"/>
      <c r="AG53" s="531"/>
      <c r="AH53" s="531"/>
      <c r="AI53" s="531"/>
      <c r="AJ53" s="531"/>
      <c r="AK53" s="299"/>
      <c r="AL53" s="531"/>
      <c r="AM53" s="237"/>
      <c r="AO53" s="1412"/>
      <c r="AP53" s="1412" t="str">
        <f t="shared" si="1"/>
        <v>Добавить схему подключения</v>
      </c>
      <c r="AQ53" s="1412"/>
      <c r="AR53" s="1412"/>
      <c r="AS53" s="1419">
        <v>14</v>
      </c>
    </row>
    <row r="54" spans="1:45" s="1430" customFormat="1" ht="1.1499999999999999" customHeight="1">
      <c r="A54" s="1055" t="s">
        <v>296</v>
      </c>
      <c r="B54" s="1055" t="s">
        <v>297</v>
      </c>
      <c r="C54" s="1055" t="s">
        <v>298</v>
      </c>
      <c r="D54" s="1724"/>
      <c r="E54" s="2422"/>
      <c r="F54" s="2422"/>
      <c r="G54" s="2421"/>
      <c r="H54" s="1724"/>
      <c r="I54" s="1724"/>
      <c r="J54" s="1724"/>
      <c r="K54" s="1724"/>
      <c r="L54" s="1168"/>
      <c r="M54" s="1398"/>
      <c r="N54" s="1398"/>
      <c r="O54" s="1423"/>
      <c r="P54" s="1104"/>
      <c r="Q54" s="1105"/>
      <c r="R54" s="1104"/>
      <c r="S54" s="1110"/>
      <c r="T54" s="1113" t="s">
        <v>498</v>
      </c>
      <c r="U54" s="1112"/>
      <c r="V54" s="1112"/>
      <c r="W54" s="1112"/>
      <c r="X54" s="1112"/>
      <c r="Y54" s="1112"/>
      <c r="Z54" s="1112"/>
      <c r="AA54" s="1112"/>
      <c r="AB54" s="1112"/>
      <c r="AC54" s="1112"/>
      <c r="AD54" s="1112"/>
      <c r="AE54" s="1112"/>
      <c r="AF54" s="1112"/>
      <c r="AG54" s="1112"/>
      <c r="AH54" s="1112"/>
      <c r="AI54" s="1112"/>
      <c r="AJ54" s="1112"/>
      <c r="AK54" s="1112"/>
      <c r="AL54" s="1112"/>
      <c r="AM54" s="1112"/>
      <c r="AO54" s="1039"/>
      <c r="AP54" s="1039" t="str">
        <f t="shared" si="1"/>
        <v>Добавить источник для дифференциации</v>
      </c>
      <c r="AQ54" s="1039"/>
      <c r="AR54" s="1039"/>
      <c r="AS54" s="1430">
        <v>1</v>
      </c>
    </row>
    <row r="55" spans="1:45" s="1430" customFormat="1" ht="1.1499999999999999" customHeight="1">
      <c r="A55" s="1055" t="s">
        <v>296</v>
      </c>
      <c r="B55" s="1055" t="s">
        <v>297</v>
      </c>
      <c r="C55" s="1724"/>
      <c r="D55" s="1724"/>
      <c r="E55" s="2422"/>
      <c r="F55" s="2421"/>
      <c r="G55" s="1724"/>
      <c r="H55" s="1724"/>
      <c r="I55" s="1724"/>
      <c r="J55" s="1724"/>
      <c r="K55" s="1724"/>
      <c r="L55" s="1168"/>
      <c r="M55" s="1725"/>
      <c r="N55" s="1725"/>
      <c r="O55" s="1423"/>
      <c r="P55" s="1104"/>
      <c r="Q55" s="1105"/>
      <c r="R55" s="1104"/>
      <c r="S55" s="1110"/>
      <c r="T55" s="1113" t="s">
        <v>499</v>
      </c>
      <c r="U55" s="1112"/>
      <c r="V55" s="1112"/>
      <c r="W55" s="1112"/>
      <c r="X55" s="1112"/>
      <c r="Y55" s="1112"/>
      <c r="Z55" s="1112"/>
      <c r="AA55" s="1112"/>
      <c r="AB55" s="1112"/>
      <c r="AC55" s="1112"/>
      <c r="AD55" s="1112"/>
      <c r="AE55" s="1112"/>
      <c r="AF55" s="1112"/>
      <c r="AG55" s="1112"/>
      <c r="AH55" s="1112"/>
      <c r="AI55" s="1112"/>
      <c r="AJ55" s="1112"/>
      <c r="AK55" s="1112"/>
      <c r="AL55" s="1112"/>
      <c r="AM55" s="1112"/>
      <c r="AO55" s="1039"/>
      <c r="AP55" s="1039" t="str">
        <f t="shared" si="1"/>
        <v>Добавить централизованную систему для дифференциации</v>
      </c>
      <c r="AQ55" s="1039"/>
      <c r="AR55" s="1039"/>
      <c r="AS55" s="1430">
        <v>1</v>
      </c>
    </row>
    <row r="56" spans="1:45" s="1430" customFormat="1" ht="1.1499999999999999" customHeight="1">
      <c r="A56" s="1055" t="s">
        <v>296</v>
      </c>
      <c r="B56" s="1055"/>
      <c r="C56" s="1055"/>
      <c r="D56" s="1055"/>
      <c r="E56" s="2421"/>
      <c r="F56" s="1055"/>
      <c r="G56" s="1055"/>
      <c r="H56" s="1055"/>
      <c r="I56" s="1055"/>
      <c r="J56" s="1055"/>
      <c r="K56" s="1055"/>
      <c r="L56" s="1098"/>
      <c r="M56" s="1725"/>
      <c r="N56" s="1725"/>
      <c r="O56" s="1423"/>
      <c r="P56" s="313"/>
      <c r="Q56" s="1132"/>
      <c r="R56" s="313"/>
      <c r="S56" s="1110"/>
      <c r="T56" s="1113" t="s">
        <v>500</v>
      </c>
      <c r="U56" s="1112"/>
      <c r="V56" s="1112"/>
      <c r="W56" s="1112"/>
      <c r="X56" s="1112"/>
      <c r="Y56" s="1112"/>
      <c r="Z56" s="1112"/>
      <c r="AA56" s="1112"/>
      <c r="AB56" s="1112"/>
      <c r="AC56" s="1112"/>
      <c r="AD56" s="1112"/>
      <c r="AE56" s="1112"/>
      <c r="AF56" s="1112"/>
      <c r="AG56" s="1112"/>
      <c r="AH56" s="1112"/>
      <c r="AI56" s="1112"/>
      <c r="AJ56" s="1112"/>
      <c r="AK56" s="1112"/>
      <c r="AL56" s="1112"/>
      <c r="AM56" s="1112"/>
      <c r="AO56" s="1412"/>
      <c r="AP56" s="1412" t="str">
        <f t="shared" si="1"/>
        <v>Добавить территорию для дифференциации</v>
      </c>
      <c r="AQ56" s="1412"/>
      <c r="AR56" s="1412"/>
      <c r="AS56" s="1424">
        <v>1</v>
      </c>
    </row>
    <row r="57" spans="1:45" s="1430" customFormat="1" ht="1.1499999999999999" customHeight="1">
      <c r="A57" s="1724"/>
      <c r="B57" s="1724"/>
      <c r="C57" s="1724"/>
      <c r="D57" s="1724"/>
      <c r="E57" s="1055"/>
      <c r="F57" s="1724"/>
      <c r="G57" s="1724"/>
      <c r="H57" s="1724"/>
      <c r="I57" s="1724"/>
      <c r="J57" s="1724"/>
      <c r="K57" s="1724"/>
      <c r="L57" s="1168"/>
      <c r="M57" s="1725"/>
      <c r="N57" s="1725"/>
      <c r="O57" s="1423"/>
      <c r="P57" s="1104"/>
      <c r="Q57" s="1105"/>
      <c r="R57" s="1104"/>
      <c r="S57" s="1110"/>
      <c r="T57" s="1113" t="s">
        <v>532</v>
      </c>
      <c r="U57" s="1112"/>
      <c r="V57" s="1112"/>
      <c r="W57" s="1112"/>
      <c r="X57" s="1112"/>
      <c r="Y57" s="1112"/>
      <c r="Z57" s="1112"/>
      <c r="AA57" s="1112"/>
      <c r="AB57" s="1112"/>
      <c r="AC57" s="1112"/>
      <c r="AD57" s="1112"/>
      <c r="AE57" s="1112"/>
      <c r="AF57" s="1112"/>
      <c r="AG57" s="1112"/>
      <c r="AH57" s="1112"/>
      <c r="AI57" s="1112"/>
      <c r="AJ57" s="1112"/>
      <c r="AK57" s="1112"/>
      <c r="AL57" s="1112"/>
      <c r="AM57" s="1112"/>
      <c r="AO57" s="1039"/>
      <c r="AP57" s="1039" t="str">
        <f t="shared" si="1"/>
        <v>Добавить наименование тарифа</v>
      </c>
      <c r="AQ57" s="1039"/>
      <c r="AR57" s="1039"/>
      <c r="AS57" s="1430">
        <v>1</v>
      </c>
    </row>
    <row r="58" spans="1:45" ht="11.45" customHeight="1">
      <c r="M58" s="1419"/>
      <c r="N58" s="1419"/>
      <c r="O58" s="1423"/>
      <c r="P58" s="1419"/>
      <c r="Q58" s="1419"/>
      <c r="R58" s="1419"/>
      <c r="S58" s="1419"/>
      <c r="AN58" s="1419"/>
      <c r="AO58" s="1419"/>
      <c r="AP58" s="1419"/>
      <c r="AQ58" s="1419"/>
      <c r="AR58" s="1419"/>
      <c r="AS58" s="1419">
        <v>11</v>
      </c>
    </row>
    <row r="59" spans="1:45" ht="28.5" customHeight="1">
      <c r="O59" s="1423"/>
      <c r="S59" s="1041"/>
      <c r="T59" s="2394"/>
      <c r="U59" s="2394"/>
      <c r="V59" s="2394"/>
      <c r="W59" s="2394"/>
      <c r="X59" s="2394"/>
      <c r="Y59" s="2394"/>
      <c r="Z59" s="2394"/>
      <c r="AA59" s="2394"/>
      <c r="AB59" s="2394"/>
      <c r="AC59" s="2394"/>
      <c r="AD59" s="2394"/>
      <c r="AE59" s="2394"/>
      <c r="AF59" s="2394"/>
      <c r="AG59" s="2394"/>
      <c r="AH59" s="2394"/>
      <c r="AI59" s="2394"/>
      <c r="AJ59" s="2394"/>
      <c r="AK59" s="2394"/>
      <c r="AL59" s="2394"/>
      <c r="AM59" s="2394"/>
      <c r="AS59" s="1419">
        <v>27</v>
      </c>
    </row>
    <row r="60" spans="1:45" ht="65.25" customHeight="1">
      <c r="O60" s="1423"/>
      <c r="T60" s="2394"/>
      <c r="U60" s="2394"/>
      <c r="V60" s="2394"/>
      <c r="W60" s="2394"/>
      <c r="X60" s="2394"/>
      <c r="Y60" s="2394"/>
      <c r="Z60" s="2394"/>
      <c r="AA60" s="2394"/>
      <c r="AB60" s="2394"/>
      <c r="AC60" s="2394"/>
      <c r="AD60" s="2394"/>
      <c r="AE60" s="2394"/>
      <c r="AF60" s="2394"/>
      <c r="AG60" s="2394"/>
      <c r="AH60" s="2394"/>
      <c r="AI60" s="2394"/>
      <c r="AJ60" s="2394"/>
      <c r="AK60" s="2394"/>
      <c r="AL60" s="2394"/>
      <c r="AM60" s="2394"/>
      <c r="AS60" s="1419">
        <v>62</v>
      </c>
    </row>
    <row r="61" spans="1:45" ht="14.65" customHeight="1">
      <c r="O61" s="1423"/>
      <c r="AS61" s="1419">
        <v>14</v>
      </c>
    </row>
    <row r="62" spans="1:45" ht="18.75" customHeight="1">
      <c r="O62" s="1423"/>
      <c r="S62" s="1041"/>
      <c r="T62" s="2394"/>
      <c r="U62" s="2394"/>
      <c r="V62" s="2394"/>
      <c r="W62" s="2394"/>
      <c r="X62" s="2394"/>
      <c r="Y62" s="2394"/>
      <c r="Z62" s="2394"/>
      <c r="AA62" s="2394"/>
      <c r="AB62" s="2394"/>
      <c r="AC62" s="2394"/>
      <c r="AD62" s="2394"/>
      <c r="AE62" s="2394"/>
      <c r="AF62" s="2394"/>
      <c r="AG62" s="2394"/>
      <c r="AH62" s="2394"/>
      <c r="AI62" s="2394"/>
      <c r="AJ62" s="2394"/>
      <c r="AK62" s="2394"/>
      <c r="AL62" s="2394"/>
      <c r="AM62" s="2394"/>
      <c r="AS62" s="1419">
        <v>18</v>
      </c>
    </row>
    <row r="63" spans="1:45" ht="18.75" customHeight="1">
      <c r="O63" s="1423"/>
      <c r="T63" s="2394"/>
      <c r="U63" s="2394"/>
      <c r="V63" s="2394"/>
      <c r="W63" s="2394"/>
      <c r="X63" s="2394"/>
      <c r="Y63" s="2394"/>
      <c r="Z63" s="2394"/>
      <c r="AA63" s="2394"/>
      <c r="AB63" s="2394"/>
      <c r="AC63" s="2394"/>
      <c r="AD63" s="2394"/>
      <c r="AE63" s="2394"/>
      <c r="AF63" s="2394"/>
      <c r="AG63" s="2394"/>
      <c r="AH63" s="2394"/>
      <c r="AI63" s="2394"/>
      <c r="AJ63" s="2394"/>
      <c r="AK63" s="2394"/>
      <c r="AL63" s="2394"/>
      <c r="AM63" s="2394"/>
      <c r="AS63" s="1419">
        <v>18</v>
      </c>
    </row>
    <row r="64" spans="1:45" ht="29.25" customHeight="1">
      <c r="O64" s="1423"/>
      <c r="S64" s="1041"/>
      <c r="T64" s="2394"/>
      <c r="U64" s="2394"/>
      <c r="V64" s="2394"/>
      <c r="W64" s="2394"/>
      <c r="X64" s="2394"/>
      <c r="Y64" s="2394"/>
      <c r="Z64" s="2394"/>
      <c r="AA64" s="2394"/>
      <c r="AB64" s="2394"/>
      <c r="AC64" s="2394"/>
      <c r="AD64" s="2394"/>
      <c r="AE64" s="2394"/>
      <c r="AF64" s="2394"/>
      <c r="AG64" s="2394"/>
      <c r="AH64" s="2394"/>
      <c r="AI64" s="2394"/>
      <c r="AJ64" s="2394"/>
      <c r="AK64" s="2394"/>
      <c r="AL64" s="2394"/>
      <c r="AM64" s="2394"/>
      <c r="AS64" s="1419">
        <v>28</v>
      </c>
    </row>
    <row r="65" spans="1:45" ht="22.5" hidden="1" customHeight="1">
      <c r="A65" s="1419" t="s">
        <v>69</v>
      </c>
      <c r="B65" s="1419">
        <v>0</v>
      </c>
      <c r="C65" s="1419">
        <v>0</v>
      </c>
      <c r="D65" s="1419">
        <v>0</v>
      </c>
      <c r="E65" s="1419">
        <v>0</v>
      </c>
      <c r="F65" s="1419">
        <v>0</v>
      </c>
      <c r="G65" s="1419">
        <v>0</v>
      </c>
      <c r="H65" s="1419">
        <v>0</v>
      </c>
      <c r="I65" s="1419">
        <v>0</v>
      </c>
      <c r="J65" s="1419">
        <v>0</v>
      </c>
      <c r="K65" s="1419">
        <v>0</v>
      </c>
      <c r="L65" s="1689">
        <v>0</v>
      </c>
      <c r="M65" s="1715">
        <v>0</v>
      </c>
      <c r="N65" s="1715">
        <v>0</v>
      </c>
      <c r="O65" s="1715">
        <v>0</v>
      </c>
      <c r="P65" s="1715">
        <v>3</v>
      </c>
      <c r="Q65" s="278">
        <v>3</v>
      </c>
      <c r="R65" s="278">
        <v>3</v>
      </c>
      <c r="S65" s="512">
        <v>12</v>
      </c>
      <c r="T65" s="1419">
        <v>31</v>
      </c>
      <c r="U65" s="1419">
        <v>0</v>
      </c>
      <c r="V65" s="1419">
        <v>0</v>
      </c>
      <c r="W65" s="1419">
        <v>0</v>
      </c>
      <c r="X65" s="1419">
        <v>0</v>
      </c>
      <c r="Y65" s="1419">
        <v>0</v>
      </c>
      <c r="Z65" s="1419">
        <v>0</v>
      </c>
      <c r="AA65" s="1419">
        <v>0</v>
      </c>
      <c r="AB65" s="1419">
        <v>0</v>
      </c>
      <c r="AC65" s="1419">
        <v>0</v>
      </c>
      <c r="AD65" s="1419">
        <v>24</v>
      </c>
      <c r="AE65" s="1419">
        <v>0</v>
      </c>
      <c r="AF65" s="1419">
        <v>24</v>
      </c>
      <c r="AG65" s="1419">
        <v>24</v>
      </c>
      <c r="AH65" s="1419">
        <v>11</v>
      </c>
      <c r="AI65" s="1419">
        <v>3</v>
      </c>
      <c r="AJ65" s="1419">
        <v>11</v>
      </c>
      <c r="AK65" s="1419">
        <v>0</v>
      </c>
      <c r="AL65" s="1419">
        <v>4</v>
      </c>
      <c r="AM65" s="1419">
        <v>115</v>
      </c>
      <c r="AN65" s="1424">
        <v>10</v>
      </c>
      <c r="AO65" s="1424">
        <v>10</v>
      </c>
      <c r="AP65" s="1424">
        <v>10</v>
      </c>
      <c r="AQ65" s="1424">
        <v>10</v>
      </c>
      <c r="AR65" s="1424">
        <v>10</v>
      </c>
      <c r="AS65" s="141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54" hidden="1"/>
    <col min="2" max="2" width="11" style="1154" hidden="1" customWidth="1"/>
    <col min="3" max="3" width="10.5703125" style="1154" hidden="1"/>
    <col min="4" max="4" width="11.85546875" style="1154" hidden="1" customWidth="1"/>
    <col min="5" max="5" width="10" style="1154" hidden="1" customWidth="1"/>
    <col min="6" max="6" width="8.7109375" style="1154" hidden="1" customWidth="1"/>
    <col min="7" max="7" width="7.5703125" style="1154" hidden="1" customWidth="1"/>
    <col min="8" max="8" width="11.42578125" style="1154" hidden="1" customWidth="1"/>
    <col min="9" max="9" width="12" style="1154" hidden="1" customWidth="1"/>
    <col min="10" max="10" width="9.85546875" style="1154" hidden="1" customWidth="1"/>
    <col min="11" max="11" width="11.42578125" style="1154" hidden="1" customWidth="1"/>
    <col min="12" max="12" width="19.140625" style="1866" hidden="1" customWidth="1"/>
    <col min="13" max="14" width="12.28515625" style="1535" hidden="1" customWidth="1"/>
    <col min="15" max="15" width="23.42578125" style="1535" hidden="1" customWidth="1"/>
    <col min="16" max="16" width="3" style="1857" customWidth="1"/>
    <col min="17" max="18" width="3" style="278" customWidth="1"/>
    <col min="19" max="19" width="12" style="1858" customWidth="1"/>
    <col min="20" max="20" width="31" style="1423" customWidth="1"/>
    <col min="21" max="21" width="0.7109375" style="1423" hidden="1" customWidth="1"/>
    <col min="22" max="22" width="1.7109375" style="1423" hidden="1" customWidth="1"/>
    <col min="23" max="23" width="24.7109375" style="1423" hidden="1" customWidth="1"/>
    <col min="24" max="25" width="0.140625" style="1423" hidden="1" customWidth="1"/>
    <col min="26" max="26" width="11.7109375" style="1423" hidden="1" customWidth="1"/>
    <col min="27" max="27" width="3.7109375" style="1423" hidden="1" customWidth="1"/>
    <col min="28" max="28" width="11.7109375" style="1423" hidden="1" customWidth="1"/>
    <col min="29" max="29" width="8.5703125" style="1423" hidden="1" customWidth="1"/>
    <col min="30" max="30" width="0.140625" style="1423" customWidth="1"/>
    <col min="31" max="31" width="24" style="1423" customWidth="1"/>
    <col min="32" max="33" width="0.140625" style="1423" customWidth="1"/>
    <col min="34" max="34" width="11" style="1423" customWidth="1"/>
    <col min="35" max="35" width="3.7109375" style="1423" customWidth="1"/>
    <col min="36" max="36" width="11" style="1423" customWidth="1"/>
    <col min="37" max="37" width="8.5703125" style="1423" hidden="1" customWidth="1"/>
    <col min="38" max="38" width="4" style="1423" customWidth="1"/>
    <col min="39" max="39" width="115" style="1423" customWidth="1"/>
    <col min="40" max="44" width="10" style="1430" customWidth="1"/>
    <col min="45" max="45" width="10.5703125" style="1423" hidden="1"/>
  </cols>
  <sheetData>
    <row r="1" spans="1:45" ht="22.5" hidden="1" customHeight="1">
      <c r="Y1" s="261"/>
      <c r="Z1" s="261"/>
      <c r="AG1" s="261"/>
      <c r="AH1" s="261"/>
      <c r="AS1" s="956" t="s">
        <v>1</v>
      </c>
    </row>
    <row r="2" spans="1:45" ht="21" hidden="1" customHeight="1">
      <c r="A2" s="1151"/>
      <c r="B2" s="1151"/>
      <c r="C2" s="1151"/>
      <c r="D2" s="1151"/>
      <c r="E2" s="2395">
        <v>1</v>
      </c>
      <c r="F2" s="1151"/>
      <c r="G2" s="1151"/>
      <c r="H2" s="1151"/>
      <c r="I2" s="1151"/>
      <c r="J2" s="1151"/>
      <c r="K2" s="1151"/>
      <c r="L2" s="1152"/>
      <c r="M2" s="1153"/>
      <c r="N2" s="1153"/>
      <c r="O2" s="1153"/>
      <c r="P2" s="294"/>
      <c r="Q2" s="293"/>
      <c r="R2" s="288"/>
      <c r="S2" s="1124" t="e">
        <f>INDEX(PT_DIFFERENTIATION_NUM_NTAR,MATCH(A2,PT_DIFFERENTIATION_NTAR_ID,0))</f>
        <v>#N/A</v>
      </c>
      <c r="T2" s="232" t="s">
        <v>214</v>
      </c>
      <c r="U2" s="234"/>
      <c r="V2" s="2389"/>
      <c r="W2" s="2390"/>
      <c r="X2" s="2390"/>
      <c r="Y2" s="2390"/>
      <c r="Z2" s="2390"/>
      <c r="AA2" s="2390"/>
      <c r="AB2" s="2390"/>
      <c r="AC2" s="2391"/>
      <c r="AD2" s="2389" t="e">
        <f>INDEX(PT_DIFFERENTIATION_NTAR,MATCH(A2,PT_DIFFERENTIATION_NTAR_ID,0))</f>
        <v>#N/A</v>
      </c>
      <c r="AE2" s="2390"/>
      <c r="AF2" s="2390"/>
      <c r="AG2" s="2390"/>
      <c r="AH2" s="2390"/>
      <c r="AI2" s="2390"/>
      <c r="AJ2" s="2390"/>
      <c r="AK2" s="2390"/>
      <c r="AL2" s="2391"/>
      <c r="AM2" s="1046" t="s">
        <v>480</v>
      </c>
      <c r="AO2" s="433"/>
      <c r="AP2" s="433" t="str">
        <f t="shared" ref="AP2:AP15" si="0">IF(T2="","",T2)</f>
        <v>Наименование тарифа</v>
      </c>
      <c r="AQ2" s="433"/>
      <c r="AR2" s="433"/>
      <c r="AS2" s="956">
        <v>0</v>
      </c>
    </row>
    <row r="3" spans="1:45" ht="21" hidden="1" customHeight="1">
      <c r="A3" s="1151"/>
      <c r="B3" s="1151"/>
      <c r="C3" s="1151"/>
      <c r="D3" s="1151"/>
      <c r="E3" s="2396"/>
      <c r="F3" s="2395">
        <v>1</v>
      </c>
      <c r="G3" s="1151"/>
      <c r="H3" s="1151"/>
      <c r="I3" s="1151"/>
      <c r="J3" s="1151"/>
      <c r="K3" s="1151"/>
      <c r="L3" s="1152"/>
      <c r="M3" s="1153"/>
      <c r="N3" s="1153"/>
      <c r="O3" s="1153"/>
      <c r="P3" s="1120"/>
      <c r="Q3" s="285"/>
      <c r="R3" s="286"/>
      <c r="S3" s="1124" t="e">
        <f>INDEX(PT_DIFFERENTIATION_NUM_TER,MATCH(B3,PT_DIFFERENTIATION_TER_ID,0))</f>
        <v>#N/A</v>
      </c>
      <c r="T3" s="242" t="s">
        <v>481</v>
      </c>
      <c r="U3" s="234"/>
      <c r="V3" s="2389"/>
      <c r="W3" s="2390"/>
      <c r="X3" s="2390"/>
      <c r="Y3" s="2390"/>
      <c r="Z3" s="2390"/>
      <c r="AA3" s="2390"/>
      <c r="AB3" s="2390"/>
      <c r="AC3" s="2391"/>
      <c r="AD3" s="2389" t="e">
        <f>INDEX(PT_DIFFERENTIATION_TER,MATCH(B3,PT_DIFFERENTIATION_TER_ID,0))</f>
        <v>#N/A</v>
      </c>
      <c r="AE3" s="2390"/>
      <c r="AF3" s="2390"/>
      <c r="AG3" s="2390"/>
      <c r="AH3" s="2390"/>
      <c r="AI3" s="2390"/>
      <c r="AJ3" s="2390"/>
      <c r="AK3" s="2390"/>
      <c r="AL3" s="2391"/>
      <c r="AM3" s="1046" t="s">
        <v>482</v>
      </c>
      <c r="AO3" s="433"/>
      <c r="AP3" s="433" t="str">
        <f t="shared" si="0"/>
        <v>Территория действия тарифа</v>
      </c>
      <c r="AQ3" s="433"/>
      <c r="AR3" s="433"/>
      <c r="AS3" s="956">
        <v>0</v>
      </c>
    </row>
    <row r="4" spans="1:45" ht="23.25" hidden="1" customHeight="1">
      <c r="A4" s="1151"/>
      <c r="B4" s="1151"/>
      <c r="C4" s="1151"/>
      <c r="D4" s="1151"/>
      <c r="E4" s="2396"/>
      <c r="F4" s="2396"/>
      <c r="G4" s="2395">
        <v>1</v>
      </c>
      <c r="H4" s="1151"/>
      <c r="I4" s="1151"/>
      <c r="J4" s="1151"/>
      <c r="K4" s="1151"/>
      <c r="L4" s="1152"/>
      <c r="M4" s="1153"/>
      <c r="N4" s="1153"/>
      <c r="O4" s="1153"/>
      <c r="P4" s="287"/>
      <c r="Q4" s="285"/>
      <c r="R4" s="286"/>
      <c r="S4" s="1124" t="e">
        <f>INDEX(PT_DIFFERENTIATION_NUM_CS,MATCH(C4,PT_DIFFERENTIATION_CS_ID,0))</f>
        <v>#N/A</v>
      </c>
      <c r="T4" s="243" t="s">
        <v>483</v>
      </c>
      <c r="U4" s="234"/>
      <c r="V4" s="2389"/>
      <c r="W4" s="2390"/>
      <c r="X4" s="2390"/>
      <c r="Y4" s="2390"/>
      <c r="Z4" s="2390"/>
      <c r="AA4" s="2390"/>
      <c r="AB4" s="2390"/>
      <c r="AC4" s="2391"/>
      <c r="AD4" s="2389" t="e">
        <f>INDEX(PT_DIFFERENTIATION_CS,MATCH(C4,PT_DIFFERENTIATION_CS_ID,0))</f>
        <v>#N/A</v>
      </c>
      <c r="AE4" s="2390"/>
      <c r="AF4" s="2390"/>
      <c r="AG4" s="2390"/>
      <c r="AH4" s="2390"/>
      <c r="AI4" s="2390"/>
      <c r="AJ4" s="2390"/>
      <c r="AK4" s="2390"/>
      <c r="AL4" s="2391"/>
      <c r="AM4" s="1046" t="s">
        <v>484</v>
      </c>
      <c r="AO4" s="433"/>
      <c r="AP4" s="433" t="str">
        <f t="shared" si="0"/>
        <v xml:space="preserve">Наименование системы теплоснабжения </v>
      </c>
      <c r="AQ4" s="433"/>
      <c r="AR4" s="433"/>
      <c r="AS4" s="956">
        <v>0</v>
      </c>
    </row>
    <row r="5" spans="1:45" ht="21" hidden="1" customHeight="1">
      <c r="A5" s="1151"/>
      <c r="B5" s="1151"/>
      <c r="C5" s="1151"/>
      <c r="D5" s="1151"/>
      <c r="E5" s="2396"/>
      <c r="F5" s="2396"/>
      <c r="G5" s="2396"/>
      <c r="H5" s="2395">
        <v>1</v>
      </c>
      <c r="I5" s="1151"/>
      <c r="J5" s="1151"/>
      <c r="K5" s="1151"/>
      <c r="L5" s="1152"/>
      <c r="M5" s="1153"/>
      <c r="N5" s="1153"/>
      <c r="O5" s="1153"/>
      <c r="P5" s="287"/>
      <c r="Q5" s="285"/>
      <c r="R5" s="286"/>
      <c r="S5" s="1124" t="e">
        <f>INDEX(PT_DIFFERENTIATION_NUM_IST_TE,MATCH(D5,PT_DIFFERENTIATION_IST_TE_ID,0))</f>
        <v>#N/A</v>
      </c>
      <c r="T5" s="244" t="s">
        <v>485</v>
      </c>
      <c r="U5" s="234"/>
      <c r="V5" s="2389"/>
      <c r="W5" s="2390"/>
      <c r="X5" s="2390"/>
      <c r="Y5" s="2390"/>
      <c r="Z5" s="2390"/>
      <c r="AA5" s="2390"/>
      <c r="AB5" s="2390"/>
      <c r="AC5" s="2391"/>
      <c r="AD5" s="2389" t="e">
        <f>INDEX(PT_DIFFERENTIATION_IST_TE,MATCH(D5,PT_DIFFERENTIATION_IST_TE_ID,0))</f>
        <v>#N/A</v>
      </c>
      <c r="AE5" s="2390"/>
      <c r="AF5" s="2390"/>
      <c r="AG5" s="2390"/>
      <c r="AH5" s="2390"/>
      <c r="AI5" s="2390"/>
      <c r="AJ5" s="2390"/>
      <c r="AK5" s="2390"/>
      <c r="AL5" s="2391"/>
      <c r="AM5" s="1046" t="s">
        <v>486</v>
      </c>
      <c r="AO5" s="433"/>
      <c r="AP5" s="433" t="str">
        <f t="shared" si="0"/>
        <v xml:space="preserve">Источник тепловой энергии  </v>
      </c>
      <c r="AQ5" s="433"/>
      <c r="AR5" s="433"/>
      <c r="AS5" s="956">
        <v>0</v>
      </c>
    </row>
    <row r="6" spans="1:45" ht="47.25" hidden="1" customHeight="1">
      <c r="A6" s="1151"/>
      <c r="B6" s="1151"/>
      <c r="C6" s="1151"/>
      <c r="D6" s="1151"/>
      <c r="E6" s="2396"/>
      <c r="F6" s="2396"/>
      <c r="G6" s="2396"/>
      <c r="H6" s="2396"/>
      <c r="I6" s="2397" t="e">
        <f>S5&amp;".1"</f>
        <v>#N/A</v>
      </c>
      <c r="J6" s="1151"/>
      <c r="K6" s="1151"/>
      <c r="L6" s="1152" t="s">
        <v>487</v>
      </c>
      <c r="M6" s="469"/>
      <c r="P6" s="2399">
        <v>1</v>
      </c>
      <c r="Q6" s="1119"/>
      <c r="R6" s="289"/>
      <c r="S6" s="1124" t="e">
        <f>$I6</f>
        <v>#N/A</v>
      </c>
      <c r="T6" s="219" t="s">
        <v>488</v>
      </c>
      <c r="U6" s="234"/>
      <c r="V6" s="2383"/>
      <c r="W6" s="2384"/>
      <c r="X6" s="2384"/>
      <c r="Y6" s="2384"/>
      <c r="Z6" s="2384"/>
      <c r="AA6" s="2384"/>
      <c r="AB6" s="2384"/>
      <c r="AC6" s="2385"/>
      <c r="AD6" s="2383"/>
      <c r="AE6" s="2384"/>
      <c r="AF6" s="2384"/>
      <c r="AG6" s="2384"/>
      <c r="AH6" s="2384"/>
      <c r="AI6" s="2384"/>
      <c r="AJ6" s="2384"/>
      <c r="AK6" s="2384"/>
      <c r="AL6" s="2385"/>
      <c r="AM6" s="1046" t="s">
        <v>489</v>
      </c>
      <c r="AO6" s="433"/>
      <c r="AP6" s="433" t="str">
        <f t="shared" si="0"/>
        <v>Схема подключения теплопотребляющей установки к коллектору источника тепловой энергии</v>
      </c>
      <c r="AQ6" s="433"/>
      <c r="AR6" s="433"/>
      <c r="AS6" s="956">
        <v>0</v>
      </c>
    </row>
    <row r="7" spans="1:45" ht="21" hidden="1" customHeight="1">
      <c r="A7" s="1151"/>
      <c r="B7" s="1151"/>
      <c r="C7" s="1151"/>
      <c r="D7" s="1151"/>
      <c r="E7" s="2396"/>
      <c r="F7" s="2396"/>
      <c r="G7" s="2396"/>
      <c r="H7" s="2396"/>
      <c r="I7" s="2398"/>
      <c r="J7" s="2397" t="e">
        <f>I6&amp;".1"</f>
        <v>#N/A</v>
      </c>
      <c r="K7" s="1151"/>
      <c r="L7" s="1152" t="s">
        <v>490</v>
      </c>
      <c r="M7" s="469"/>
      <c r="N7" s="1154"/>
      <c r="P7" s="2399"/>
      <c r="Q7" s="2399">
        <v>1</v>
      </c>
      <c r="R7" s="290"/>
      <c r="S7" s="1124" t="e">
        <f>$J7</f>
        <v>#N/A</v>
      </c>
      <c r="T7" s="220" t="s">
        <v>491</v>
      </c>
      <c r="U7" s="234"/>
      <c r="V7" s="2383"/>
      <c r="W7" s="2384"/>
      <c r="X7" s="2384"/>
      <c r="Y7" s="2384"/>
      <c r="Z7" s="2384"/>
      <c r="AA7" s="2384"/>
      <c r="AB7" s="2384"/>
      <c r="AC7" s="2385"/>
      <c r="AD7" s="2383"/>
      <c r="AE7" s="2384"/>
      <c r="AF7" s="2384"/>
      <c r="AG7" s="2384"/>
      <c r="AH7" s="2384"/>
      <c r="AI7" s="2384"/>
      <c r="AJ7" s="2384"/>
      <c r="AK7" s="2384"/>
      <c r="AL7" s="2385"/>
      <c r="AM7" s="1046" t="s">
        <v>492</v>
      </c>
      <c r="AO7" s="433"/>
      <c r="AP7" s="433" t="str">
        <f t="shared" si="0"/>
        <v>Группа потребителей</v>
      </c>
      <c r="AQ7" s="433"/>
      <c r="AR7" s="433"/>
      <c r="AS7" s="956">
        <v>0</v>
      </c>
    </row>
    <row r="8" spans="1:45" ht="21" hidden="1" customHeight="1">
      <c r="A8" s="1151"/>
      <c r="B8" s="1151"/>
      <c r="C8" s="1151"/>
      <c r="D8" s="1151"/>
      <c r="E8" s="2396"/>
      <c r="F8" s="2396"/>
      <c r="G8" s="2396"/>
      <c r="H8" s="2396"/>
      <c r="I8" s="2398"/>
      <c r="J8" s="2398"/>
      <c r="K8" s="2397" t="e">
        <f>J7&amp;".1"</f>
        <v>#N/A</v>
      </c>
      <c r="L8" s="1152" t="s">
        <v>493</v>
      </c>
      <c r="M8" s="469"/>
      <c r="N8" s="1154"/>
      <c r="O8" s="1154"/>
      <c r="P8" s="2399"/>
      <c r="Q8" s="2399"/>
      <c r="R8" s="290">
        <v>1</v>
      </c>
      <c r="S8" s="1124" t="e">
        <f>$K8</f>
        <v>#N/A</v>
      </c>
      <c r="T8" s="1135"/>
      <c r="U8" s="234"/>
      <c r="V8" s="259"/>
      <c r="W8" s="658"/>
      <c r="X8" s="259"/>
      <c r="Y8" s="317"/>
      <c r="Z8" s="2400"/>
      <c r="AA8" s="2276" t="s">
        <v>52</v>
      </c>
      <c r="AB8" s="2400"/>
      <c r="AC8" s="2276" t="s">
        <v>52</v>
      </c>
      <c r="AD8" s="259"/>
      <c r="AE8" s="658"/>
      <c r="AF8" s="259"/>
      <c r="AG8" s="317"/>
      <c r="AH8" s="2400"/>
      <c r="AI8" s="2276" t="s">
        <v>52</v>
      </c>
      <c r="AJ8" s="2400"/>
      <c r="AK8" s="2276" t="s">
        <v>52</v>
      </c>
      <c r="AL8" s="259"/>
      <c r="AM8" s="2418" t="s">
        <v>494</v>
      </c>
      <c r="AN8" s="444" t="e">
        <f ca="1">STRCHECKDATE(V9:AL9)</f>
        <v>#NAME?</v>
      </c>
      <c r="AO8" s="433"/>
      <c r="AP8" s="433" t="str">
        <f t="shared" si="0"/>
        <v/>
      </c>
      <c r="AQ8" s="433"/>
      <c r="AR8" s="433"/>
      <c r="AS8" s="956">
        <v>0</v>
      </c>
    </row>
    <row r="9" spans="1:45" ht="0.75" hidden="1" customHeight="1">
      <c r="A9" s="1151"/>
      <c r="B9" s="1151"/>
      <c r="C9" s="1151"/>
      <c r="D9" s="1151"/>
      <c r="E9" s="2396"/>
      <c r="F9" s="2396"/>
      <c r="G9" s="2396"/>
      <c r="H9" s="2396"/>
      <c r="I9" s="2398"/>
      <c r="J9" s="2398"/>
      <c r="K9" s="2397"/>
      <c r="L9" s="1152"/>
      <c r="M9" s="469"/>
      <c r="N9" s="1154"/>
      <c r="O9" s="1154"/>
      <c r="P9" s="2399"/>
      <c r="Q9" s="2399"/>
      <c r="R9" s="290"/>
      <c r="S9" s="1130"/>
      <c r="T9" s="234"/>
      <c r="U9" s="234"/>
      <c r="V9" s="259"/>
      <c r="W9" s="259"/>
      <c r="X9" s="259"/>
      <c r="Y9" s="262" t="str">
        <f>Z8&amp;"-"&amp;AB8</f>
        <v>-</v>
      </c>
      <c r="Z9" s="2401"/>
      <c r="AA9" s="2276"/>
      <c r="AB9" s="2401"/>
      <c r="AC9" s="2276"/>
      <c r="AD9" s="259"/>
      <c r="AE9" s="259"/>
      <c r="AF9" s="259"/>
      <c r="AG9" s="262" t="str">
        <f>AH8&amp;"-"&amp;AJ8</f>
        <v>-</v>
      </c>
      <c r="AH9" s="2401"/>
      <c r="AI9" s="2276"/>
      <c r="AJ9" s="2401"/>
      <c r="AK9" s="2276"/>
      <c r="AL9" s="259"/>
      <c r="AM9" s="2419"/>
      <c r="AO9" s="433"/>
      <c r="AP9" s="433" t="str">
        <f t="shared" si="0"/>
        <v/>
      </c>
      <c r="AQ9" s="433"/>
      <c r="AR9" s="433"/>
      <c r="AS9" s="956">
        <v>0</v>
      </c>
    </row>
    <row r="10" spans="1:45" ht="15" hidden="1" customHeight="1">
      <c r="A10" s="1151"/>
      <c r="B10" s="1151"/>
      <c r="C10" s="1151"/>
      <c r="D10" s="1151"/>
      <c r="E10" s="2396"/>
      <c r="F10" s="2396"/>
      <c r="G10" s="2396"/>
      <c r="H10" s="2396"/>
      <c r="I10" s="2398"/>
      <c r="J10" s="2397"/>
      <c r="K10" s="1151"/>
      <c r="L10" s="1152"/>
      <c r="M10" s="469"/>
      <c r="N10" s="1154"/>
      <c r="P10" s="2399"/>
      <c r="Q10" s="2399"/>
      <c r="R10" s="289"/>
      <c r="S10" s="1066"/>
      <c r="T10" s="222" t="s">
        <v>495</v>
      </c>
      <c r="U10" s="300"/>
      <c r="V10" s="300"/>
      <c r="W10" s="300"/>
      <c r="X10" s="300"/>
      <c r="Y10" s="300"/>
      <c r="Z10" s="300"/>
      <c r="AA10" s="300"/>
      <c r="AB10" s="300"/>
      <c r="AC10" s="300"/>
      <c r="AD10" s="300"/>
      <c r="AE10" s="300"/>
      <c r="AF10" s="300"/>
      <c r="AG10" s="300"/>
      <c r="AH10" s="300"/>
      <c r="AI10" s="300"/>
      <c r="AJ10" s="300"/>
      <c r="AK10" s="300"/>
      <c r="AL10" s="258"/>
      <c r="AM10" s="2420"/>
      <c r="AO10" s="433"/>
      <c r="AP10" s="433" t="str">
        <f t="shared" si="0"/>
        <v>Добавить вид теплоносителя (параметры теплоносителя)</v>
      </c>
      <c r="AQ10" s="433"/>
      <c r="AR10" s="433"/>
      <c r="AS10" s="956">
        <v>0</v>
      </c>
    </row>
    <row r="11" spans="1:45" ht="15" hidden="1" customHeight="1">
      <c r="A11" s="1151"/>
      <c r="B11" s="1151"/>
      <c r="C11" s="1151"/>
      <c r="D11" s="1151"/>
      <c r="E11" s="2396"/>
      <c r="F11" s="2396"/>
      <c r="G11" s="2396"/>
      <c r="H11" s="2396"/>
      <c r="I11" s="2397"/>
      <c r="J11" s="1151"/>
      <c r="K11" s="1151"/>
      <c r="L11" s="1152"/>
      <c r="M11" s="469"/>
      <c r="P11" s="2399"/>
      <c r="Q11" s="1119"/>
      <c r="R11" s="289"/>
      <c r="S11" s="1066"/>
      <c r="T11" s="221" t="s">
        <v>496</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956">
        <v>0</v>
      </c>
    </row>
    <row r="12" spans="1:45" ht="14.25" hidden="1" customHeight="1">
      <c r="A12" s="1151"/>
      <c r="B12" s="1151"/>
      <c r="C12" s="1151"/>
      <c r="D12" s="1151"/>
      <c r="E12" s="2396"/>
      <c r="F12" s="2396"/>
      <c r="G12" s="2396"/>
      <c r="H12" s="2395"/>
      <c r="I12" s="1151"/>
      <c r="J12" s="1151"/>
      <c r="K12" s="1151"/>
      <c r="L12" s="1152"/>
      <c r="M12" s="1153"/>
      <c r="N12" s="1153"/>
      <c r="O12" s="469"/>
      <c r="P12" s="293"/>
      <c r="Q12" s="308"/>
      <c r="R12" s="288"/>
      <c r="S12" s="1066"/>
      <c r="T12" s="298" t="s">
        <v>497</v>
      </c>
      <c r="U12" s="300"/>
      <c r="V12" s="300"/>
      <c r="W12" s="300"/>
      <c r="X12" s="300"/>
      <c r="Y12" s="300"/>
      <c r="Z12" s="300"/>
      <c r="AA12" s="300"/>
      <c r="AB12" s="300"/>
      <c r="AC12" s="299"/>
      <c r="AD12" s="300"/>
      <c r="AE12" s="300"/>
      <c r="AF12" s="300"/>
      <c r="AG12" s="300"/>
      <c r="AH12" s="300"/>
      <c r="AI12" s="300"/>
      <c r="AJ12" s="300"/>
      <c r="AK12" s="299"/>
      <c r="AL12" s="300"/>
      <c r="AM12" s="237"/>
      <c r="AO12" s="433"/>
      <c r="AP12" s="433" t="str">
        <f t="shared" si="0"/>
        <v>Добавить схему подключения</v>
      </c>
      <c r="AQ12" s="433"/>
      <c r="AR12" s="433"/>
      <c r="AS12" s="956">
        <v>0</v>
      </c>
    </row>
    <row r="13" spans="1:45" s="1430" customFormat="1" ht="0.75" hidden="1" customHeight="1">
      <c r="A13" s="1102"/>
      <c r="B13" s="1102"/>
      <c r="C13" s="1102"/>
      <c r="D13" s="1102"/>
      <c r="E13" s="2396"/>
      <c r="F13" s="2396"/>
      <c r="G13" s="2395"/>
      <c r="H13" s="1102"/>
      <c r="I13" s="1102"/>
      <c r="J13" s="1102"/>
      <c r="K13" s="1102"/>
      <c r="L13" s="1127"/>
      <c r="M13" s="1103"/>
      <c r="N13" s="1103"/>
      <c r="P13" s="1104"/>
      <c r="Q13" s="1105"/>
      <c r="R13" s="1104"/>
      <c r="S13" s="1106"/>
      <c r="T13" s="1107" t="s">
        <v>498</v>
      </c>
      <c r="U13" s="1108"/>
      <c r="V13" s="1108"/>
      <c r="W13" s="1108"/>
      <c r="X13" s="1108"/>
      <c r="Y13" s="1108"/>
      <c r="Z13" s="1108"/>
      <c r="AA13" s="1108"/>
      <c r="AB13" s="1108"/>
      <c r="AC13" s="1108"/>
      <c r="AD13" s="1108"/>
      <c r="AE13" s="1108"/>
      <c r="AF13" s="1108"/>
      <c r="AG13" s="1108"/>
      <c r="AH13" s="1108"/>
      <c r="AI13" s="1108"/>
      <c r="AJ13" s="1108"/>
      <c r="AK13" s="1108"/>
      <c r="AL13" s="1108"/>
      <c r="AM13" s="1108"/>
      <c r="AO13" s="688"/>
      <c r="AP13" s="688" t="str">
        <f t="shared" si="0"/>
        <v>Добавить источник для дифференциации</v>
      </c>
      <c r="AQ13" s="688"/>
      <c r="AR13" s="688"/>
      <c r="AS13" s="451">
        <v>0</v>
      </c>
    </row>
    <row r="14" spans="1:45" s="1430" customFormat="1" ht="0.75" hidden="1" customHeight="1">
      <c r="A14" s="1102"/>
      <c r="B14" s="1102"/>
      <c r="C14" s="1102"/>
      <c r="D14" s="1102"/>
      <c r="E14" s="2396"/>
      <c r="F14" s="2395"/>
      <c r="G14" s="1102"/>
      <c r="H14" s="1102"/>
      <c r="I14" s="1102"/>
      <c r="J14" s="1102"/>
      <c r="K14" s="1102"/>
      <c r="L14" s="1127"/>
      <c r="M14" s="1109"/>
      <c r="N14" s="1109"/>
      <c r="P14" s="1104"/>
      <c r="Q14" s="1105"/>
      <c r="R14" s="1104"/>
      <c r="S14" s="1110"/>
      <c r="T14" s="1111" t="s">
        <v>499</v>
      </c>
      <c r="U14" s="1112"/>
      <c r="V14" s="1112"/>
      <c r="W14" s="1112"/>
      <c r="X14" s="1112"/>
      <c r="Y14" s="1112"/>
      <c r="Z14" s="1112"/>
      <c r="AA14" s="1112"/>
      <c r="AB14" s="1112"/>
      <c r="AC14" s="1112"/>
      <c r="AD14" s="1112"/>
      <c r="AE14" s="1112"/>
      <c r="AF14" s="1112"/>
      <c r="AG14" s="1112"/>
      <c r="AH14" s="1112"/>
      <c r="AI14" s="1112"/>
      <c r="AJ14" s="1112"/>
      <c r="AK14" s="1112"/>
      <c r="AL14" s="1112"/>
      <c r="AM14" s="1112"/>
      <c r="AO14" s="688"/>
      <c r="AP14" s="688" t="str">
        <f t="shared" si="0"/>
        <v>Добавить централизованную систему для дифференциации</v>
      </c>
      <c r="AQ14" s="688"/>
      <c r="AR14" s="688"/>
      <c r="AS14" s="451">
        <v>0</v>
      </c>
    </row>
    <row r="15" spans="1:45" s="1430" customFormat="1" ht="0.75" hidden="1" customHeight="1">
      <c r="A15" s="1102"/>
      <c r="B15" s="1102"/>
      <c r="C15" s="1102"/>
      <c r="D15" s="1102"/>
      <c r="E15" s="2395"/>
      <c r="F15" s="1102"/>
      <c r="G15" s="1102"/>
      <c r="H15" s="1102"/>
      <c r="I15" s="1102"/>
      <c r="J15" s="1102"/>
      <c r="K15" s="1102"/>
      <c r="L15" s="1127"/>
      <c r="M15" s="1109"/>
      <c r="N15" s="1109"/>
      <c r="P15" s="1104"/>
      <c r="Q15" s="1105"/>
      <c r="R15" s="1104"/>
      <c r="S15" s="1110"/>
      <c r="T15" s="1113" t="s">
        <v>500</v>
      </c>
      <c r="U15" s="1112"/>
      <c r="V15" s="1112"/>
      <c r="W15" s="1112"/>
      <c r="X15" s="1112"/>
      <c r="Y15" s="1112"/>
      <c r="Z15" s="1112"/>
      <c r="AA15" s="1112"/>
      <c r="AB15" s="1112"/>
      <c r="AC15" s="1112"/>
      <c r="AD15" s="1112"/>
      <c r="AE15" s="1112"/>
      <c r="AF15" s="1112"/>
      <c r="AG15" s="1112"/>
      <c r="AH15" s="1112"/>
      <c r="AI15" s="1112"/>
      <c r="AJ15" s="1112"/>
      <c r="AK15" s="1112"/>
      <c r="AL15" s="1112"/>
      <c r="AM15" s="1112"/>
      <c r="AO15" s="688"/>
      <c r="AP15" s="688" t="str">
        <f t="shared" si="0"/>
        <v>Добавить территорию для дифференциации</v>
      </c>
      <c r="AQ15" s="688"/>
      <c r="AR15" s="688"/>
      <c r="AS15" s="451">
        <v>0</v>
      </c>
    </row>
    <row r="16" spans="1:45" ht="14.25" hidden="1" customHeight="1">
      <c r="AC16" s="261"/>
      <c r="AK16" s="261"/>
      <c r="AS16" s="956">
        <v>0</v>
      </c>
    </row>
    <row r="17" spans="1:45" ht="14.25" hidden="1" customHeight="1">
      <c r="AD17" s="1148"/>
      <c r="AE17" s="1148"/>
      <c r="AF17" s="1148"/>
      <c r="AG17" s="1149"/>
      <c r="AH17" s="2393"/>
      <c r="AI17" s="2392" t="s">
        <v>52</v>
      </c>
      <c r="AJ17" s="2393"/>
      <c r="AK17" s="2392" t="s">
        <v>52</v>
      </c>
      <c r="AS17" s="956">
        <v>0</v>
      </c>
    </row>
    <row r="18" spans="1:45" ht="14.25" hidden="1" customHeight="1">
      <c r="AD18" s="1148"/>
      <c r="AE18" s="1148"/>
      <c r="AF18" s="1148"/>
      <c r="AG18" s="262" t="str">
        <f>AH17&amp;"-"&amp;AJ17</f>
        <v>-</v>
      </c>
      <c r="AH18" s="2392"/>
      <c r="AI18" s="2392"/>
      <c r="AJ18" s="2392"/>
      <c r="AK18" s="2392"/>
      <c r="AS18" s="956">
        <v>0</v>
      </c>
    </row>
    <row r="19" spans="1:45" ht="14.25" hidden="1" customHeight="1">
      <c r="AK19" s="261"/>
      <c r="AS19" s="956">
        <v>0</v>
      </c>
    </row>
    <row r="20" spans="1:45" s="1154" customFormat="1" ht="22.5" hidden="1" customHeight="1">
      <c r="L20" s="1117"/>
      <c r="M20" s="1150"/>
      <c r="N20" s="1150"/>
      <c r="O20" s="1155" t="s">
        <v>501</v>
      </c>
      <c r="P20" s="1150"/>
      <c r="Q20" s="1159"/>
      <c r="R20" s="1159"/>
      <c r="S20" s="640"/>
      <c r="Z20" s="1155"/>
      <c r="AB20" s="1155"/>
      <c r="AH20" s="1155"/>
      <c r="AJ20" s="1155"/>
      <c r="AN20" s="444"/>
      <c r="AO20" s="444"/>
      <c r="AP20" s="444"/>
      <c r="AQ20" s="444"/>
      <c r="AR20" s="444"/>
      <c r="AS20" s="961">
        <v>0</v>
      </c>
    </row>
    <row r="21" spans="1:45" s="1154" customFormat="1" ht="14.25" hidden="1" customHeight="1">
      <c r="L21" s="1117"/>
      <c r="M21" s="1150"/>
      <c r="N21" s="1150"/>
      <c r="O21" s="1150"/>
      <c r="P21" s="1150"/>
      <c r="Q21" s="1159"/>
      <c r="R21" s="1159"/>
      <c r="S21" s="640"/>
      <c r="AN21" s="444"/>
      <c r="AO21" s="444"/>
      <c r="AP21" s="444"/>
      <c r="AQ21" s="444"/>
      <c r="AR21" s="444"/>
      <c r="AS21" s="961">
        <v>0</v>
      </c>
    </row>
    <row r="22" spans="1:45" s="1154" customFormat="1" ht="33.75" hidden="1" customHeight="1">
      <c r="L22" s="1117"/>
      <c r="M22" s="1150"/>
      <c r="N22" s="1150"/>
      <c r="O22" s="1152" t="s">
        <v>502</v>
      </c>
      <c r="P22" s="1150"/>
      <c r="Q22" s="1159"/>
      <c r="R22" s="1159"/>
      <c r="S22" s="640"/>
      <c r="T22" s="961" t="s">
        <v>503</v>
      </c>
      <c r="AA22" s="120" t="s">
        <v>504</v>
      </c>
      <c r="AC22" s="120" t="s">
        <v>505</v>
      </c>
      <c r="AD22" s="961" t="s">
        <v>503</v>
      </c>
      <c r="AI22" s="120" t="s">
        <v>506</v>
      </c>
      <c r="AK22" s="120" t="s">
        <v>505</v>
      </c>
      <c r="AN22" s="444"/>
      <c r="AO22" s="444"/>
      <c r="AP22" s="444"/>
      <c r="AQ22" s="444"/>
      <c r="AR22" s="444"/>
      <c r="AS22" s="961">
        <v>0</v>
      </c>
    </row>
    <row r="23" spans="1:45" ht="14.25" hidden="1" customHeight="1">
      <c r="O23" s="1152"/>
      <c r="AS23" s="956">
        <v>0</v>
      </c>
    </row>
    <row r="24" spans="1:45" ht="14.25" hidden="1" customHeight="1">
      <c r="O24" s="1152"/>
      <c r="AS24" s="956">
        <v>0</v>
      </c>
    </row>
    <row r="25" spans="1:45" ht="14.65" customHeight="1">
      <c r="Q25" s="309"/>
      <c r="R25" s="309"/>
      <c r="S25" s="1063"/>
      <c r="T25" s="296"/>
      <c r="U25" s="296"/>
      <c r="V25" s="442"/>
      <c r="W25" s="442"/>
      <c r="X25" s="442"/>
      <c r="Y25" s="442"/>
      <c r="Z25" s="442"/>
      <c r="AA25" s="442"/>
      <c r="AB25" s="442"/>
      <c r="AC25" s="442"/>
      <c r="AD25" s="442"/>
      <c r="AE25" s="442"/>
      <c r="AF25" s="442"/>
      <c r="AG25" s="442"/>
      <c r="AH25" s="442"/>
      <c r="AI25" s="442"/>
      <c r="AJ25" s="442"/>
      <c r="AK25" s="442"/>
      <c r="AS25" s="956">
        <v>14</v>
      </c>
    </row>
    <row r="26" spans="1:45" ht="29.25" customHeight="1">
      <c r="Q26" s="309"/>
      <c r="R26" s="309"/>
      <c r="S26" s="23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76"/>
      <c r="U26" s="2376"/>
      <c r="V26" s="2376"/>
      <c r="W26" s="2376"/>
      <c r="X26" s="2376"/>
      <c r="Y26" s="2376"/>
      <c r="Z26" s="2376"/>
      <c r="AA26" s="2376"/>
      <c r="AB26" s="2376"/>
      <c r="AC26" s="2376"/>
      <c r="AD26" s="2376"/>
      <c r="AE26" s="2376"/>
      <c r="AF26" s="2376"/>
      <c r="AG26" s="2376"/>
      <c r="AH26" s="2376"/>
      <c r="AI26" s="2376"/>
      <c r="AJ26" s="2376"/>
      <c r="AK26" s="1031"/>
      <c r="AS26" s="956">
        <v>28</v>
      </c>
    </row>
    <row r="27" spans="1:45" ht="14.65" customHeight="1">
      <c r="Q27" s="309"/>
      <c r="R27" s="309"/>
      <c r="S27" s="2349" t="str">
        <f>IF(org=0,"Не определено",org)</f>
        <v>ООО "Смоленскрегионтеплоэнерго"</v>
      </c>
      <c r="T27" s="2349"/>
      <c r="U27" s="2349"/>
      <c r="V27" s="2349"/>
      <c r="W27" s="2349"/>
      <c r="X27" s="2349"/>
      <c r="Y27" s="2349"/>
      <c r="Z27" s="2349"/>
      <c r="AA27" s="2349"/>
      <c r="AB27" s="2349"/>
      <c r="AC27" s="2349"/>
      <c r="AD27" s="2349"/>
      <c r="AE27" s="2349"/>
      <c r="AF27" s="2349"/>
      <c r="AG27" s="2349"/>
      <c r="AH27" s="2349"/>
      <c r="AI27" s="2349"/>
      <c r="AJ27" s="2349"/>
      <c r="AK27" s="1031"/>
      <c r="AS27" s="956">
        <v>14</v>
      </c>
    </row>
    <row r="28" spans="1:45" ht="14.25" hidden="1" customHeight="1">
      <c r="Q28" s="309"/>
      <c r="R28" s="309"/>
      <c r="S28" s="1063"/>
      <c r="T28" s="296"/>
      <c r="U28" s="296"/>
      <c r="V28" s="256"/>
      <c r="W28" s="256"/>
      <c r="X28" s="256"/>
      <c r="Y28" s="256"/>
      <c r="Z28" s="256"/>
      <c r="AA28" s="256"/>
      <c r="AB28" s="256"/>
      <c r="AC28" s="256"/>
      <c r="AD28" s="256"/>
      <c r="AE28" s="256"/>
      <c r="AF28" s="256"/>
      <c r="AG28" s="256"/>
      <c r="AH28" s="256"/>
      <c r="AI28" s="256"/>
      <c r="AJ28" s="256"/>
      <c r="AK28" s="256"/>
      <c r="AL28" s="442"/>
      <c r="AS28" s="956">
        <v>0</v>
      </c>
    </row>
    <row r="29" spans="1:45" s="1609" customFormat="1" ht="25.5" hidden="1" customHeight="1">
      <c r="A29" s="1156"/>
      <c r="B29" s="1156"/>
      <c r="C29" s="1156"/>
      <c r="D29" s="1156"/>
      <c r="E29" s="1156"/>
      <c r="F29" s="1156"/>
      <c r="G29" s="1156"/>
      <c r="H29" s="1156"/>
      <c r="I29" s="1156"/>
      <c r="J29" s="1156"/>
      <c r="K29" s="1156"/>
      <c r="L29" s="1157"/>
      <c r="M29" s="1156"/>
      <c r="N29" s="1156"/>
      <c r="O29" s="1156"/>
      <c r="S29" s="2386" t="s">
        <v>28</v>
      </c>
      <c r="T29" s="2386"/>
      <c r="U29" s="1160"/>
      <c r="V29" s="2388" t="str">
        <f>IF(TITLE_NAME_OR_PR_CHANGE="",IF(TITLE_NAME_OR_PR="","",TITLE_NAME_OR_PR),TITLE_NAME_OR_PR_CHANGE)</f>
        <v/>
      </c>
      <c r="W29" s="2388"/>
      <c r="X29" s="2388"/>
      <c r="Y29" s="2388"/>
      <c r="Z29" s="2388"/>
      <c r="AA29" s="2388"/>
      <c r="AB29" s="2388"/>
      <c r="AC29" s="260"/>
      <c r="AD29" s="2388" t="str">
        <f>IF(TITLE_NAME_OR_PR_CHANGE="",IF(TITLE_NAME_OR_PR="","",TITLE_NAME_OR_PR),TITLE_NAME_OR_PR_CHANGE)</f>
        <v/>
      </c>
      <c r="AE29" s="2388"/>
      <c r="AF29" s="2388"/>
      <c r="AG29" s="2388"/>
      <c r="AH29" s="2388"/>
      <c r="AI29" s="2388"/>
      <c r="AJ29" s="2388"/>
      <c r="AK29" s="260"/>
      <c r="AL29" s="260"/>
      <c r="AM29" s="214"/>
      <c r="AN29" s="301"/>
      <c r="AO29" s="301"/>
      <c r="AP29" s="301"/>
      <c r="AQ29" s="301"/>
      <c r="AR29" s="301"/>
      <c r="AS29" s="351">
        <v>0</v>
      </c>
    </row>
    <row r="30" spans="1:45" s="1609" customFormat="1" ht="18.75" hidden="1" customHeight="1">
      <c r="A30" s="1156"/>
      <c r="B30" s="1156"/>
      <c r="C30" s="1156"/>
      <c r="D30" s="1156"/>
      <c r="E30" s="1156"/>
      <c r="F30" s="1156"/>
      <c r="G30" s="1156"/>
      <c r="H30" s="1156"/>
      <c r="I30" s="1156"/>
      <c r="J30" s="1156"/>
      <c r="K30" s="1156"/>
      <c r="L30" s="1157"/>
      <c r="M30" s="1156"/>
      <c r="N30" s="1156"/>
      <c r="O30" s="1156"/>
      <c r="S30" s="2386" t="s">
        <v>507</v>
      </c>
      <c r="T30" s="2386"/>
      <c r="U30" s="1160"/>
      <c r="V30" s="2387" t="str">
        <f>IF(TITLE_DATE_PR_CHANGE="",IF(TITLE_DATE_PR="","",TITLE_DATE_PR),TITLE_DATE_PR_CHANGE)</f>
        <v/>
      </c>
      <c r="W30" s="2387"/>
      <c r="X30" s="2387"/>
      <c r="Y30" s="2387"/>
      <c r="Z30" s="2387"/>
      <c r="AA30" s="2387"/>
      <c r="AB30" s="2387"/>
      <c r="AC30" s="260"/>
      <c r="AD30" s="2387" t="str">
        <f>IF(TITLE_DATE_PR_CHANGE="",IF(TITLE_DATE_PR="","",TITLE_DATE_PR),TITLE_DATE_PR_CHANGE)</f>
        <v/>
      </c>
      <c r="AE30" s="2387"/>
      <c r="AF30" s="2387"/>
      <c r="AG30" s="2387"/>
      <c r="AH30" s="2387"/>
      <c r="AI30" s="2387"/>
      <c r="AJ30" s="2387"/>
      <c r="AK30" s="260"/>
      <c r="AL30" s="260"/>
      <c r="AM30" s="214"/>
      <c r="AN30" s="301"/>
      <c r="AO30" s="301"/>
      <c r="AP30" s="301"/>
      <c r="AQ30" s="301"/>
      <c r="AR30" s="301"/>
      <c r="AS30" s="351">
        <v>0</v>
      </c>
    </row>
    <row r="31" spans="1:45" s="1609" customFormat="1" ht="18.75" hidden="1" customHeight="1">
      <c r="A31" s="1156"/>
      <c r="B31" s="1156"/>
      <c r="C31" s="1156"/>
      <c r="D31" s="1156"/>
      <c r="E31" s="1156"/>
      <c r="F31" s="1156"/>
      <c r="G31" s="1156"/>
      <c r="H31" s="1156"/>
      <c r="I31" s="1156"/>
      <c r="J31" s="1156"/>
      <c r="K31" s="1156"/>
      <c r="L31" s="1157"/>
      <c r="M31" s="1156"/>
      <c r="N31" s="1156"/>
      <c r="O31" s="1156"/>
      <c r="S31" s="2386" t="s">
        <v>508</v>
      </c>
      <c r="T31" s="2386"/>
      <c r="U31" s="1160"/>
      <c r="V31" s="2388" t="str">
        <f>IF(TITLE_NUMBER_PR_CHANGE="",IF(TITLE_NUMBER_PR="","",TITLE_NUMBER_PR),TITLE_NUMBER_PR_CHANGE)</f>
        <v/>
      </c>
      <c r="W31" s="2388"/>
      <c r="X31" s="2388"/>
      <c r="Y31" s="2388"/>
      <c r="Z31" s="2388"/>
      <c r="AA31" s="2388"/>
      <c r="AB31" s="2388"/>
      <c r="AC31" s="260"/>
      <c r="AD31" s="2388" t="str">
        <f>IF(TITLE_NUMBER_PR_CHANGE="",IF(TITLE_NUMBER_PR="","",TITLE_NUMBER_PR),TITLE_NUMBER_PR_CHANGE)</f>
        <v/>
      </c>
      <c r="AE31" s="2388"/>
      <c r="AF31" s="2388"/>
      <c r="AG31" s="2388"/>
      <c r="AH31" s="2388"/>
      <c r="AI31" s="2388"/>
      <c r="AJ31" s="2388"/>
      <c r="AK31" s="260"/>
      <c r="AL31" s="260"/>
      <c r="AM31" s="214"/>
      <c r="AN31" s="301"/>
      <c r="AO31" s="301"/>
      <c r="AP31" s="301"/>
      <c r="AQ31" s="301"/>
      <c r="AR31" s="301"/>
      <c r="AS31" s="351">
        <v>0</v>
      </c>
    </row>
    <row r="32" spans="1:45" s="1609" customFormat="1" ht="18.75" hidden="1" customHeight="1">
      <c r="A32" s="1156"/>
      <c r="B32" s="1156"/>
      <c r="C32" s="1156"/>
      <c r="D32" s="1156"/>
      <c r="E32" s="1156"/>
      <c r="F32" s="1156"/>
      <c r="G32" s="1156"/>
      <c r="H32" s="1156"/>
      <c r="I32" s="1156"/>
      <c r="J32" s="1156"/>
      <c r="K32" s="1156"/>
      <c r="L32" s="1157"/>
      <c r="M32" s="1156"/>
      <c r="N32" s="1156"/>
      <c r="O32" s="1156"/>
      <c r="S32" s="2386" t="s">
        <v>29</v>
      </c>
      <c r="T32" s="2386"/>
      <c r="U32" s="1160"/>
      <c r="V32" s="2388" t="str">
        <f>IF(TITLE_IST_PUB_CHANGE="",IF(TITLE_IST_PUB="","",TITLE_IST_PUB),TITLE_IST_PUB_CHANGE)</f>
        <v/>
      </c>
      <c r="W32" s="2388"/>
      <c r="X32" s="2388"/>
      <c r="Y32" s="2388"/>
      <c r="Z32" s="2388"/>
      <c r="AA32" s="2388"/>
      <c r="AB32" s="2388"/>
      <c r="AC32" s="260"/>
      <c r="AD32" s="2388" t="str">
        <f>IF(TITLE_IST_PUB_CHANGE="",IF(TITLE_IST_PUB="","",TITLE_IST_PUB),TITLE_IST_PUB_CHANGE)</f>
        <v/>
      </c>
      <c r="AE32" s="2388"/>
      <c r="AF32" s="2388"/>
      <c r="AG32" s="2388"/>
      <c r="AH32" s="2388"/>
      <c r="AI32" s="2388"/>
      <c r="AJ32" s="2388"/>
      <c r="AK32" s="260"/>
      <c r="AL32" s="260"/>
      <c r="AM32" s="214"/>
      <c r="AN32" s="301"/>
      <c r="AO32" s="301"/>
      <c r="AP32" s="301"/>
      <c r="AQ32" s="301"/>
      <c r="AR32" s="301"/>
      <c r="AS32" s="351">
        <v>0</v>
      </c>
    </row>
    <row r="33" spans="1:45" ht="14.25" hidden="1" customHeight="1">
      <c r="Q33" s="309"/>
      <c r="R33" s="309"/>
      <c r="S33" s="1063"/>
      <c r="T33" s="296"/>
      <c r="U33" s="296"/>
      <c r="V33" s="256"/>
      <c r="W33" s="256"/>
      <c r="X33" s="256"/>
      <c r="Y33" s="256"/>
      <c r="Z33" s="256"/>
      <c r="AA33" s="256"/>
      <c r="AB33" s="256"/>
      <c r="AC33" s="256"/>
      <c r="AD33" s="256"/>
      <c r="AE33" s="256"/>
      <c r="AF33" s="256"/>
      <c r="AG33" s="256"/>
      <c r="AH33" s="256"/>
      <c r="AI33" s="256"/>
      <c r="AJ33" s="256"/>
      <c r="AK33" s="256"/>
      <c r="AL33" s="442"/>
      <c r="AS33" s="956">
        <v>0</v>
      </c>
    </row>
    <row r="34" spans="1:45" s="1609" customFormat="1" ht="18.75" hidden="1" customHeight="1">
      <c r="A34" s="1156"/>
      <c r="B34" s="1156"/>
      <c r="C34" s="1156"/>
      <c r="D34" s="1156"/>
      <c r="E34" s="1156"/>
      <c r="F34" s="1156"/>
      <c r="G34" s="1156"/>
      <c r="H34" s="1156"/>
      <c r="I34" s="1156"/>
      <c r="J34" s="1156"/>
      <c r="K34" s="1156"/>
      <c r="L34" s="1157"/>
      <c r="M34" s="1156"/>
      <c r="N34" s="1156"/>
      <c r="O34" s="1156"/>
      <c r="S34" s="2386" t="s">
        <v>509</v>
      </c>
      <c r="T34" s="2386"/>
      <c r="U34" s="1160"/>
      <c r="V34" s="2387" t="str">
        <f>IF(TITLE_DATE_PR_CHANGE="",IF(TITLE_DATE_PR="","",TITLE_DATE_PR),TITLE_DATE_PR_CHANGE)</f>
        <v/>
      </c>
      <c r="W34" s="2387"/>
      <c r="X34" s="2387"/>
      <c r="Y34" s="2387"/>
      <c r="Z34" s="2387"/>
      <c r="AA34" s="2387"/>
      <c r="AB34" s="2387"/>
      <c r="AC34" s="260"/>
      <c r="AD34" s="2387" t="str">
        <f>IF(TITLE_DATE_PR_CHANGE="",IF(TITLE_DATE_PR="","",TITLE_DATE_PR),TITLE_DATE_PR_CHANGE)</f>
        <v/>
      </c>
      <c r="AE34" s="2387"/>
      <c r="AF34" s="2387"/>
      <c r="AG34" s="2387"/>
      <c r="AH34" s="2387"/>
      <c r="AI34" s="2387"/>
      <c r="AJ34" s="2387"/>
      <c r="AK34" s="260"/>
      <c r="AL34" s="260"/>
      <c r="AM34" s="214"/>
      <c r="AN34" s="301"/>
      <c r="AO34" s="301"/>
      <c r="AP34" s="301"/>
      <c r="AQ34" s="301"/>
      <c r="AR34" s="301"/>
      <c r="AS34" s="351">
        <v>0</v>
      </c>
    </row>
    <row r="35" spans="1:45" s="1609" customFormat="1" ht="18.75" hidden="1" customHeight="1">
      <c r="A35" s="1156"/>
      <c r="B35" s="1156"/>
      <c r="C35" s="1156"/>
      <c r="D35" s="1156"/>
      <c r="E35" s="1156"/>
      <c r="F35" s="1156"/>
      <c r="G35" s="1156"/>
      <c r="H35" s="1156"/>
      <c r="I35" s="1156"/>
      <c r="J35" s="1156"/>
      <c r="K35" s="1156"/>
      <c r="L35" s="1157"/>
      <c r="M35" s="1156"/>
      <c r="N35" s="1156"/>
      <c r="O35" s="1156"/>
      <c r="S35" s="2386" t="s">
        <v>510</v>
      </c>
      <c r="T35" s="2386"/>
      <c r="U35" s="1160"/>
      <c r="V35" s="2388" t="str">
        <f>IF(TITLE_NUMBER_PR_CHANGE="",IF(TITLE_NUMBER_PR="","",TITLE_NUMBER_PR),TITLE_NUMBER_PR_CHANGE)</f>
        <v/>
      </c>
      <c r="W35" s="2388"/>
      <c r="X35" s="2388"/>
      <c r="Y35" s="2388"/>
      <c r="Z35" s="2388"/>
      <c r="AA35" s="2388"/>
      <c r="AB35" s="2388"/>
      <c r="AC35" s="260"/>
      <c r="AD35" s="2388" t="str">
        <f>IF(TITLE_NUMBER_PR_CHANGE="",IF(TITLE_NUMBER_PR="","",TITLE_NUMBER_PR),TITLE_NUMBER_PR_CHANGE)</f>
        <v/>
      </c>
      <c r="AE35" s="2388"/>
      <c r="AF35" s="2388"/>
      <c r="AG35" s="2388"/>
      <c r="AH35" s="2388"/>
      <c r="AI35" s="2388"/>
      <c r="AJ35" s="2388"/>
      <c r="AK35" s="260"/>
      <c r="AL35" s="260"/>
      <c r="AM35" s="214"/>
      <c r="AN35" s="301"/>
      <c r="AO35" s="301"/>
      <c r="AP35" s="301"/>
      <c r="AQ35" s="301"/>
      <c r="AR35" s="301"/>
      <c r="AS35" s="351">
        <v>0</v>
      </c>
    </row>
    <row r="36" spans="1:45" s="1609" customFormat="1" ht="0" hidden="1" customHeight="1">
      <c r="A36" s="1156"/>
      <c r="B36" s="1156"/>
      <c r="C36" s="1156"/>
      <c r="D36" s="1156"/>
      <c r="E36" s="1156"/>
      <c r="F36" s="1156"/>
      <c r="G36" s="1156"/>
      <c r="H36" s="1156"/>
      <c r="I36" s="1156"/>
      <c r="J36" s="1156"/>
      <c r="K36" s="1156"/>
      <c r="L36" s="1157"/>
      <c r="M36" s="1156"/>
      <c r="N36" s="1156"/>
      <c r="O36" s="1156"/>
      <c r="S36" s="257"/>
      <c r="T36" s="257"/>
      <c r="U36" s="1128"/>
      <c r="V36" s="260"/>
      <c r="W36" s="260"/>
      <c r="X36" s="260"/>
      <c r="Y36" s="260"/>
      <c r="Z36" s="260"/>
      <c r="AA36" s="260"/>
      <c r="AB36" s="260"/>
      <c r="AC36" s="212" t="s">
        <v>511</v>
      </c>
      <c r="AD36" s="260"/>
      <c r="AE36" s="260"/>
      <c r="AF36" s="260"/>
      <c r="AG36" s="260"/>
      <c r="AH36" s="260"/>
      <c r="AI36" s="260"/>
      <c r="AJ36" s="260"/>
      <c r="AK36" s="212" t="s">
        <v>511</v>
      </c>
      <c r="AN36" s="301"/>
      <c r="AO36" s="301"/>
      <c r="AP36" s="301"/>
      <c r="AQ36" s="301"/>
      <c r="AR36" s="301"/>
      <c r="AS36" s="351">
        <v>0</v>
      </c>
    </row>
    <row r="37" spans="1:45" ht="14.65" customHeight="1">
      <c r="Q37" s="309"/>
      <c r="R37" s="309"/>
      <c r="S37" s="1063"/>
      <c r="T37" s="296"/>
      <c r="U37" s="1032"/>
      <c r="V37" s="2407"/>
      <c r="W37" s="2407"/>
      <c r="X37" s="2407"/>
      <c r="Y37" s="2407"/>
      <c r="Z37" s="2407"/>
      <c r="AA37" s="2407"/>
      <c r="AB37" s="2407"/>
      <c r="AC37" s="2407"/>
      <c r="AD37" s="2407"/>
      <c r="AE37" s="2407"/>
      <c r="AF37" s="2407"/>
      <c r="AG37" s="2407"/>
      <c r="AH37" s="2407"/>
      <c r="AI37" s="2407"/>
      <c r="AJ37" s="2407"/>
      <c r="AK37" s="2407"/>
      <c r="AS37" s="956">
        <v>14</v>
      </c>
    </row>
    <row r="38" spans="1:45" ht="14.65" customHeight="1">
      <c r="Q38" s="309"/>
      <c r="R38" s="309"/>
      <c r="S38" s="2266" t="s">
        <v>384</v>
      </c>
      <c r="T38" s="2266"/>
      <c r="U38" s="2266"/>
      <c r="V38" s="2266"/>
      <c r="W38" s="2266"/>
      <c r="X38" s="2266"/>
      <c r="Y38" s="2266"/>
      <c r="Z38" s="2266"/>
      <c r="AA38" s="2266"/>
      <c r="AB38" s="2266"/>
      <c r="AC38" s="2266"/>
      <c r="AD38" s="2266"/>
      <c r="AE38" s="2266"/>
      <c r="AF38" s="2266"/>
      <c r="AG38" s="2266"/>
      <c r="AH38" s="2266"/>
      <c r="AI38" s="2266"/>
      <c r="AJ38" s="2266"/>
      <c r="AK38" s="2266"/>
      <c r="AL38" s="2266"/>
      <c r="AM38" s="2266" t="s">
        <v>385</v>
      </c>
      <c r="AS38" s="956">
        <v>14</v>
      </c>
    </row>
    <row r="39" spans="1:45" ht="14.65" customHeight="1">
      <c r="Q39" s="309"/>
      <c r="R39" s="309"/>
      <c r="S39" s="2408" t="s">
        <v>75</v>
      </c>
      <c r="T39" s="2357" t="s">
        <v>512</v>
      </c>
      <c r="U39" s="235"/>
      <c r="V39" s="2409" t="s">
        <v>513</v>
      </c>
      <c r="W39" s="2410"/>
      <c r="X39" s="2425"/>
      <c r="Y39" s="2425"/>
      <c r="Z39" s="2410"/>
      <c r="AA39" s="2410"/>
      <c r="AB39" s="2411"/>
      <c r="AC39" s="2412" t="s">
        <v>514</v>
      </c>
      <c r="AD39" s="2409" t="s">
        <v>513</v>
      </c>
      <c r="AE39" s="2410"/>
      <c r="AF39" s="2425"/>
      <c r="AG39" s="2425"/>
      <c r="AH39" s="2410"/>
      <c r="AI39" s="2410"/>
      <c r="AJ39" s="2411"/>
      <c r="AK39" s="2412" t="s">
        <v>515</v>
      </c>
      <c r="AL39" s="2415" t="s">
        <v>516</v>
      </c>
      <c r="AM39" s="2266"/>
      <c r="AS39" s="956">
        <v>14</v>
      </c>
    </row>
    <row r="40" spans="1:45" ht="24" customHeight="1">
      <c r="Q40" s="309"/>
      <c r="R40" s="309"/>
      <c r="S40" s="2408"/>
      <c r="T40" s="2357"/>
      <c r="U40" s="874"/>
      <c r="V40" s="2423" t="s">
        <v>517</v>
      </c>
      <c r="W40" s="2328" t="s">
        <v>518</v>
      </c>
      <c r="X40" s="1164" t="s">
        <v>519</v>
      </c>
      <c r="Y40" s="1164"/>
      <c r="Z40" s="2252" t="s">
        <v>520</v>
      </c>
      <c r="AA40" s="2252"/>
      <c r="AB40" s="2246"/>
      <c r="AC40" s="2413"/>
      <c r="AD40" s="2423" t="s">
        <v>517</v>
      </c>
      <c r="AE40" s="2328" t="s">
        <v>518</v>
      </c>
      <c r="AF40" s="1164" t="s">
        <v>519</v>
      </c>
      <c r="AG40" s="1164"/>
      <c r="AH40" s="2252" t="s">
        <v>520</v>
      </c>
      <c r="AI40" s="2252"/>
      <c r="AJ40" s="2246"/>
      <c r="AK40" s="2413"/>
      <c r="AL40" s="2416"/>
      <c r="AM40" s="2266"/>
      <c r="AS40" s="956">
        <v>23</v>
      </c>
    </row>
    <row r="41" spans="1:45" s="1054" customFormat="1" ht="24" customHeight="1">
      <c r="A41" s="1158"/>
      <c r="B41" s="1158" t="s">
        <v>226</v>
      </c>
      <c r="C41" s="1158" t="s">
        <v>227</v>
      </c>
      <c r="D41" s="1158" t="s">
        <v>228</v>
      </c>
      <c r="E41" s="1152" t="s">
        <v>521</v>
      </c>
      <c r="F41" s="1152" t="s">
        <v>522</v>
      </c>
      <c r="G41" s="1152" t="s">
        <v>523</v>
      </c>
      <c r="H41" s="1152" t="s">
        <v>524</v>
      </c>
      <c r="I41" s="1152" t="s">
        <v>525</v>
      </c>
      <c r="J41" s="1152" t="s">
        <v>526</v>
      </c>
      <c r="K41" s="1152" t="s">
        <v>527</v>
      </c>
      <c r="L41" s="1152" t="s">
        <v>502</v>
      </c>
      <c r="M41" s="1150"/>
      <c r="N41" s="1150"/>
      <c r="O41" s="1150"/>
      <c r="P41" s="1116"/>
      <c r="Q41" s="309"/>
      <c r="R41" s="309"/>
      <c r="S41" s="2408"/>
      <c r="T41" s="2357"/>
      <c r="U41" s="236"/>
      <c r="V41" s="2424"/>
      <c r="W41" s="2333"/>
      <c r="X41" s="1161" t="s">
        <v>528</v>
      </c>
      <c r="Y41" s="1161" t="s">
        <v>529</v>
      </c>
      <c r="Z41" s="1122" t="s">
        <v>530</v>
      </c>
      <c r="AA41" s="2362" t="s">
        <v>531</v>
      </c>
      <c r="AB41" s="2375"/>
      <c r="AC41" s="2414"/>
      <c r="AD41" s="2424"/>
      <c r="AE41" s="2333"/>
      <c r="AF41" s="1161" t="s">
        <v>528</v>
      </c>
      <c r="AG41" s="1161" t="s">
        <v>529</v>
      </c>
      <c r="AH41" s="1122" t="s">
        <v>530</v>
      </c>
      <c r="AI41" s="2362" t="s">
        <v>531</v>
      </c>
      <c r="AJ41" s="2375"/>
      <c r="AK41" s="2414"/>
      <c r="AL41" s="2417"/>
      <c r="AM41" s="2266"/>
      <c r="AN41" s="444"/>
      <c r="AO41" s="433"/>
      <c r="AP41" s="433"/>
      <c r="AQ41" s="433"/>
      <c r="AR41" s="433"/>
      <c r="AS41" s="513">
        <v>23</v>
      </c>
    </row>
    <row r="42" spans="1:45" s="1429" customFormat="1" ht="11.25" hidden="1" customHeight="1">
      <c r="A42" s="1158"/>
      <c r="B42" s="1158"/>
      <c r="C42" s="1158"/>
      <c r="D42" s="1158"/>
      <c r="E42" s="1158"/>
      <c r="F42" s="1158"/>
      <c r="G42" s="1158"/>
      <c r="H42" s="1158"/>
      <c r="I42" s="1158"/>
      <c r="J42" s="1158"/>
      <c r="K42" s="1158"/>
      <c r="L42" s="1152"/>
      <c r="M42" s="1150"/>
      <c r="N42" s="1150"/>
      <c r="O42" s="1150"/>
      <c r="P42" s="1034"/>
      <c r="Q42" s="1035"/>
      <c r="R42" s="1042">
        <v>1</v>
      </c>
      <c r="S42" s="1065" t="s">
        <v>161</v>
      </c>
      <c r="T42" s="1043" t="s">
        <v>89</v>
      </c>
      <c r="U42" s="1033" t="str">
        <f ca="1">OFFSET(U42,0,-1)</f>
        <v>2</v>
      </c>
      <c r="V42" s="1123">
        <f ca="1">OFFSET(V42,0,-1)+1</f>
        <v>3</v>
      </c>
      <c r="W42" s="1123"/>
      <c r="X42" s="1129">
        <f ca="1">OFFSET(X42,0,-1)+1</f>
        <v>1</v>
      </c>
      <c r="Y42" s="1129">
        <f ca="1">OFFSET(Y42,0,-1)+1</f>
        <v>2</v>
      </c>
      <c r="Z42" s="1123">
        <f ca="1">OFFSET(Z42,0,-1)+1</f>
        <v>3</v>
      </c>
      <c r="AA42" s="2406">
        <f ca="1">OFFSET(AA42,0,-1)+1</f>
        <v>4</v>
      </c>
      <c r="AB42" s="2406"/>
      <c r="AC42" s="1123">
        <f ca="1">OFFSET(AC42,0,-2)+1</f>
        <v>5</v>
      </c>
      <c r="AD42" s="1123">
        <f ca="1">OFFSET(AD42,0,-1)+1</f>
        <v>6</v>
      </c>
      <c r="AE42" s="1123"/>
      <c r="AF42" s="1129">
        <f ca="1">OFFSET(AF42,0,-1)+1</f>
        <v>1</v>
      </c>
      <c r="AG42" s="1129">
        <f ca="1">OFFSET(AG42,0,-1)+1</f>
        <v>2</v>
      </c>
      <c r="AH42" s="1123">
        <f ca="1">OFFSET(AH42,0,-1)+1</f>
        <v>3</v>
      </c>
      <c r="AI42" s="2406">
        <f ca="1">OFFSET(AI42,0,-1)+1</f>
        <v>4</v>
      </c>
      <c r="AJ42" s="2406"/>
      <c r="AK42" s="1123">
        <f ca="1">OFFSET(AK42,0,-2)+1</f>
        <v>5</v>
      </c>
      <c r="AL42" s="1033">
        <f ca="1">OFFSET(AL42,0,-1)</f>
        <v>5</v>
      </c>
      <c r="AM42" s="1123">
        <f ca="1">OFFSET(AM42,0,-1)+1</f>
        <v>6</v>
      </c>
      <c r="AN42" s="444"/>
      <c r="AO42" s="444"/>
      <c r="AP42" s="444"/>
      <c r="AQ42" s="444"/>
      <c r="AR42" s="444"/>
      <c r="AS42" s="429">
        <v>0</v>
      </c>
    </row>
    <row r="43" spans="1:45" ht="21.95" customHeight="1">
      <c r="A43" s="1151" t="s">
        <v>278</v>
      </c>
      <c r="B43" s="1151"/>
      <c r="C43" s="1151"/>
      <c r="D43" s="1151"/>
      <c r="E43" s="2395">
        <v>1</v>
      </c>
      <c r="F43" s="1151"/>
      <c r="G43" s="1151"/>
      <c r="H43" s="1151"/>
      <c r="I43" s="1151"/>
      <c r="J43" s="1151"/>
      <c r="K43" s="1151"/>
      <c r="L43" s="1152"/>
      <c r="M43" s="1153"/>
      <c r="N43" s="1153"/>
      <c r="O43" s="1153"/>
      <c r="P43" s="294"/>
      <c r="Q43" s="293"/>
      <c r="R43" s="288"/>
      <c r="S43" s="1124">
        <f>INDEX(PT_DIFFERENTIATION_NUM_NTAR,MATCH(A43,PT_DIFFERENTIATION_NTAR_ID,0))</f>
        <v>0</v>
      </c>
      <c r="T43" s="232" t="s">
        <v>214</v>
      </c>
      <c r="U43" s="234"/>
      <c r="V43" s="2389"/>
      <c r="W43" s="2390"/>
      <c r="X43" s="2390"/>
      <c r="Y43" s="2390"/>
      <c r="Z43" s="2390"/>
      <c r="AA43" s="2390"/>
      <c r="AB43" s="2390"/>
      <c r="AC43" s="2391"/>
      <c r="AD43" s="2389" t="str">
        <f>INDEX(PT_DIFFERENTIATION_NTAR,MATCH(A43,PT_DIFFERENTIATION_NTAR_ID,0))</f>
        <v/>
      </c>
      <c r="AE43" s="2390"/>
      <c r="AF43" s="2390"/>
      <c r="AG43" s="2390"/>
      <c r="AH43" s="2390"/>
      <c r="AI43" s="2390"/>
      <c r="AJ43" s="2390"/>
      <c r="AK43" s="2390"/>
      <c r="AL43" s="2391"/>
      <c r="AM43" s="104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956">
        <v>21</v>
      </c>
    </row>
    <row r="44" spans="1:45" ht="21.95" customHeight="1">
      <c r="A44" s="1151" t="s">
        <v>278</v>
      </c>
      <c r="B44" s="1151" t="s">
        <v>279</v>
      </c>
      <c r="C44" s="1151"/>
      <c r="D44" s="1151"/>
      <c r="E44" s="2396"/>
      <c r="F44" s="2395">
        <v>1</v>
      </c>
      <c r="G44" s="1151"/>
      <c r="H44" s="1151"/>
      <c r="I44" s="1151"/>
      <c r="J44" s="1151"/>
      <c r="K44" s="1151"/>
      <c r="L44" s="1152"/>
      <c r="M44" s="1153"/>
      <c r="N44" s="1153"/>
      <c r="O44" s="1153"/>
      <c r="P44" s="1120"/>
      <c r="Q44" s="285"/>
      <c r="R44" s="286"/>
      <c r="S44" s="1124" t="str">
        <f>INDEX(PT_DIFFERENTIATION_NUM_TER,MATCH(B44,PT_DIFFERENTIATION_TER_ID,0))</f>
        <v>.</v>
      </c>
      <c r="T44" s="242" t="s">
        <v>481</v>
      </c>
      <c r="U44" s="234"/>
      <c r="V44" s="2389"/>
      <c r="W44" s="2390"/>
      <c r="X44" s="2390"/>
      <c r="Y44" s="2390"/>
      <c r="Z44" s="2390"/>
      <c r="AA44" s="2390"/>
      <c r="AB44" s="2390"/>
      <c r="AC44" s="2391"/>
      <c r="AD44" s="2389" t="str">
        <f>INDEX(PT_DIFFERENTIATION_TER,MATCH(B44,PT_DIFFERENTIATION_TER_ID,0))</f>
        <v/>
      </c>
      <c r="AE44" s="2390"/>
      <c r="AF44" s="2390"/>
      <c r="AG44" s="2390"/>
      <c r="AH44" s="2390"/>
      <c r="AI44" s="2390"/>
      <c r="AJ44" s="2390"/>
      <c r="AK44" s="2390"/>
      <c r="AL44" s="2391"/>
      <c r="AM44" s="1046" t="s">
        <v>482</v>
      </c>
      <c r="AO44" s="433"/>
      <c r="AP44" s="433" t="str">
        <f t="shared" si="1"/>
        <v>Территория действия тарифа</v>
      </c>
      <c r="AQ44" s="433"/>
      <c r="AR44" s="433"/>
      <c r="AS44" s="956">
        <v>21</v>
      </c>
    </row>
    <row r="45" spans="1:45" ht="24" customHeight="1">
      <c r="A45" s="1151" t="s">
        <v>278</v>
      </c>
      <c r="B45" s="1151" t="s">
        <v>279</v>
      </c>
      <c r="C45" s="1151" t="s">
        <v>280</v>
      </c>
      <c r="D45" s="1151"/>
      <c r="E45" s="2396"/>
      <c r="F45" s="2396"/>
      <c r="G45" s="2395">
        <v>1</v>
      </c>
      <c r="H45" s="1151"/>
      <c r="I45" s="1151"/>
      <c r="J45" s="1151"/>
      <c r="K45" s="1151"/>
      <c r="L45" s="1152"/>
      <c r="M45" s="1153"/>
      <c r="N45" s="1153"/>
      <c r="O45" s="1153"/>
      <c r="P45" s="287"/>
      <c r="Q45" s="285"/>
      <c r="R45" s="286"/>
      <c r="S45" s="1124" t="str">
        <f>INDEX(PT_DIFFERENTIATION_NUM_CS,MATCH(C45,PT_DIFFERENTIATION_CS_ID,0))</f>
        <v>..</v>
      </c>
      <c r="T45" s="243" t="s">
        <v>483</v>
      </c>
      <c r="U45" s="234"/>
      <c r="V45" s="2389"/>
      <c r="W45" s="2390"/>
      <c r="X45" s="2390"/>
      <c r="Y45" s="2390"/>
      <c r="Z45" s="2390"/>
      <c r="AA45" s="2390"/>
      <c r="AB45" s="2390"/>
      <c r="AC45" s="2391"/>
      <c r="AD45" s="2389" t="str">
        <f>INDEX(PT_DIFFERENTIATION_CS,MATCH(C45,PT_DIFFERENTIATION_CS_ID,0))</f>
        <v/>
      </c>
      <c r="AE45" s="2390"/>
      <c r="AF45" s="2390"/>
      <c r="AG45" s="2390"/>
      <c r="AH45" s="2390"/>
      <c r="AI45" s="2390"/>
      <c r="AJ45" s="2390"/>
      <c r="AK45" s="2390"/>
      <c r="AL45" s="2391"/>
      <c r="AM45" s="1046" t="s">
        <v>484</v>
      </c>
      <c r="AO45" s="433"/>
      <c r="AP45" s="433" t="str">
        <f t="shared" si="1"/>
        <v xml:space="preserve">Наименование системы теплоснабжения </v>
      </c>
      <c r="AQ45" s="433"/>
      <c r="AR45" s="433"/>
      <c r="AS45" s="956">
        <v>23</v>
      </c>
    </row>
    <row r="46" spans="1:45" ht="21.95" customHeight="1">
      <c r="A46" s="1151" t="s">
        <v>278</v>
      </c>
      <c r="B46" s="1151" t="s">
        <v>279</v>
      </c>
      <c r="C46" s="1151" t="s">
        <v>280</v>
      </c>
      <c r="D46" s="1151" t="s">
        <v>281</v>
      </c>
      <c r="E46" s="2396"/>
      <c r="F46" s="2396"/>
      <c r="G46" s="2396"/>
      <c r="H46" s="2395">
        <v>1</v>
      </c>
      <c r="I46" s="1151"/>
      <c r="J46" s="1151"/>
      <c r="K46" s="1151"/>
      <c r="L46" s="1152"/>
      <c r="M46" s="1153"/>
      <c r="N46" s="1153"/>
      <c r="O46" s="1153"/>
      <c r="P46" s="287"/>
      <c r="Q46" s="285"/>
      <c r="R46" s="286"/>
      <c r="S46" s="1124" t="str">
        <f>INDEX(PT_DIFFERENTIATION_NUM_IST_TE,MATCH(D46,PT_DIFFERENTIATION_IST_TE_ID,0))</f>
        <v>...</v>
      </c>
      <c r="T46" s="244" t="s">
        <v>485</v>
      </c>
      <c r="U46" s="234"/>
      <c r="V46" s="2389"/>
      <c r="W46" s="2390"/>
      <c r="X46" s="2390"/>
      <c r="Y46" s="2390"/>
      <c r="Z46" s="2390"/>
      <c r="AA46" s="2390"/>
      <c r="AB46" s="2390"/>
      <c r="AC46" s="2391"/>
      <c r="AD46" s="2389" t="str">
        <f>INDEX(PT_DIFFERENTIATION_IST_TE,MATCH(D46,PT_DIFFERENTIATION_IST_TE_ID,0))</f>
        <v/>
      </c>
      <c r="AE46" s="2390"/>
      <c r="AF46" s="2390"/>
      <c r="AG46" s="2390"/>
      <c r="AH46" s="2390"/>
      <c r="AI46" s="2390"/>
      <c r="AJ46" s="2390"/>
      <c r="AK46" s="2390"/>
      <c r="AL46" s="2391"/>
      <c r="AM46" s="1046" t="s">
        <v>486</v>
      </c>
      <c r="AO46" s="433"/>
      <c r="AP46" s="433" t="str">
        <f t="shared" si="1"/>
        <v xml:space="preserve">Источник тепловой энергии  </v>
      </c>
      <c r="AQ46" s="433"/>
      <c r="AR46" s="433"/>
      <c r="AS46" s="956">
        <v>21</v>
      </c>
    </row>
    <row r="47" spans="1:45" ht="49.5" customHeight="1">
      <c r="A47" s="1151" t="s">
        <v>278</v>
      </c>
      <c r="B47" s="1151" t="s">
        <v>279</v>
      </c>
      <c r="C47" s="1151" t="s">
        <v>280</v>
      </c>
      <c r="D47" s="1151" t="s">
        <v>281</v>
      </c>
      <c r="E47" s="2396"/>
      <c r="F47" s="2396"/>
      <c r="G47" s="2396"/>
      <c r="H47" s="2396"/>
      <c r="I47" s="2397" t="str">
        <f>S46&amp;".1"</f>
        <v>....1</v>
      </c>
      <c r="J47" s="1151"/>
      <c r="K47" s="1151"/>
      <c r="L47" s="1152" t="s">
        <v>487</v>
      </c>
      <c r="P47" s="2399">
        <v>1</v>
      </c>
      <c r="Q47" s="1119"/>
      <c r="R47" s="289"/>
      <c r="S47" s="1124" t="str">
        <f>$I47</f>
        <v>....1</v>
      </c>
      <c r="T47" s="219" t="s">
        <v>488</v>
      </c>
      <c r="U47" s="234"/>
      <c r="V47" s="2383"/>
      <c r="W47" s="2384"/>
      <c r="X47" s="2384"/>
      <c r="Y47" s="2384"/>
      <c r="Z47" s="2384"/>
      <c r="AA47" s="2384"/>
      <c r="AB47" s="2384"/>
      <c r="AC47" s="2385"/>
      <c r="AD47" s="2383"/>
      <c r="AE47" s="2384"/>
      <c r="AF47" s="2384"/>
      <c r="AG47" s="2384"/>
      <c r="AH47" s="2384"/>
      <c r="AI47" s="2384"/>
      <c r="AJ47" s="2384"/>
      <c r="AK47" s="2384"/>
      <c r="AL47" s="2385"/>
      <c r="AM47" s="1046" t="s">
        <v>489</v>
      </c>
      <c r="AO47" s="433"/>
      <c r="AP47" s="433" t="str">
        <f t="shared" si="1"/>
        <v>Схема подключения теплопотребляющей установки к коллектору источника тепловой энергии</v>
      </c>
      <c r="AQ47" s="433"/>
      <c r="AR47" s="433"/>
      <c r="AS47" s="956">
        <v>47</v>
      </c>
    </row>
    <row r="48" spans="1:45" ht="21.95" customHeight="1">
      <c r="A48" s="1151" t="s">
        <v>278</v>
      </c>
      <c r="B48" s="1151" t="s">
        <v>279</v>
      </c>
      <c r="C48" s="1151" t="s">
        <v>280</v>
      </c>
      <c r="D48" s="1151" t="s">
        <v>281</v>
      </c>
      <c r="E48" s="2396"/>
      <c r="F48" s="2396"/>
      <c r="G48" s="2396"/>
      <c r="H48" s="2396"/>
      <c r="I48" s="2398"/>
      <c r="J48" s="2397" t="str">
        <f>I47&amp;".1"</f>
        <v>....1.1</v>
      </c>
      <c r="K48" s="1151"/>
      <c r="L48" s="1152" t="s">
        <v>490</v>
      </c>
      <c r="P48" s="2399"/>
      <c r="Q48" s="2399">
        <v>1</v>
      </c>
      <c r="R48" s="290"/>
      <c r="S48" s="1124" t="str">
        <f>$J48</f>
        <v>....1.1</v>
      </c>
      <c r="T48" s="220" t="s">
        <v>491</v>
      </c>
      <c r="U48" s="234"/>
      <c r="V48" s="2383"/>
      <c r="W48" s="2384"/>
      <c r="X48" s="2384"/>
      <c r="Y48" s="2384"/>
      <c r="Z48" s="2384"/>
      <c r="AA48" s="2384"/>
      <c r="AB48" s="2384"/>
      <c r="AC48" s="2385"/>
      <c r="AD48" s="2383"/>
      <c r="AE48" s="2384"/>
      <c r="AF48" s="2384"/>
      <c r="AG48" s="2384"/>
      <c r="AH48" s="2384"/>
      <c r="AI48" s="2384"/>
      <c r="AJ48" s="2384"/>
      <c r="AK48" s="2384"/>
      <c r="AL48" s="2385"/>
      <c r="AM48" s="1046" t="s">
        <v>492</v>
      </c>
      <c r="AO48" s="433"/>
      <c r="AP48" s="433" t="str">
        <f t="shared" si="1"/>
        <v>Группа потребителей</v>
      </c>
      <c r="AQ48" s="433"/>
      <c r="AR48" s="433"/>
      <c r="AS48" s="956">
        <v>21</v>
      </c>
    </row>
    <row r="49" spans="1:45" ht="21.95" customHeight="1">
      <c r="A49" s="1151" t="s">
        <v>278</v>
      </c>
      <c r="B49" s="1151" t="s">
        <v>279</v>
      </c>
      <c r="C49" s="1151" t="s">
        <v>280</v>
      </c>
      <c r="D49" s="1151" t="s">
        <v>281</v>
      </c>
      <c r="E49" s="2396"/>
      <c r="F49" s="2396"/>
      <c r="G49" s="2396"/>
      <c r="H49" s="2396"/>
      <c r="I49" s="2398"/>
      <c r="J49" s="2398"/>
      <c r="K49" s="2397" t="str">
        <f>J48&amp;".1"</f>
        <v>....1.1.1</v>
      </c>
      <c r="L49" s="1152" t="s">
        <v>493</v>
      </c>
      <c r="P49" s="2399"/>
      <c r="Q49" s="2399"/>
      <c r="R49" s="290">
        <v>1</v>
      </c>
      <c r="S49" s="1124" t="str">
        <f>$K49</f>
        <v>....1.1.1</v>
      </c>
      <c r="T49" s="1135"/>
      <c r="U49" s="234"/>
      <c r="V49" s="259"/>
      <c r="W49" s="658"/>
      <c r="X49" s="259"/>
      <c r="Y49" s="317"/>
      <c r="Z49" s="2400"/>
      <c r="AA49" s="2276" t="s">
        <v>52</v>
      </c>
      <c r="AB49" s="2400"/>
      <c r="AC49" s="2276" t="s">
        <v>52</v>
      </c>
      <c r="AD49" s="259"/>
      <c r="AE49" s="658"/>
      <c r="AF49" s="259"/>
      <c r="AG49" s="317"/>
      <c r="AH49" s="2400"/>
      <c r="AI49" s="2276" t="s">
        <v>52</v>
      </c>
      <c r="AJ49" s="2402"/>
      <c r="AK49" s="2276" t="s">
        <v>52</v>
      </c>
      <c r="AL49" s="1136"/>
      <c r="AM49" s="2418" t="s">
        <v>494</v>
      </c>
      <c r="AN49" s="444" t="e">
        <f ca="1">STRCHECKDATE(V50:AL50)</f>
        <v>#NAME?</v>
      </c>
      <c r="AO49" s="433"/>
      <c r="AP49" s="433" t="str">
        <f t="shared" si="1"/>
        <v/>
      </c>
      <c r="AQ49" s="433"/>
      <c r="AR49" s="433"/>
      <c r="AS49" s="956">
        <v>21</v>
      </c>
    </row>
    <row r="50" spans="1:45" ht="1.1499999999999999" customHeight="1">
      <c r="A50" s="1151" t="s">
        <v>278</v>
      </c>
      <c r="B50" s="1151" t="s">
        <v>279</v>
      </c>
      <c r="C50" s="1151" t="s">
        <v>280</v>
      </c>
      <c r="D50" s="1151" t="s">
        <v>281</v>
      </c>
      <c r="E50" s="2396"/>
      <c r="F50" s="2396"/>
      <c r="G50" s="2396"/>
      <c r="H50" s="2396"/>
      <c r="I50" s="2398"/>
      <c r="J50" s="2398"/>
      <c r="K50" s="2397"/>
      <c r="L50" s="1152"/>
      <c r="P50" s="2399"/>
      <c r="Q50" s="2399"/>
      <c r="R50" s="290"/>
      <c r="S50" s="1130"/>
      <c r="T50" s="234"/>
      <c r="U50" s="234"/>
      <c r="V50" s="259"/>
      <c r="W50" s="259"/>
      <c r="X50" s="259"/>
      <c r="Y50" s="262" t="str">
        <f>Z49&amp;"-"&amp;AB49</f>
        <v>-</v>
      </c>
      <c r="Z50" s="2401"/>
      <c r="AA50" s="2276"/>
      <c r="AB50" s="2401"/>
      <c r="AC50" s="2276"/>
      <c r="AD50" s="259"/>
      <c r="AE50" s="259"/>
      <c r="AF50" s="259"/>
      <c r="AG50" s="262" t="str">
        <f>AH49&amp;"-"&amp;AJ49</f>
        <v>-</v>
      </c>
      <c r="AH50" s="2401"/>
      <c r="AI50" s="2276"/>
      <c r="AJ50" s="2403"/>
      <c r="AK50" s="2276"/>
      <c r="AL50" s="1137"/>
      <c r="AM50" s="2419"/>
      <c r="AO50" s="433"/>
      <c r="AP50" s="433" t="str">
        <f t="shared" si="1"/>
        <v/>
      </c>
      <c r="AQ50" s="433"/>
      <c r="AR50" s="433"/>
      <c r="AS50" s="956">
        <v>1</v>
      </c>
    </row>
    <row r="51" spans="1:45" ht="11.45" customHeight="1">
      <c r="A51" s="1151" t="s">
        <v>278</v>
      </c>
      <c r="B51" s="1151" t="s">
        <v>279</v>
      </c>
      <c r="C51" s="1151" t="s">
        <v>280</v>
      </c>
      <c r="D51" s="1151" t="s">
        <v>281</v>
      </c>
      <c r="E51" s="2396"/>
      <c r="F51" s="2396"/>
      <c r="G51" s="2396"/>
      <c r="H51" s="2396"/>
      <c r="I51" s="2398"/>
      <c r="J51" s="2397"/>
      <c r="K51" s="1151"/>
      <c r="L51" s="1152"/>
      <c r="P51" s="2399"/>
      <c r="Q51" s="2399"/>
      <c r="R51" s="289"/>
      <c r="S51" s="1066"/>
      <c r="T51" s="222" t="s">
        <v>495</v>
      </c>
      <c r="U51" s="300"/>
      <c r="V51" s="300"/>
      <c r="W51" s="300"/>
      <c r="X51" s="300"/>
      <c r="Y51" s="300"/>
      <c r="Z51" s="300"/>
      <c r="AA51" s="300"/>
      <c r="AB51" s="300"/>
      <c r="AC51" s="300"/>
      <c r="AD51" s="300"/>
      <c r="AE51" s="300"/>
      <c r="AF51" s="300"/>
      <c r="AG51" s="300"/>
      <c r="AH51" s="300"/>
      <c r="AI51" s="300"/>
      <c r="AJ51" s="300"/>
      <c r="AK51" s="300"/>
      <c r="AL51" s="258"/>
      <c r="AM51" s="2420"/>
      <c r="AO51" s="433"/>
      <c r="AP51" s="433" t="str">
        <f t="shared" si="1"/>
        <v>Добавить вид теплоносителя (параметры теплоносителя)</v>
      </c>
      <c r="AQ51" s="433"/>
      <c r="AR51" s="433"/>
      <c r="AS51" s="956">
        <v>11</v>
      </c>
    </row>
    <row r="52" spans="1:45" ht="11.45" customHeight="1">
      <c r="A52" s="1151" t="s">
        <v>278</v>
      </c>
      <c r="B52" s="1151" t="s">
        <v>279</v>
      </c>
      <c r="C52" s="1151" t="s">
        <v>280</v>
      </c>
      <c r="D52" s="1151" t="s">
        <v>281</v>
      </c>
      <c r="E52" s="2396"/>
      <c r="F52" s="2396"/>
      <c r="G52" s="2396"/>
      <c r="H52" s="2396"/>
      <c r="I52" s="2397"/>
      <c r="J52" s="1151"/>
      <c r="K52" s="1151"/>
      <c r="L52" s="1152"/>
      <c r="P52" s="2399"/>
      <c r="Q52" s="1119"/>
      <c r="R52" s="289"/>
      <c r="S52" s="1066"/>
      <c r="T52" s="221" t="s">
        <v>496</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956">
        <v>11</v>
      </c>
    </row>
    <row r="53" spans="1:45" ht="14.65" customHeight="1">
      <c r="A53" s="1151" t="s">
        <v>278</v>
      </c>
      <c r="B53" s="1151" t="s">
        <v>279</v>
      </c>
      <c r="C53" s="1151" t="s">
        <v>280</v>
      </c>
      <c r="D53" s="1151" t="s">
        <v>281</v>
      </c>
      <c r="E53" s="2396"/>
      <c r="F53" s="2396"/>
      <c r="G53" s="2396"/>
      <c r="H53" s="2395"/>
      <c r="I53" s="1151"/>
      <c r="J53" s="1151"/>
      <c r="K53" s="1151"/>
      <c r="L53" s="1152"/>
      <c r="M53" s="1153"/>
      <c r="N53" s="1153"/>
      <c r="O53" s="469"/>
      <c r="P53" s="293"/>
      <c r="Q53" s="308"/>
      <c r="R53" s="288"/>
      <c r="S53" s="1066"/>
      <c r="T53" s="298" t="s">
        <v>497</v>
      </c>
      <c r="U53" s="300"/>
      <c r="V53" s="300"/>
      <c r="W53" s="300"/>
      <c r="X53" s="300"/>
      <c r="Y53" s="300"/>
      <c r="Z53" s="300"/>
      <c r="AA53" s="300"/>
      <c r="AB53" s="300"/>
      <c r="AC53" s="299"/>
      <c r="AD53" s="300"/>
      <c r="AE53" s="300"/>
      <c r="AF53" s="300"/>
      <c r="AG53" s="300"/>
      <c r="AH53" s="300"/>
      <c r="AI53" s="300"/>
      <c r="AJ53" s="300"/>
      <c r="AK53" s="299"/>
      <c r="AL53" s="300"/>
      <c r="AM53" s="237"/>
      <c r="AO53" s="433"/>
      <c r="AP53" s="433" t="str">
        <f t="shared" si="1"/>
        <v>Добавить схему подключения</v>
      </c>
      <c r="AQ53" s="433"/>
      <c r="AR53" s="433"/>
      <c r="AS53" s="956">
        <v>14</v>
      </c>
    </row>
    <row r="54" spans="1:45" s="1430" customFormat="1" ht="1.1499999999999999" customHeight="1">
      <c r="A54" s="1131" t="s">
        <v>278</v>
      </c>
      <c r="B54" s="1131" t="s">
        <v>279</v>
      </c>
      <c r="C54" s="1131" t="s">
        <v>280</v>
      </c>
      <c r="D54" s="1102"/>
      <c r="E54" s="2396"/>
      <c r="F54" s="2396"/>
      <c r="G54" s="2395"/>
      <c r="H54" s="1102"/>
      <c r="I54" s="1102"/>
      <c r="J54" s="1102"/>
      <c r="K54" s="1102"/>
      <c r="L54" s="1127"/>
      <c r="M54" s="1103"/>
      <c r="N54" s="1103"/>
      <c r="P54" s="1104"/>
      <c r="Q54" s="1105"/>
      <c r="R54" s="1104"/>
      <c r="S54" s="1110"/>
      <c r="T54" s="1113" t="s">
        <v>498</v>
      </c>
      <c r="U54" s="1112"/>
      <c r="V54" s="1112"/>
      <c r="W54" s="1112"/>
      <c r="X54" s="1112"/>
      <c r="Y54" s="1112"/>
      <c r="Z54" s="1112"/>
      <c r="AA54" s="1112"/>
      <c r="AB54" s="1112"/>
      <c r="AC54" s="1112"/>
      <c r="AD54" s="1112"/>
      <c r="AE54" s="1112"/>
      <c r="AF54" s="1112"/>
      <c r="AG54" s="1112"/>
      <c r="AH54" s="1112"/>
      <c r="AI54" s="1112"/>
      <c r="AJ54" s="1112"/>
      <c r="AK54" s="1112"/>
      <c r="AL54" s="1112"/>
      <c r="AM54" s="1112"/>
      <c r="AO54" s="688"/>
      <c r="AP54" s="688" t="str">
        <f t="shared" si="1"/>
        <v>Добавить источник для дифференциации</v>
      </c>
      <c r="AQ54" s="688"/>
      <c r="AR54" s="688"/>
      <c r="AS54" s="451">
        <v>1</v>
      </c>
    </row>
    <row r="55" spans="1:45" s="1430" customFormat="1" ht="1.1499999999999999" customHeight="1">
      <c r="A55" s="1131" t="s">
        <v>278</v>
      </c>
      <c r="B55" s="1131" t="s">
        <v>279</v>
      </c>
      <c r="C55" s="1102"/>
      <c r="D55" s="1102"/>
      <c r="E55" s="2396"/>
      <c r="F55" s="2395"/>
      <c r="G55" s="1102"/>
      <c r="H55" s="1102"/>
      <c r="I55" s="1102"/>
      <c r="J55" s="1102"/>
      <c r="K55" s="1102"/>
      <c r="L55" s="1127"/>
      <c r="M55" s="1109"/>
      <c r="N55" s="1109"/>
      <c r="P55" s="1104"/>
      <c r="Q55" s="1105"/>
      <c r="R55" s="1104"/>
      <c r="S55" s="1110"/>
      <c r="T55" s="1113" t="s">
        <v>499</v>
      </c>
      <c r="U55" s="1112"/>
      <c r="V55" s="1112"/>
      <c r="W55" s="1112"/>
      <c r="X55" s="1112"/>
      <c r="Y55" s="1112"/>
      <c r="Z55" s="1112"/>
      <c r="AA55" s="1112"/>
      <c r="AB55" s="1112"/>
      <c r="AC55" s="1112"/>
      <c r="AD55" s="1112"/>
      <c r="AE55" s="1112"/>
      <c r="AF55" s="1112"/>
      <c r="AG55" s="1112"/>
      <c r="AH55" s="1112"/>
      <c r="AI55" s="1112"/>
      <c r="AJ55" s="1112"/>
      <c r="AK55" s="1112"/>
      <c r="AL55" s="1112"/>
      <c r="AM55" s="1112"/>
      <c r="AO55" s="688"/>
      <c r="AP55" s="688" t="str">
        <f t="shared" si="1"/>
        <v>Добавить централизованную систему для дифференциации</v>
      </c>
      <c r="AQ55" s="688"/>
      <c r="AR55" s="688"/>
      <c r="AS55" s="451">
        <v>1</v>
      </c>
    </row>
    <row r="56" spans="1:45" s="1430" customFormat="1" ht="1.1499999999999999" customHeight="1">
      <c r="A56" s="1131" t="s">
        <v>278</v>
      </c>
      <c r="B56" s="1131"/>
      <c r="C56" s="1131"/>
      <c r="D56" s="1131"/>
      <c r="E56" s="2395"/>
      <c r="F56" s="1131"/>
      <c r="G56" s="1131"/>
      <c r="H56" s="1131"/>
      <c r="I56" s="1131"/>
      <c r="J56" s="1131"/>
      <c r="K56" s="1131"/>
      <c r="L56" s="1134"/>
      <c r="M56" s="1109"/>
      <c r="N56" s="1109"/>
      <c r="O56" s="451"/>
      <c r="P56" s="313"/>
      <c r="Q56" s="1132"/>
      <c r="R56" s="313"/>
      <c r="S56" s="1110"/>
      <c r="T56" s="1113" t="s">
        <v>500</v>
      </c>
      <c r="U56" s="1112"/>
      <c r="V56" s="1112"/>
      <c r="W56" s="1112"/>
      <c r="X56" s="1112"/>
      <c r="Y56" s="1112"/>
      <c r="Z56" s="1112"/>
      <c r="AA56" s="1112"/>
      <c r="AB56" s="1112"/>
      <c r="AC56" s="1112"/>
      <c r="AD56" s="1112"/>
      <c r="AE56" s="1112"/>
      <c r="AF56" s="1112"/>
      <c r="AG56" s="1112"/>
      <c r="AH56" s="1112"/>
      <c r="AI56" s="1112"/>
      <c r="AJ56" s="1112"/>
      <c r="AK56" s="1112"/>
      <c r="AL56" s="1112"/>
      <c r="AM56" s="1112"/>
      <c r="AO56" s="433"/>
      <c r="AP56" s="433" t="str">
        <f t="shared" si="1"/>
        <v>Добавить территорию для дифференциации</v>
      </c>
      <c r="AQ56" s="433"/>
      <c r="AR56" s="433"/>
      <c r="AS56" s="444">
        <v>1</v>
      </c>
    </row>
    <row r="57" spans="1:45" s="1430" customFormat="1" ht="1.1499999999999999" customHeight="1">
      <c r="A57" s="1102"/>
      <c r="B57" s="1102"/>
      <c r="C57" s="1102"/>
      <c r="D57" s="1102"/>
      <c r="E57" s="1131"/>
      <c r="F57" s="1102"/>
      <c r="G57" s="1102"/>
      <c r="H57" s="1102"/>
      <c r="I57" s="1102"/>
      <c r="J57" s="1102"/>
      <c r="K57" s="1102"/>
      <c r="L57" s="1127"/>
      <c r="M57" s="1109"/>
      <c r="N57" s="1109"/>
      <c r="P57" s="1104"/>
      <c r="Q57" s="1105"/>
      <c r="R57" s="1104"/>
      <c r="S57" s="1110"/>
      <c r="T57" s="1113" t="s">
        <v>532</v>
      </c>
      <c r="U57" s="1112"/>
      <c r="V57" s="1112"/>
      <c r="W57" s="1112"/>
      <c r="X57" s="1112"/>
      <c r="Y57" s="1112"/>
      <c r="Z57" s="1112"/>
      <c r="AA57" s="1112"/>
      <c r="AB57" s="1112"/>
      <c r="AC57" s="1112"/>
      <c r="AD57" s="1112"/>
      <c r="AE57" s="1112"/>
      <c r="AF57" s="1112"/>
      <c r="AG57" s="1112"/>
      <c r="AH57" s="1112"/>
      <c r="AI57" s="1112"/>
      <c r="AJ57" s="1112"/>
      <c r="AK57" s="1112"/>
      <c r="AL57" s="1112"/>
      <c r="AM57" s="1112"/>
      <c r="AO57" s="688"/>
      <c r="AP57" s="688" t="str">
        <f t="shared" si="1"/>
        <v>Добавить наименование тарифа</v>
      </c>
      <c r="AQ57" s="688"/>
      <c r="AR57" s="688"/>
      <c r="AS57" s="451">
        <v>1</v>
      </c>
    </row>
    <row r="58" spans="1:45" ht="11.45" customHeight="1">
      <c r="M58" s="961"/>
      <c r="N58" s="961"/>
      <c r="O58" s="469"/>
      <c r="P58" s="956"/>
      <c r="Q58" s="956"/>
      <c r="R58" s="956"/>
      <c r="S58" s="956"/>
      <c r="AN58" s="956"/>
      <c r="AO58" s="956"/>
      <c r="AP58" s="956"/>
      <c r="AQ58" s="956"/>
      <c r="AR58" s="956"/>
      <c r="AS58" s="956">
        <v>11</v>
      </c>
    </row>
    <row r="59" spans="1:45" ht="28.5" customHeight="1">
      <c r="O59" s="469"/>
      <c r="S59" s="1041"/>
      <c r="T59" s="2394"/>
      <c r="U59" s="2394"/>
      <c r="V59" s="2394"/>
      <c r="W59" s="2394"/>
      <c r="X59" s="2394"/>
      <c r="Y59" s="2394"/>
      <c r="Z59" s="2394"/>
      <c r="AA59" s="2394"/>
      <c r="AB59" s="2394"/>
      <c r="AC59" s="2394"/>
      <c r="AD59" s="2394"/>
      <c r="AE59" s="2394"/>
      <c r="AF59" s="2394"/>
      <c r="AG59" s="2394"/>
      <c r="AH59" s="2394"/>
      <c r="AI59" s="2394"/>
      <c r="AJ59" s="2394"/>
      <c r="AK59" s="2394"/>
      <c r="AL59" s="2394"/>
      <c r="AM59" s="2394"/>
      <c r="AS59" s="956">
        <v>27</v>
      </c>
    </row>
    <row r="60" spans="1:45" ht="78.75" customHeight="1">
      <c r="O60" s="469"/>
      <c r="T60" s="2394"/>
      <c r="U60" s="2394"/>
      <c r="V60" s="2394"/>
      <c r="W60" s="2394"/>
      <c r="X60" s="2394"/>
      <c r="Y60" s="2394"/>
      <c r="Z60" s="2394"/>
      <c r="AA60" s="2394"/>
      <c r="AB60" s="2394"/>
      <c r="AC60" s="2394"/>
      <c r="AD60" s="2394"/>
      <c r="AE60" s="2394"/>
      <c r="AF60" s="2394"/>
      <c r="AG60" s="2394"/>
      <c r="AH60" s="2394"/>
      <c r="AI60" s="2394"/>
      <c r="AJ60" s="2394"/>
      <c r="AK60" s="2394"/>
      <c r="AL60" s="2394"/>
      <c r="AM60" s="2394"/>
      <c r="AS60" s="956">
        <v>75</v>
      </c>
    </row>
    <row r="61" spans="1:45" ht="14.65" customHeight="1">
      <c r="O61" s="469"/>
      <c r="AS61" s="956">
        <v>14</v>
      </c>
    </row>
    <row r="62" spans="1:45" ht="18.75" customHeight="1">
      <c r="O62" s="469"/>
      <c r="S62" s="1041"/>
      <c r="T62" s="2394"/>
      <c r="U62" s="2394"/>
      <c r="V62" s="2394"/>
      <c r="W62" s="2394"/>
      <c r="X62" s="2394"/>
      <c r="Y62" s="2394"/>
      <c r="Z62" s="2394"/>
      <c r="AA62" s="2394"/>
      <c r="AB62" s="2394"/>
      <c r="AC62" s="2394"/>
      <c r="AD62" s="2394"/>
      <c r="AE62" s="2394"/>
      <c r="AF62" s="2394"/>
      <c r="AG62" s="2394"/>
      <c r="AH62" s="2394"/>
      <c r="AI62" s="2394"/>
      <c r="AJ62" s="2394"/>
      <c r="AK62" s="2394"/>
      <c r="AL62" s="2394"/>
      <c r="AM62" s="2394"/>
      <c r="AS62" s="956">
        <v>18</v>
      </c>
    </row>
    <row r="63" spans="1:45" ht="18.75" customHeight="1">
      <c r="O63" s="469"/>
      <c r="T63" s="2394"/>
      <c r="U63" s="2394"/>
      <c r="V63" s="2394"/>
      <c r="W63" s="2394"/>
      <c r="X63" s="2394"/>
      <c r="Y63" s="2394"/>
      <c r="Z63" s="2394"/>
      <c r="AA63" s="2394"/>
      <c r="AB63" s="2394"/>
      <c r="AC63" s="2394"/>
      <c r="AD63" s="2394"/>
      <c r="AE63" s="2394"/>
      <c r="AF63" s="2394"/>
      <c r="AG63" s="2394"/>
      <c r="AH63" s="2394"/>
      <c r="AI63" s="2394"/>
      <c r="AJ63" s="2394"/>
      <c r="AK63" s="2394"/>
      <c r="AL63" s="2394"/>
      <c r="AM63" s="2394"/>
      <c r="AS63" s="956">
        <v>18</v>
      </c>
    </row>
    <row r="64" spans="1:45" ht="39.75" customHeight="1">
      <c r="O64" s="469"/>
      <c r="S64" s="1041"/>
      <c r="T64" s="2394"/>
      <c r="U64" s="2394"/>
      <c r="V64" s="2394"/>
      <c r="W64" s="2394"/>
      <c r="X64" s="2394"/>
      <c r="Y64" s="2394"/>
      <c r="Z64" s="2394"/>
      <c r="AA64" s="2394"/>
      <c r="AB64" s="2394"/>
      <c r="AC64" s="2394"/>
      <c r="AD64" s="2394"/>
      <c r="AE64" s="2394"/>
      <c r="AF64" s="2394"/>
      <c r="AG64" s="2394"/>
      <c r="AH64" s="2394"/>
      <c r="AI64" s="2394"/>
      <c r="AJ64" s="2394"/>
      <c r="AK64" s="2394"/>
      <c r="AL64" s="2394"/>
      <c r="AM64" s="2394"/>
      <c r="AS64" s="956">
        <v>38</v>
      </c>
    </row>
    <row r="65" spans="1:45" ht="22.5" hidden="1" customHeight="1">
      <c r="A65" s="961" t="s">
        <v>69</v>
      </c>
      <c r="B65" s="961">
        <v>0</v>
      </c>
      <c r="C65" s="961">
        <v>0</v>
      </c>
      <c r="D65" s="961">
        <v>0</v>
      </c>
      <c r="E65" s="961">
        <v>0</v>
      </c>
      <c r="F65" s="961">
        <v>0</v>
      </c>
      <c r="G65" s="961">
        <v>0</v>
      </c>
      <c r="H65" s="961">
        <v>0</v>
      </c>
      <c r="I65" s="961">
        <v>0</v>
      </c>
      <c r="J65" s="961">
        <v>0</v>
      </c>
      <c r="K65" s="961">
        <v>0</v>
      </c>
      <c r="L65" s="1117">
        <v>0</v>
      </c>
      <c r="M65" s="1150">
        <v>0</v>
      </c>
      <c r="N65" s="1150">
        <v>0</v>
      </c>
      <c r="O65" s="1150">
        <v>0</v>
      </c>
      <c r="P65" s="1116">
        <v>3</v>
      </c>
      <c r="Q65" s="278">
        <v>3</v>
      </c>
      <c r="R65" s="278">
        <v>3</v>
      </c>
      <c r="S65" s="512">
        <v>12</v>
      </c>
      <c r="T65" s="956">
        <v>31</v>
      </c>
      <c r="U65" s="956">
        <v>0</v>
      </c>
      <c r="V65" s="956">
        <v>0</v>
      </c>
      <c r="W65" s="956">
        <v>0</v>
      </c>
      <c r="X65" s="956">
        <v>0</v>
      </c>
      <c r="Y65" s="956">
        <v>0</v>
      </c>
      <c r="Z65" s="956">
        <v>0</v>
      </c>
      <c r="AA65" s="956">
        <v>0</v>
      </c>
      <c r="AB65" s="956">
        <v>0</v>
      </c>
      <c r="AC65" s="956">
        <v>0</v>
      </c>
      <c r="AD65" s="956">
        <v>0</v>
      </c>
      <c r="AE65" s="956">
        <v>24</v>
      </c>
      <c r="AF65" s="956">
        <v>0</v>
      </c>
      <c r="AG65" s="956">
        <v>0</v>
      </c>
      <c r="AH65" s="956">
        <v>11</v>
      </c>
      <c r="AI65" s="956">
        <v>3</v>
      </c>
      <c r="AJ65" s="956">
        <v>11</v>
      </c>
      <c r="AK65" s="956">
        <v>0</v>
      </c>
      <c r="AL65" s="956">
        <v>4</v>
      </c>
      <c r="AM65" s="956">
        <v>115</v>
      </c>
      <c r="AN65" s="444">
        <v>10</v>
      </c>
      <c r="AO65" s="444">
        <v>10</v>
      </c>
      <c r="AP65" s="444">
        <v>10</v>
      </c>
      <c r="AQ65" s="444">
        <v>10</v>
      </c>
      <c r="AR65" s="444">
        <v>10</v>
      </c>
      <c r="AS65" s="956">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54" hidden="1"/>
    <col min="2" max="2" width="11" style="1154" hidden="1" customWidth="1"/>
    <col min="3" max="3" width="10.5703125" style="1154" hidden="1"/>
    <col min="4" max="4" width="11.85546875" style="1154" hidden="1" customWidth="1"/>
    <col min="5" max="5" width="10" style="1154" hidden="1" customWidth="1"/>
    <col min="6" max="6" width="8.7109375" style="1154" hidden="1" customWidth="1"/>
    <col min="7" max="7" width="7.5703125" style="1154" hidden="1" customWidth="1"/>
    <col min="8" max="8" width="11.42578125" style="1154" hidden="1" customWidth="1"/>
    <col min="9" max="9" width="12" style="1154" hidden="1" customWidth="1"/>
    <col min="10" max="10" width="9.85546875" style="1154" hidden="1" customWidth="1"/>
    <col min="11" max="11" width="11.42578125" style="1154" hidden="1" customWidth="1"/>
    <col min="12" max="12" width="19.140625" style="1866" hidden="1" customWidth="1"/>
    <col min="13" max="14" width="12.28515625" style="1535" hidden="1" customWidth="1"/>
    <col min="15" max="15" width="23.42578125" style="1535" hidden="1" customWidth="1"/>
    <col min="16" max="16" width="3.7109375" style="1857" hidden="1" customWidth="1"/>
    <col min="17" max="18" width="3" style="278" customWidth="1"/>
    <col min="19" max="19" width="12" style="1858" customWidth="1"/>
    <col min="20" max="20" width="31" style="1423" customWidth="1"/>
    <col min="21" max="21" width="0.140625" style="1423" customWidth="1"/>
    <col min="22" max="22" width="24.7109375" style="1423" hidden="1" customWidth="1"/>
    <col min="23" max="23" width="0.140625" style="1423" hidden="1" customWidth="1"/>
    <col min="24" max="25" width="24.7109375" style="1423" hidden="1" customWidth="1"/>
    <col min="26" max="26" width="11.7109375" style="1423" hidden="1" customWidth="1"/>
    <col min="27" max="27" width="3.7109375" style="1423" hidden="1" customWidth="1"/>
    <col min="28" max="28" width="11.7109375" style="1423" hidden="1" customWidth="1"/>
    <col min="29" max="29" width="8.5703125" style="1423" hidden="1" customWidth="1"/>
    <col min="30" max="30" width="24.7109375" style="1423" customWidth="1"/>
    <col min="31" max="31" width="0.140625" style="1423" customWidth="1"/>
    <col min="32" max="33" width="24" style="1423" customWidth="1"/>
    <col min="34" max="34" width="11" style="1423" customWidth="1"/>
    <col min="35" max="35" width="3.7109375" style="1423" customWidth="1"/>
    <col min="36" max="36" width="11" style="1423" customWidth="1"/>
    <col min="37" max="37" width="8.5703125" style="1423" hidden="1" customWidth="1"/>
    <col min="38" max="38" width="4" style="1423" customWidth="1"/>
    <col min="39" max="39" width="115" style="1423" customWidth="1"/>
    <col min="40" max="44" width="10" style="1430" customWidth="1"/>
    <col min="45" max="45" width="8.42578125" style="1423" hidden="1" customWidth="1"/>
  </cols>
  <sheetData>
    <row r="1" spans="1:45" ht="22.5" hidden="1" customHeight="1">
      <c r="Y1" s="261"/>
      <c r="Z1" s="261"/>
      <c r="AG1" s="261"/>
      <c r="AH1" s="261"/>
      <c r="AS1" s="956" t="s">
        <v>1</v>
      </c>
    </row>
    <row r="2" spans="1:45" ht="21" hidden="1" customHeight="1">
      <c r="A2" s="1151"/>
      <c r="B2" s="1151"/>
      <c r="C2" s="1151"/>
      <c r="D2" s="1151"/>
      <c r="E2" s="2395">
        <v>1</v>
      </c>
      <c r="F2" s="1151"/>
      <c r="G2" s="1151"/>
      <c r="H2" s="1151"/>
      <c r="I2" s="1151"/>
      <c r="J2" s="1151"/>
      <c r="K2" s="1151"/>
      <c r="L2" s="1152"/>
      <c r="M2" s="1153"/>
      <c r="N2" s="1153"/>
      <c r="O2" s="1153"/>
      <c r="P2" s="294"/>
      <c r="Q2" s="293"/>
      <c r="R2" s="288"/>
      <c r="S2" s="1124" t="e">
        <f>INDEX(PT_DIFFERENTIATION_NUM_NTAR,MATCH(A2,PT_DIFFERENTIATION_NTAR_ID,0))</f>
        <v>#N/A</v>
      </c>
      <c r="T2" s="232" t="s">
        <v>214</v>
      </c>
      <c r="U2" s="234"/>
      <c r="V2" s="2389"/>
      <c r="W2" s="2390"/>
      <c r="X2" s="2390"/>
      <c r="Y2" s="2390"/>
      <c r="Z2" s="2390"/>
      <c r="AA2" s="2390"/>
      <c r="AB2" s="2390"/>
      <c r="AC2" s="2391"/>
      <c r="AD2" s="2389" t="e">
        <f>INDEX(PT_DIFFERENTIATION_NTAR,MATCH(A2,PT_DIFFERENTIATION_NTAR_ID,0))</f>
        <v>#N/A</v>
      </c>
      <c r="AE2" s="2390"/>
      <c r="AF2" s="2390"/>
      <c r="AG2" s="2390"/>
      <c r="AH2" s="2390"/>
      <c r="AI2" s="2390"/>
      <c r="AJ2" s="2390"/>
      <c r="AK2" s="2390"/>
      <c r="AL2" s="2391"/>
      <c r="AM2" s="1046" t="s">
        <v>480</v>
      </c>
      <c r="AO2" s="433"/>
      <c r="AP2" s="433" t="str">
        <f t="shared" ref="AP2:AP15" si="0">IF(T2="","",T2)</f>
        <v>Наименование тарифа</v>
      </c>
      <c r="AQ2" s="433"/>
      <c r="AR2" s="433"/>
      <c r="AS2" s="956">
        <v>0</v>
      </c>
    </row>
    <row r="3" spans="1:45" ht="21" hidden="1" customHeight="1">
      <c r="A3" s="1151"/>
      <c r="B3" s="1151"/>
      <c r="C3" s="1151"/>
      <c r="D3" s="1151"/>
      <c r="E3" s="2396"/>
      <c r="F3" s="2395">
        <v>1</v>
      </c>
      <c r="G3" s="1151"/>
      <c r="H3" s="1151"/>
      <c r="I3" s="1151"/>
      <c r="J3" s="1151"/>
      <c r="K3" s="1151"/>
      <c r="L3" s="1152"/>
      <c r="M3" s="1153"/>
      <c r="N3" s="1153"/>
      <c r="O3" s="1153"/>
      <c r="P3" s="1120"/>
      <c r="Q3" s="285"/>
      <c r="R3" s="286"/>
      <c r="S3" s="1124" t="e">
        <f>INDEX(PT_DIFFERENTIATION_NUM_TER,MATCH(B3,PT_DIFFERENTIATION_TER_ID,0))</f>
        <v>#N/A</v>
      </c>
      <c r="T3" s="242" t="s">
        <v>481</v>
      </c>
      <c r="U3" s="234"/>
      <c r="V3" s="2389"/>
      <c r="W3" s="2390"/>
      <c r="X3" s="2390"/>
      <c r="Y3" s="2390"/>
      <c r="Z3" s="2390"/>
      <c r="AA3" s="2390"/>
      <c r="AB3" s="2390"/>
      <c r="AC3" s="2391"/>
      <c r="AD3" s="2389" t="e">
        <f>INDEX(PT_DIFFERENTIATION_TER,MATCH(B3,PT_DIFFERENTIATION_TER_ID,0))</f>
        <v>#N/A</v>
      </c>
      <c r="AE3" s="2390"/>
      <c r="AF3" s="2390"/>
      <c r="AG3" s="2390"/>
      <c r="AH3" s="2390"/>
      <c r="AI3" s="2390"/>
      <c r="AJ3" s="2390"/>
      <c r="AK3" s="2390"/>
      <c r="AL3" s="2391"/>
      <c r="AM3" s="1046" t="s">
        <v>482</v>
      </c>
      <c r="AO3" s="433"/>
      <c r="AP3" s="433" t="str">
        <f t="shared" si="0"/>
        <v>Территория действия тарифа</v>
      </c>
      <c r="AQ3" s="433"/>
      <c r="AR3" s="433"/>
      <c r="AS3" s="956">
        <v>0</v>
      </c>
    </row>
    <row r="4" spans="1:45" ht="23.25" hidden="1" customHeight="1">
      <c r="A4" s="1151"/>
      <c r="B4" s="1151"/>
      <c r="C4" s="1151"/>
      <c r="D4" s="1151"/>
      <c r="E4" s="2396"/>
      <c r="F4" s="2396"/>
      <c r="G4" s="2395">
        <v>1</v>
      </c>
      <c r="H4" s="1151"/>
      <c r="I4" s="1151"/>
      <c r="J4" s="1151"/>
      <c r="K4" s="1151"/>
      <c r="L4" s="1152"/>
      <c r="M4" s="1153"/>
      <c r="N4" s="1153"/>
      <c r="O4" s="1153"/>
      <c r="P4" s="287"/>
      <c r="Q4" s="285"/>
      <c r="R4" s="286"/>
      <c r="S4" s="1124" t="e">
        <f>INDEX(PT_DIFFERENTIATION_NUM_CS,MATCH(C4,PT_DIFFERENTIATION_CS_ID,0))</f>
        <v>#N/A</v>
      </c>
      <c r="T4" s="243" t="s">
        <v>483</v>
      </c>
      <c r="U4" s="234"/>
      <c r="V4" s="2389"/>
      <c r="W4" s="2390"/>
      <c r="X4" s="2390"/>
      <c r="Y4" s="2390"/>
      <c r="Z4" s="2390"/>
      <c r="AA4" s="2390"/>
      <c r="AB4" s="2390"/>
      <c r="AC4" s="2391"/>
      <c r="AD4" s="2389" t="e">
        <f>INDEX(PT_DIFFERENTIATION_CS,MATCH(C4,PT_DIFFERENTIATION_CS_ID,0))</f>
        <v>#N/A</v>
      </c>
      <c r="AE4" s="2390"/>
      <c r="AF4" s="2390"/>
      <c r="AG4" s="2390"/>
      <c r="AH4" s="2390"/>
      <c r="AI4" s="2390"/>
      <c r="AJ4" s="2390"/>
      <c r="AK4" s="2390"/>
      <c r="AL4" s="2391"/>
      <c r="AM4" s="1046" t="s">
        <v>484</v>
      </c>
      <c r="AO4" s="433"/>
      <c r="AP4" s="433" t="str">
        <f t="shared" si="0"/>
        <v xml:space="preserve">Наименование системы теплоснабжения </v>
      </c>
      <c r="AQ4" s="433"/>
      <c r="AR4" s="433"/>
      <c r="AS4" s="956">
        <v>0</v>
      </c>
    </row>
    <row r="5" spans="1:45" ht="21" hidden="1" customHeight="1">
      <c r="A5" s="1151"/>
      <c r="B5" s="1151"/>
      <c r="C5" s="1151"/>
      <c r="D5" s="1151"/>
      <c r="E5" s="2396"/>
      <c r="F5" s="2396"/>
      <c r="G5" s="2396"/>
      <c r="H5" s="2395">
        <v>1</v>
      </c>
      <c r="I5" s="1151"/>
      <c r="J5" s="1151"/>
      <c r="K5" s="1151"/>
      <c r="L5" s="1152"/>
      <c r="M5" s="1153"/>
      <c r="N5" s="1153"/>
      <c r="O5" s="1153"/>
      <c r="P5" s="287"/>
      <c r="Q5" s="285"/>
      <c r="R5" s="286"/>
      <c r="S5" s="1124" t="e">
        <f>INDEX(PT_DIFFERENTIATION_NUM_IST_TE,MATCH(D5,PT_DIFFERENTIATION_IST_TE_ID,0))</f>
        <v>#N/A</v>
      </c>
      <c r="T5" s="244" t="s">
        <v>485</v>
      </c>
      <c r="U5" s="234"/>
      <c r="V5" s="2389"/>
      <c r="W5" s="2390"/>
      <c r="X5" s="2390"/>
      <c r="Y5" s="2390"/>
      <c r="Z5" s="2390"/>
      <c r="AA5" s="2390"/>
      <c r="AB5" s="2390"/>
      <c r="AC5" s="2391"/>
      <c r="AD5" s="2389" t="e">
        <f>INDEX(PT_DIFFERENTIATION_IST_TE,MATCH(D5,PT_DIFFERENTIATION_IST_TE_ID,0))</f>
        <v>#N/A</v>
      </c>
      <c r="AE5" s="2390"/>
      <c r="AF5" s="2390"/>
      <c r="AG5" s="2390"/>
      <c r="AH5" s="2390"/>
      <c r="AI5" s="2390"/>
      <c r="AJ5" s="2390"/>
      <c r="AK5" s="2390"/>
      <c r="AL5" s="2391"/>
      <c r="AM5" s="1046" t="s">
        <v>486</v>
      </c>
      <c r="AO5" s="433"/>
      <c r="AP5" s="433" t="str">
        <f t="shared" si="0"/>
        <v xml:space="preserve">Источник тепловой энергии  </v>
      </c>
      <c r="AQ5" s="433"/>
      <c r="AR5" s="433"/>
      <c r="AS5" s="956">
        <v>0</v>
      </c>
    </row>
    <row r="6" spans="1:45" ht="14.25" hidden="1" customHeight="1">
      <c r="A6" s="1151"/>
      <c r="B6" s="1151"/>
      <c r="C6" s="1151"/>
      <c r="D6" s="1151"/>
      <c r="E6" s="2396"/>
      <c r="F6" s="2396"/>
      <c r="G6" s="2396"/>
      <c r="H6" s="2396"/>
      <c r="I6" s="2397" t="e">
        <f>S5&amp;".1"</f>
        <v>#N/A</v>
      </c>
      <c r="J6" s="1151"/>
      <c r="K6" s="1151"/>
      <c r="L6" s="1152" t="s">
        <v>487</v>
      </c>
      <c r="M6" s="469"/>
      <c r="P6" s="2399">
        <v>1</v>
      </c>
      <c r="Q6" s="1119"/>
      <c r="R6" s="289"/>
      <c r="S6" s="881"/>
      <c r="T6" s="1171"/>
      <c r="U6" s="1172"/>
      <c r="V6" s="2426"/>
      <c r="W6" s="2427"/>
      <c r="X6" s="2427"/>
      <c r="Y6" s="2427"/>
      <c r="Z6" s="2427"/>
      <c r="AA6" s="2427"/>
      <c r="AB6" s="2427"/>
      <c r="AC6" s="2428"/>
      <c r="AD6" s="2426"/>
      <c r="AE6" s="2427"/>
      <c r="AF6" s="2427"/>
      <c r="AG6" s="2427"/>
      <c r="AH6" s="2427"/>
      <c r="AI6" s="2427"/>
      <c r="AJ6" s="2427"/>
      <c r="AK6" s="2427"/>
      <c r="AL6" s="2428"/>
      <c r="AM6" s="1173"/>
      <c r="AO6" s="433"/>
      <c r="AP6" s="433" t="str">
        <f t="shared" si="0"/>
        <v/>
      </c>
      <c r="AQ6" s="433"/>
      <c r="AR6" s="433"/>
      <c r="AS6" s="956">
        <v>0</v>
      </c>
    </row>
    <row r="7" spans="1:45" ht="21" hidden="1" customHeight="1">
      <c r="A7" s="1151"/>
      <c r="B7" s="1151"/>
      <c r="C7" s="1151"/>
      <c r="D7" s="1151"/>
      <c r="E7" s="2396"/>
      <c r="F7" s="2396"/>
      <c r="G7" s="2396"/>
      <c r="H7" s="2396"/>
      <c r="I7" s="2398"/>
      <c r="J7" s="2397" t="e">
        <f>I6&amp;".1"</f>
        <v>#N/A</v>
      </c>
      <c r="K7" s="1151"/>
      <c r="L7" s="1152" t="s">
        <v>490</v>
      </c>
      <c r="M7" s="469"/>
      <c r="N7" s="1154"/>
      <c r="P7" s="2399"/>
      <c r="Q7" s="2399">
        <v>1</v>
      </c>
      <c r="R7" s="290"/>
      <c r="S7" s="1124" t="e">
        <f>$J7</f>
        <v>#N/A</v>
      </c>
      <c r="T7" s="220" t="s">
        <v>491</v>
      </c>
      <c r="U7" s="234"/>
      <c r="V7" s="2383"/>
      <c r="W7" s="2384"/>
      <c r="X7" s="2384"/>
      <c r="Y7" s="2384"/>
      <c r="Z7" s="2384"/>
      <c r="AA7" s="2384"/>
      <c r="AB7" s="2384"/>
      <c r="AC7" s="2385"/>
      <c r="AD7" s="2383"/>
      <c r="AE7" s="2384"/>
      <c r="AF7" s="2384"/>
      <c r="AG7" s="2384"/>
      <c r="AH7" s="2384"/>
      <c r="AI7" s="2384"/>
      <c r="AJ7" s="2384"/>
      <c r="AK7" s="2384"/>
      <c r="AL7" s="2385"/>
      <c r="AM7" s="1046" t="s">
        <v>492</v>
      </c>
      <c r="AO7" s="433"/>
      <c r="AP7" s="433" t="str">
        <f t="shared" si="0"/>
        <v>Группа потребителей</v>
      </c>
      <c r="AQ7" s="433"/>
      <c r="AR7" s="433"/>
      <c r="AS7" s="956">
        <v>0</v>
      </c>
    </row>
    <row r="8" spans="1:45" ht="21" hidden="1" customHeight="1">
      <c r="A8" s="1151"/>
      <c r="B8" s="1151"/>
      <c r="C8" s="1151"/>
      <c r="D8" s="1151"/>
      <c r="E8" s="2396"/>
      <c r="F8" s="2396"/>
      <c r="G8" s="2396"/>
      <c r="H8" s="2396"/>
      <c r="I8" s="2398"/>
      <c r="J8" s="2398"/>
      <c r="K8" s="2397" t="e">
        <f>J7&amp;".1"</f>
        <v>#N/A</v>
      </c>
      <c r="L8" s="1152" t="s">
        <v>493</v>
      </c>
      <c r="M8" s="469"/>
      <c r="N8" s="1154"/>
      <c r="O8" s="1154"/>
      <c r="P8" s="2399"/>
      <c r="Q8" s="2399"/>
      <c r="R8" s="290">
        <v>1</v>
      </c>
      <c r="S8" s="1124" t="e">
        <f>$K8</f>
        <v>#N/A</v>
      </c>
      <c r="T8" s="1135"/>
      <c r="U8" s="234"/>
      <c r="V8" s="658"/>
      <c r="W8" s="259"/>
      <c r="X8" s="658"/>
      <c r="Y8" s="1045"/>
      <c r="Z8" s="2400"/>
      <c r="AA8" s="2276" t="s">
        <v>52</v>
      </c>
      <c r="AB8" s="2400"/>
      <c r="AC8" s="2276" t="s">
        <v>52</v>
      </c>
      <c r="AD8" s="658"/>
      <c r="AE8" s="259"/>
      <c r="AF8" s="658"/>
      <c r="AG8" s="1045"/>
      <c r="AH8" s="2400"/>
      <c r="AI8" s="2276" t="s">
        <v>52</v>
      </c>
      <c r="AJ8" s="2400"/>
      <c r="AK8" s="2276" t="s">
        <v>52</v>
      </c>
      <c r="AL8" s="259"/>
      <c r="AM8" s="2418" t="s">
        <v>494</v>
      </c>
      <c r="AN8" s="444" t="e">
        <f ca="1">STRCHECKDATE(V9:AL9)</f>
        <v>#NAME?</v>
      </c>
      <c r="AO8" s="433"/>
      <c r="AP8" s="433" t="str">
        <f t="shared" si="0"/>
        <v/>
      </c>
      <c r="AQ8" s="433"/>
      <c r="AR8" s="433"/>
      <c r="AS8" s="956">
        <v>0</v>
      </c>
    </row>
    <row r="9" spans="1:45" ht="0.75" hidden="1" customHeight="1">
      <c r="A9" s="1151"/>
      <c r="B9" s="1151"/>
      <c r="C9" s="1151"/>
      <c r="D9" s="1151"/>
      <c r="E9" s="2396"/>
      <c r="F9" s="2396"/>
      <c r="G9" s="2396"/>
      <c r="H9" s="2396"/>
      <c r="I9" s="2398"/>
      <c r="J9" s="2398"/>
      <c r="K9" s="2397"/>
      <c r="L9" s="1152"/>
      <c r="M9" s="469"/>
      <c r="N9" s="1154"/>
      <c r="O9" s="1154"/>
      <c r="P9" s="2399"/>
      <c r="Q9" s="2399"/>
      <c r="R9" s="290"/>
      <c r="S9" s="1130"/>
      <c r="T9" s="234"/>
      <c r="U9" s="234"/>
      <c r="V9" s="259"/>
      <c r="W9" s="259"/>
      <c r="X9" s="259"/>
      <c r="Y9" s="262" t="str">
        <f>Z8&amp;"-"&amp;AB8</f>
        <v>-</v>
      </c>
      <c r="Z9" s="2401"/>
      <c r="AA9" s="2276"/>
      <c r="AB9" s="2401"/>
      <c r="AC9" s="2276"/>
      <c r="AD9" s="259"/>
      <c r="AE9" s="259"/>
      <c r="AF9" s="259"/>
      <c r="AG9" s="262" t="str">
        <f>AH8&amp;"-"&amp;AJ8</f>
        <v>-</v>
      </c>
      <c r="AH9" s="2401"/>
      <c r="AI9" s="2276"/>
      <c r="AJ9" s="2401"/>
      <c r="AK9" s="2276"/>
      <c r="AL9" s="259"/>
      <c r="AM9" s="2419"/>
      <c r="AO9" s="433"/>
      <c r="AP9" s="433" t="str">
        <f t="shared" si="0"/>
        <v/>
      </c>
      <c r="AQ9" s="433"/>
      <c r="AR9" s="433"/>
      <c r="AS9" s="956">
        <v>0</v>
      </c>
    </row>
    <row r="10" spans="1:45" ht="15" hidden="1" customHeight="1">
      <c r="A10" s="1151"/>
      <c r="B10" s="1151"/>
      <c r="C10" s="1151"/>
      <c r="D10" s="1151"/>
      <c r="E10" s="2396"/>
      <c r="F10" s="2396"/>
      <c r="G10" s="2396"/>
      <c r="H10" s="2396"/>
      <c r="I10" s="2398"/>
      <c r="J10" s="2397"/>
      <c r="K10" s="1151"/>
      <c r="L10" s="1152"/>
      <c r="M10" s="469"/>
      <c r="N10" s="1154"/>
      <c r="P10" s="2399"/>
      <c r="Q10" s="2399"/>
      <c r="R10" s="289"/>
      <c r="S10" s="1066"/>
      <c r="T10" s="221" t="s">
        <v>495</v>
      </c>
      <c r="U10" s="300"/>
      <c r="V10" s="300"/>
      <c r="W10" s="300"/>
      <c r="X10" s="300"/>
      <c r="Y10" s="300"/>
      <c r="Z10" s="300"/>
      <c r="AA10" s="300"/>
      <c r="AB10" s="300"/>
      <c r="AC10" s="300"/>
      <c r="AD10" s="300"/>
      <c r="AE10" s="300"/>
      <c r="AF10" s="300"/>
      <c r="AG10" s="300"/>
      <c r="AH10" s="300"/>
      <c r="AI10" s="300"/>
      <c r="AJ10" s="300"/>
      <c r="AK10" s="300"/>
      <c r="AL10" s="258"/>
      <c r="AM10" s="2420"/>
      <c r="AO10" s="433"/>
      <c r="AP10" s="433" t="str">
        <f t="shared" si="0"/>
        <v>Добавить вид теплоносителя (параметры теплоносителя)</v>
      </c>
      <c r="AQ10" s="433"/>
      <c r="AR10" s="433"/>
      <c r="AS10" s="956">
        <v>0</v>
      </c>
    </row>
    <row r="11" spans="1:45" ht="15" hidden="1" customHeight="1">
      <c r="A11" s="1151"/>
      <c r="B11" s="1151"/>
      <c r="C11" s="1151"/>
      <c r="D11" s="1151"/>
      <c r="E11" s="2396"/>
      <c r="F11" s="2396"/>
      <c r="G11" s="2396"/>
      <c r="H11" s="2396"/>
      <c r="I11" s="2397"/>
      <c r="J11" s="1151"/>
      <c r="K11" s="1151"/>
      <c r="L11" s="1152"/>
      <c r="M11" s="469"/>
      <c r="P11" s="2399"/>
      <c r="Q11" s="1119"/>
      <c r="R11" s="289"/>
      <c r="S11" s="1066"/>
      <c r="T11" s="298" t="s">
        <v>496</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956">
        <v>0</v>
      </c>
    </row>
    <row r="12" spans="1:45" ht="14.25" hidden="1" customHeight="1">
      <c r="A12" s="1151"/>
      <c r="B12" s="1151"/>
      <c r="C12" s="1151"/>
      <c r="D12" s="1151"/>
      <c r="E12" s="2396"/>
      <c r="F12" s="2396"/>
      <c r="G12" s="2396"/>
      <c r="H12" s="2395"/>
      <c r="I12" s="1151"/>
      <c r="J12" s="1151"/>
      <c r="K12" s="1151"/>
      <c r="L12" s="1152"/>
      <c r="M12" s="1153"/>
      <c r="N12" s="1153"/>
      <c r="O12" s="469"/>
      <c r="P12" s="293"/>
      <c r="Q12" s="308"/>
      <c r="R12" s="288"/>
      <c r="S12" s="1174"/>
      <c r="T12" s="1175"/>
      <c r="U12" s="1176"/>
      <c r="V12" s="1176"/>
      <c r="W12" s="1176"/>
      <c r="X12" s="1176"/>
      <c r="Y12" s="1176"/>
      <c r="Z12" s="1176"/>
      <c r="AA12" s="1176"/>
      <c r="AB12" s="1176"/>
      <c r="AC12" s="1176"/>
      <c r="AD12" s="1176"/>
      <c r="AE12" s="1176"/>
      <c r="AF12" s="1176"/>
      <c r="AG12" s="1176"/>
      <c r="AH12" s="1176"/>
      <c r="AI12" s="1176"/>
      <c r="AJ12" s="1176"/>
      <c r="AK12" s="1176"/>
      <c r="AL12" s="1176"/>
      <c r="AM12" s="1177"/>
      <c r="AO12" s="433"/>
      <c r="AP12" s="433" t="str">
        <f t="shared" si="0"/>
        <v/>
      </c>
      <c r="AQ12" s="433"/>
      <c r="AR12" s="433"/>
      <c r="AS12" s="956">
        <v>0</v>
      </c>
    </row>
    <row r="13" spans="1:45" s="1430" customFormat="1" ht="0.75" hidden="1" customHeight="1">
      <c r="A13" s="1102"/>
      <c r="B13" s="1102"/>
      <c r="C13" s="1102"/>
      <c r="D13" s="1102"/>
      <c r="E13" s="2396"/>
      <c r="F13" s="2396"/>
      <c r="G13" s="2395"/>
      <c r="H13" s="1102"/>
      <c r="I13" s="1102"/>
      <c r="J13" s="1102"/>
      <c r="K13" s="1102"/>
      <c r="L13" s="1127"/>
      <c r="M13" s="1103"/>
      <c r="N13" s="1103"/>
      <c r="P13" s="1104"/>
      <c r="Q13" s="1105"/>
      <c r="R13" s="1104"/>
      <c r="S13" s="1106"/>
      <c r="T13" s="1107" t="s">
        <v>498</v>
      </c>
      <c r="U13" s="1108"/>
      <c r="V13" s="1108"/>
      <c r="W13" s="1108"/>
      <c r="X13" s="1108"/>
      <c r="Y13" s="1108"/>
      <c r="Z13" s="1108"/>
      <c r="AA13" s="1108"/>
      <c r="AB13" s="1108"/>
      <c r="AC13" s="1108"/>
      <c r="AD13" s="1108"/>
      <c r="AE13" s="1108"/>
      <c r="AF13" s="1108"/>
      <c r="AG13" s="1108"/>
      <c r="AH13" s="1108"/>
      <c r="AI13" s="1108"/>
      <c r="AJ13" s="1108"/>
      <c r="AK13" s="1108"/>
      <c r="AL13" s="1108"/>
      <c r="AM13" s="1108"/>
      <c r="AO13" s="688"/>
      <c r="AP13" s="688" t="str">
        <f t="shared" si="0"/>
        <v>Добавить источник для дифференциации</v>
      </c>
      <c r="AQ13" s="688"/>
      <c r="AR13" s="688"/>
      <c r="AS13" s="451">
        <v>0</v>
      </c>
    </row>
    <row r="14" spans="1:45" s="1430" customFormat="1" ht="0.75" hidden="1" customHeight="1">
      <c r="A14" s="1102"/>
      <c r="B14" s="1102"/>
      <c r="C14" s="1102"/>
      <c r="D14" s="1102"/>
      <c r="E14" s="2396"/>
      <c r="F14" s="2395"/>
      <c r="G14" s="1102"/>
      <c r="H14" s="1102"/>
      <c r="I14" s="1102"/>
      <c r="J14" s="1102"/>
      <c r="K14" s="1102"/>
      <c r="L14" s="1127"/>
      <c r="M14" s="1109"/>
      <c r="N14" s="1109"/>
      <c r="P14" s="1104"/>
      <c r="Q14" s="1105"/>
      <c r="R14" s="1104"/>
      <c r="S14" s="1110"/>
      <c r="T14" s="1111" t="s">
        <v>499</v>
      </c>
      <c r="U14" s="1112"/>
      <c r="V14" s="1112"/>
      <c r="W14" s="1112"/>
      <c r="X14" s="1112"/>
      <c r="Y14" s="1112"/>
      <c r="Z14" s="1112"/>
      <c r="AA14" s="1112"/>
      <c r="AB14" s="1112"/>
      <c r="AC14" s="1112"/>
      <c r="AD14" s="1112"/>
      <c r="AE14" s="1112"/>
      <c r="AF14" s="1112"/>
      <c r="AG14" s="1112"/>
      <c r="AH14" s="1112"/>
      <c r="AI14" s="1112"/>
      <c r="AJ14" s="1112"/>
      <c r="AK14" s="1112"/>
      <c r="AL14" s="1112"/>
      <c r="AM14" s="1112"/>
      <c r="AO14" s="688"/>
      <c r="AP14" s="688" t="str">
        <f t="shared" si="0"/>
        <v>Добавить централизованную систему для дифференциации</v>
      </c>
      <c r="AQ14" s="688"/>
      <c r="AR14" s="688"/>
      <c r="AS14" s="451">
        <v>0</v>
      </c>
    </row>
    <row r="15" spans="1:45" s="1430" customFormat="1" ht="0.75" hidden="1" customHeight="1">
      <c r="A15" s="1102"/>
      <c r="B15" s="1102"/>
      <c r="C15" s="1102"/>
      <c r="D15" s="1102"/>
      <c r="E15" s="2395"/>
      <c r="F15" s="1102"/>
      <c r="G15" s="1102"/>
      <c r="H15" s="1102"/>
      <c r="I15" s="1102"/>
      <c r="J15" s="1102"/>
      <c r="K15" s="1102"/>
      <c r="L15" s="1127"/>
      <c r="M15" s="1109"/>
      <c r="N15" s="1109"/>
      <c r="P15" s="1104"/>
      <c r="Q15" s="1105"/>
      <c r="R15" s="1104"/>
      <c r="S15" s="1110"/>
      <c r="T15" s="1113" t="s">
        <v>500</v>
      </c>
      <c r="U15" s="1112"/>
      <c r="V15" s="1112"/>
      <c r="W15" s="1112"/>
      <c r="X15" s="1112"/>
      <c r="Y15" s="1112"/>
      <c r="Z15" s="1112"/>
      <c r="AA15" s="1112"/>
      <c r="AB15" s="1112"/>
      <c r="AC15" s="1112"/>
      <c r="AD15" s="1112"/>
      <c r="AE15" s="1112"/>
      <c r="AF15" s="1112"/>
      <c r="AG15" s="1112"/>
      <c r="AH15" s="1112"/>
      <c r="AI15" s="1112"/>
      <c r="AJ15" s="1112"/>
      <c r="AK15" s="1112"/>
      <c r="AL15" s="1112"/>
      <c r="AM15" s="1112"/>
      <c r="AO15" s="688"/>
      <c r="AP15" s="688" t="str">
        <f t="shared" si="0"/>
        <v>Добавить территорию для дифференциации</v>
      </c>
      <c r="AQ15" s="688"/>
      <c r="AR15" s="688"/>
      <c r="AS15" s="451">
        <v>0</v>
      </c>
    </row>
    <row r="16" spans="1:45" ht="14.25" hidden="1" customHeight="1">
      <c r="AC16" s="261"/>
      <c r="AK16" s="261"/>
      <c r="AS16" s="956">
        <v>0</v>
      </c>
    </row>
    <row r="17" spans="1:45" ht="14.25" hidden="1" customHeight="1">
      <c r="AD17" s="1148"/>
      <c r="AE17" s="1148"/>
      <c r="AF17" s="1148"/>
      <c r="AG17" s="1149"/>
      <c r="AH17" s="2393"/>
      <c r="AI17" s="2392" t="s">
        <v>52</v>
      </c>
      <c r="AJ17" s="2393"/>
      <c r="AK17" s="2392" t="s">
        <v>52</v>
      </c>
      <c r="AS17" s="956">
        <v>0</v>
      </c>
    </row>
    <row r="18" spans="1:45" ht="14.25" hidden="1" customHeight="1">
      <c r="AD18" s="1148"/>
      <c r="AE18" s="1148"/>
      <c r="AF18" s="1148"/>
      <c r="AG18" s="262" t="str">
        <f>AH17&amp;"-"&amp;AJ17</f>
        <v>-</v>
      </c>
      <c r="AH18" s="2392"/>
      <c r="AI18" s="2392"/>
      <c r="AJ18" s="2392"/>
      <c r="AK18" s="2392"/>
      <c r="AS18" s="956">
        <v>0</v>
      </c>
    </row>
    <row r="19" spans="1:45" ht="14.25" hidden="1" customHeight="1">
      <c r="AK19" s="261"/>
      <c r="AS19" s="956">
        <v>0</v>
      </c>
    </row>
    <row r="20" spans="1:45" s="1154" customFormat="1" ht="22.5" hidden="1" customHeight="1">
      <c r="L20" s="1117"/>
      <c r="M20" s="1150"/>
      <c r="N20" s="1150"/>
      <c r="O20" s="1155" t="s">
        <v>501</v>
      </c>
      <c r="P20" s="1150"/>
      <c r="Q20" s="1159"/>
      <c r="R20" s="1159"/>
      <c r="S20" s="640"/>
      <c r="Z20" s="1155"/>
      <c r="AB20" s="1155"/>
      <c r="AH20" s="1155"/>
      <c r="AJ20" s="1155"/>
      <c r="AN20" s="444"/>
      <c r="AO20" s="444"/>
      <c r="AP20" s="444"/>
      <c r="AQ20" s="444"/>
      <c r="AR20" s="444"/>
      <c r="AS20" s="961">
        <v>0</v>
      </c>
    </row>
    <row r="21" spans="1:45" s="1154" customFormat="1" ht="14.25" hidden="1" customHeight="1">
      <c r="L21" s="1117"/>
      <c r="M21" s="1150"/>
      <c r="N21" s="1150"/>
      <c r="O21" s="1150"/>
      <c r="P21" s="1150"/>
      <c r="Q21" s="1159"/>
      <c r="R21" s="1159"/>
      <c r="S21" s="640"/>
      <c r="AN21" s="444"/>
      <c r="AO21" s="444"/>
      <c r="AP21" s="444"/>
      <c r="AQ21" s="444"/>
      <c r="AR21" s="444"/>
      <c r="AS21" s="961">
        <v>0</v>
      </c>
    </row>
    <row r="22" spans="1:45" s="1154" customFormat="1" ht="14.25" hidden="1" customHeight="1">
      <c r="L22" s="1117"/>
      <c r="M22" s="1150"/>
      <c r="N22" s="1150"/>
      <c r="O22" s="1152" t="s">
        <v>502</v>
      </c>
      <c r="P22" s="1150"/>
      <c r="Q22" s="1159"/>
      <c r="R22" s="1159"/>
      <c r="S22" s="640"/>
      <c r="T22" s="961" t="s">
        <v>503</v>
      </c>
      <c r="AA22" s="120" t="s">
        <v>504</v>
      </c>
      <c r="AC22" s="120" t="s">
        <v>505</v>
      </c>
      <c r="AD22" s="961" t="s">
        <v>503</v>
      </c>
      <c r="AI22" s="120" t="s">
        <v>506</v>
      </c>
      <c r="AK22" s="120" t="s">
        <v>505</v>
      </c>
      <c r="AN22" s="444"/>
      <c r="AO22" s="444"/>
      <c r="AP22" s="444"/>
      <c r="AQ22" s="444"/>
      <c r="AR22" s="444"/>
      <c r="AS22" s="961">
        <v>0</v>
      </c>
    </row>
    <row r="23" spans="1:45" ht="14.25" hidden="1" customHeight="1">
      <c r="O23" s="1152"/>
      <c r="AS23" s="956">
        <v>0</v>
      </c>
    </row>
    <row r="24" spans="1:45" ht="14.25" hidden="1" customHeight="1">
      <c r="O24" s="1152"/>
      <c r="AS24" s="956">
        <v>0</v>
      </c>
    </row>
    <row r="25" spans="1:45" ht="14.65" customHeight="1">
      <c r="Q25" s="309"/>
      <c r="R25" s="309"/>
      <c r="S25" s="1063"/>
      <c r="T25" s="296"/>
      <c r="U25" s="296"/>
      <c r="V25" s="442"/>
      <c r="W25" s="442"/>
      <c r="X25" s="442"/>
      <c r="Y25" s="442"/>
      <c r="Z25" s="442"/>
      <c r="AA25" s="442"/>
      <c r="AB25" s="442"/>
      <c r="AC25" s="442"/>
      <c r="AD25" s="442"/>
      <c r="AE25" s="442"/>
      <c r="AF25" s="442"/>
      <c r="AG25" s="442"/>
      <c r="AH25" s="442"/>
      <c r="AI25" s="442"/>
      <c r="AJ25" s="442"/>
      <c r="AK25" s="442"/>
      <c r="AS25" s="956">
        <v>14</v>
      </c>
    </row>
    <row r="26" spans="1:45" ht="63" customHeight="1">
      <c r="Q26" s="309"/>
      <c r="R26" s="309"/>
      <c r="S26" s="237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76"/>
      <c r="U26" s="2376"/>
      <c r="V26" s="2376"/>
      <c r="W26" s="2376"/>
      <c r="X26" s="2376"/>
      <c r="Y26" s="2376"/>
      <c r="Z26" s="2376"/>
      <c r="AA26" s="2376"/>
      <c r="AB26" s="2376"/>
      <c r="AC26" s="2376"/>
      <c r="AD26" s="2376"/>
      <c r="AE26" s="2376"/>
      <c r="AF26" s="2376"/>
      <c r="AG26" s="2376"/>
      <c r="AH26" s="2376"/>
      <c r="AI26" s="2376"/>
      <c r="AJ26" s="2376"/>
      <c r="AK26" s="1031"/>
      <c r="AS26" s="956">
        <v>60</v>
      </c>
    </row>
    <row r="27" spans="1:45" ht="14.65" customHeight="1">
      <c r="Q27" s="309"/>
      <c r="R27" s="309"/>
      <c r="S27" s="2349" t="str">
        <f>IF(org=0,"Не определено",org)</f>
        <v>ООО "Смоленскрегионтеплоэнерго"</v>
      </c>
      <c r="T27" s="2349"/>
      <c r="U27" s="2349"/>
      <c r="V27" s="2349"/>
      <c r="W27" s="2349"/>
      <c r="X27" s="2349"/>
      <c r="Y27" s="2349"/>
      <c r="Z27" s="2349"/>
      <c r="AA27" s="2349"/>
      <c r="AB27" s="2349"/>
      <c r="AC27" s="2349"/>
      <c r="AD27" s="2349"/>
      <c r="AE27" s="2349"/>
      <c r="AF27" s="2349"/>
      <c r="AG27" s="2349"/>
      <c r="AH27" s="2349"/>
      <c r="AI27" s="2349"/>
      <c r="AJ27" s="2349"/>
      <c r="AK27" s="1031"/>
      <c r="AS27" s="956">
        <v>14</v>
      </c>
    </row>
    <row r="28" spans="1:45" ht="14.25" hidden="1" customHeight="1">
      <c r="Q28" s="309"/>
      <c r="R28" s="309"/>
      <c r="S28" s="1063"/>
      <c r="T28" s="296"/>
      <c r="U28" s="296"/>
      <c r="V28" s="256"/>
      <c r="W28" s="256"/>
      <c r="X28" s="256"/>
      <c r="Y28" s="256"/>
      <c r="Z28" s="256"/>
      <c r="AA28" s="256"/>
      <c r="AB28" s="256"/>
      <c r="AC28" s="256"/>
      <c r="AD28" s="256"/>
      <c r="AE28" s="256"/>
      <c r="AF28" s="256"/>
      <c r="AG28" s="256"/>
      <c r="AH28" s="256"/>
      <c r="AI28" s="256"/>
      <c r="AJ28" s="256"/>
      <c r="AK28" s="256"/>
      <c r="AL28" s="442"/>
      <c r="AS28" s="956">
        <v>0</v>
      </c>
    </row>
    <row r="29" spans="1:45" s="1609" customFormat="1" ht="25.5" hidden="1" customHeight="1">
      <c r="A29" s="1156"/>
      <c r="B29" s="1156"/>
      <c r="C29" s="1156"/>
      <c r="D29" s="1156"/>
      <c r="E29" s="1156"/>
      <c r="F29" s="1156"/>
      <c r="G29" s="1156"/>
      <c r="H29" s="1156"/>
      <c r="I29" s="1156"/>
      <c r="J29" s="1156"/>
      <c r="K29" s="1156"/>
      <c r="L29" s="1157"/>
      <c r="M29" s="1156"/>
      <c r="N29" s="1156"/>
      <c r="O29" s="1156"/>
      <c r="S29" s="2386" t="s">
        <v>28</v>
      </c>
      <c r="T29" s="2386"/>
      <c r="U29" s="1160"/>
      <c r="V29" s="2388" t="str">
        <f>IF(TITLE_NAME_OR_PR_CHANGE="",IF(TITLE_NAME_OR_PR="","",TITLE_NAME_OR_PR),TITLE_NAME_OR_PR_CHANGE)</f>
        <v/>
      </c>
      <c r="W29" s="2388"/>
      <c r="X29" s="2388"/>
      <c r="Y29" s="2388"/>
      <c r="Z29" s="2388"/>
      <c r="AA29" s="2388"/>
      <c r="AB29" s="2388"/>
      <c r="AC29" s="260"/>
      <c r="AD29" s="2388" t="str">
        <f>IF(TITLE_NAME_OR_PR_CHANGE="",IF(TITLE_NAME_OR_PR="","",TITLE_NAME_OR_PR),TITLE_NAME_OR_PR_CHANGE)</f>
        <v/>
      </c>
      <c r="AE29" s="2388"/>
      <c r="AF29" s="2388"/>
      <c r="AG29" s="2388"/>
      <c r="AH29" s="2388"/>
      <c r="AI29" s="2388"/>
      <c r="AJ29" s="2388"/>
      <c r="AK29" s="260"/>
      <c r="AL29" s="260"/>
      <c r="AM29" s="214"/>
      <c r="AN29" s="301"/>
      <c r="AO29" s="301"/>
      <c r="AP29" s="301"/>
      <c r="AQ29" s="301"/>
      <c r="AR29" s="301"/>
      <c r="AS29" s="351">
        <v>0</v>
      </c>
    </row>
    <row r="30" spans="1:45" s="1609" customFormat="1" ht="18.75" hidden="1" customHeight="1">
      <c r="A30" s="1156"/>
      <c r="B30" s="1156"/>
      <c r="C30" s="1156"/>
      <c r="D30" s="1156"/>
      <c r="E30" s="1156"/>
      <c r="F30" s="1156"/>
      <c r="G30" s="1156"/>
      <c r="H30" s="1156"/>
      <c r="I30" s="1156"/>
      <c r="J30" s="1156"/>
      <c r="K30" s="1156"/>
      <c r="L30" s="1157"/>
      <c r="M30" s="1156"/>
      <c r="N30" s="1156"/>
      <c r="O30" s="1156"/>
      <c r="S30" s="2386" t="s">
        <v>507</v>
      </c>
      <c r="T30" s="2386"/>
      <c r="U30" s="1160"/>
      <c r="V30" s="2387" t="str">
        <f>IF(TITLE_DATE_PR_CHANGE="",IF(TITLE_DATE_PR="","",TITLE_DATE_PR),TITLE_DATE_PR_CHANGE)</f>
        <v/>
      </c>
      <c r="W30" s="2387"/>
      <c r="X30" s="2387"/>
      <c r="Y30" s="2387"/>
      <c r="Z30" s="2387"/>
      <c r="AA30" s="2387"/>
      <c r="AB30" s="2387"/>
      <c r="AC30" s="260"/>
      <c r="AD30" s="2387" t="str">
        <f>IF(TITLE_DATE_PR_CHANGE="",IF(TITLE_DATE_PR="","",TITLE_DATE_PR),TITLE_DATE_PR_CHANGE)</f>
        <v/>
      </c>
      <c r="AE30" s="2387"/>
      <c r="AF30" s="2387"/>
      <c r="AG30" s="2387"/>
      <c r="AH30" s="2387"/>
      <c r="AI30" s="2387"/>
      <c r="AJ30" s="2387"/>
      <c r="AK30" s="260"/>
      <c r="AL30" s="260"/>
      <c r="AM30" s="214"/>
      <c r="AN30" s="301"/>
      <c r="AO30" s="301"/>
      <c r="AP30" s="301"/>
      <c r="AQ30" s="301"/>
      <c r="AR30" s="301"/>
      <c r="AS30" s="351">
        <v>0</v>
      </c>
    </row>
    <row r="31" spans="1:45" s="1609" customFormat="1" ht="18.75" hidden="1" customHeight="1">
      <c r="A31" s="1156"/>
      <c r="B31" s="1156"/>
      <c r="C31" s="1156"/>
      <c r="D31" s="1156"/>
      <c r="E31" s="1156"/>
      <c r="F31" s="1156"/>
      <c r="G31" s="1156"/>
      <c r="H31" s="1156"/>
      <c r="I31" s="1156"/>
      <c r="J31" s="1156"/>
      <c r="K31" s="1156"/>
      <c r="L31" s="1157"/>
      <c r="M31" s="1156"/>
      <c r="N31" s="1156"/>
      <c r="O31" s="1156"/>
      <c r="S31" s="2386" t="s">
        <v>508</v>
      </c>
      <c r="T31" s="2386"/>
      <c r="U31" s="1160"/>
      <c r="V31" s="2388" t="str">
        <f>IF(TITLE_NUMBER_PR_CHANGE="",IF(TITLE_NUMBER_PR="","",TITLE_NUMBER_PR),TITLE_NUMBER_PR_CHANGE)</f>
        <v/>
      </c>
      <c r="W31" s="2388"/>
      <c r="X31" s="2388"/>
      <c r="Y31" s="2388"/>
      <c r="Z31" s="2388"/>
      <c r="AA31" s="2388"/>
      <c r="AB31" s="2388"/>
      <c r="AC31" s="260"/>
      <c r="AD31" s="2388" t="str">
        <f>IF(TITLE_NUMBER_PR_CHANGE="",IF(TITLE_NUMBER_PR="","",TITLE_NUMBER_PR),TITLE_NUMBER_PR_CHANGE)</f>
        <v/>
      </c>
      <c r="AE31" s="2388"/>
      <c r="AF31" s="2388"/>
      <c r="AG31" s="2388"/>
      <c r="AH31" s="2388"/>
      <c r="AI31" s="2388"/>
      <c r="AJ31" s="2388"/>
      <c r="AK31" s="260"/>
      <c r="AL31" s="260"/>
      <c r="AM31" s="214"/>
      <c r="AN31" s="301"/>
      <c r="AO31" s="301"/>
      <c r="AP31" s="301"/>
      <c r="AQ31" s="301"/>
      <c r="AR31" s="301"/>
      <c r="AS31" s="351">
        <v>0</v>
      </c>
    </row>
    <row r="32" spans="1:45" s="1609" customFormat="1" ht="18.75" hidden="1" customHeight="1">
      <c r="A32" s="1156"/>
      <c r="B32" s="1156"/>
      <c r="C32" s="1156"/>
      <c r="D32" s="1156"/>
      <c r="E32" s="1156"/>
      <c r="F32" s="1156"/>
      <c r="G32" s="1156"/>
      <c r="H32" s="1156"/>
      <c r="I32" s="1156"/>
      <c r="J32" s="1156"/>
      <c r="K32" s="1156"/>
      <c r="L32" s="1157"/>
      <c r="M32" s="1156"/>
      <c r="N32" s="1156"/>
      <c r="O32" s="1156"/>
      <c r="S32" s="2386" t="s">
        <v>29</v>
      </c>
      <c r="T32" s="2386"/>
      <c r="U32" s="1160"/>
      <c r="V32" s="2388" t="str">
        <f>IF(TITLE_IST_PUB_CHANGE="",IF(TITLE_IST_PUB="","",TITLE_IST_PUB),TITLE_IST_PUB_CHANGE)</f>
        <v/>
      </c>
      <c r="W32" s="2388"/>
      <c r="X32" s="2388"/>
      <c r="Y32" s="2388"/>
      <c r="Z32" s="2388"/>
      <c r="AA32" s="2388"/>
      <c r="AB32" s="2388"/>
      <c r="AC32" s="260"/>
      <c r="AD32" s="2388" t="str">
        <f>IF(TITLE_IST_PUB_CHANGE="",IF(TITLE_IST_PUB="","",TITLE_IST_PUB),TITLE_IST_PUB_CHANGE)</f>
        <v/>
      </c>
      <c r="AE32" s="2388"/>
      <c r="AF32" s="2388"/>
      <c r="AG32" s="2388"/>
      <c r="AH32" s="2388"/>
      <c r="AI32" s="2388"/>
      <c r="AJ32" s="2388"/>
      <c r="AK32" s="260"/>
      <c r="AL32" s="260"/>
      <c r="AM32" s="214"/>
      <c r="AN32" s="301"/>
      <c r="AO32" s="301"/>
      <c r="AP32" s="301"/>
      <c r="AQ32" s="301"/>
      <c r="AR32" s="301"/>
      <c r="AS32" s="351">
        <v>0</v>
      </c>
    </row>
    <row r="33" spans="1:45" ht="14.25" hidden="1" customHeight="1">
      <c r="Q33" s="309"/>
      <c r="R33" s="309"/>
      <c r="S33" s="1063"/>
      <c r="T33" s="296"/>
      <c r="U33" s="296"/>
      <c r="V33" s="256"/>
      <c r="W33" s="256"/>
      <c r="X33" s="256"/>
      <c r="Y33" s="256"/>
      <c r="Z33" s="256"/>
      <c r="AA33" s="256"/>
      <c r="AB33" s="256"/>
      <c r="AC33" s="256"/>
      <c r="AD33" s="256"/>
      <c r="AE33" s="256"/>
      <c r="AF33" s="256"/>
      <c r="AG33" s="256"/>
      <c r="AH33" s="256"/>
      <c r="AI33" s="256"/>
      <c r="AJ33" s="256"/>
      <c r="AK33" s="256"/>
      <c r="AL33" s="442"/>
      <c r="AS33" s="956">
        <v>0</v>
      </c>
    </row>
    <row r="34" spans="1:45" s="1609" customFormat="1" ht="18.75" hidden="1" customHeight="1">
      <c r="A34" s="1156"/>
      <c r="B34" s="1156"/>
      <c r="C34" s="1156"/>
      <c r="D34" s="1156"/>
      <c r="E34" s="1156"/>
      <c r="F34" s="1156"/>
      <c r="G34" s="1156"/>
      <c r="H34" s="1156"/>
      <c r="I34" s="1156"/>
      <c r="J34" s="1156"/>
      <c r="K34" s="1156"/>
      <c r="L34" s="1157"/>
      <c r="M34" s="1156"/>
      <c r="N34" s="1156"/>
      <c r="O34" s="1156"/>
      <c r="S34" s="2386" t="s">
        <v>509</v>
      </c>
      <c r="T34" s="2386"/>
      <c r="U34" s="1160"/>
      <c r="V34" s="2387" t="str">
        <f>IF(TITLE_DATE_PR_CHANGE="",IF(TITLE_DATE_PR="","",TITLE_DATE_PR),TITLE_DATE_PR_CHANGE)</f>
        <v/>
      </c>
      <c r="W34" s="2387"/>
      <c r="X34" s="2387"/>
      <c r="Y34" s="2387"/>
      <c r="Z34" s="2387"/>
      <c r="AA34" s="2387"/>
      <c r="AB34" s="2387"/>
      <c r="AC34" s="260"/>
      <c r="AD34" s="2387" t="str">
        <f>IF(TITLE_DATE_PR_CHANGE="",IF(TITLE_DATE_PR="","",TITLE_DATE_PR),TITLE_DATE_PR_CHANGE)</f>
        <v/>
      </c>
      <c r="AE34" s="2387"/>
      <c r="AF34" s="2387"/>
      <c r="AG34" s="2387"/>
      <c r="AH34" s="2387"/>
      <c r="AI34" s="2387"/>
      <c r="AJ34" s="2387"/>
      <c r="AK34" s="260"/>
      <c r="AL34" s="260"/>
      <c r="AM34" s="214"/>
      <c r="AN34" s="301"/>
      <c r="AO34" s="301"/>
      <c r="AP34" s="301"/>
      <c r="AQ34" s="301"/>
      <c r="AR34" s="301"/>
      <c r="AS34" s="351">
        <v>0</v>
      </c>
    </row>
    <row r="35" spans="1:45" s="1609" customFormat="1" ht="18.75" hidden="1" customHeight="1">
      <c r="A35" s="1156"/>
      <c r="B35" s="1156"/>
      <c r="C35" s="1156"/>
      <c r="D35" s="1156"/>
      <c r="E35" s="1156"/>
      <c r="F35" s="1156"/>
      <c r="G35" s="1156"/>
      <c r="H35" s="1156"/>
      <c r="I35" s="1156"/>
      <c r="J35" s="1156"/>
      <c r="K35" s="1156"/>
      <c r="L35" s="1157"/>
      <c r="M35" s="1156"/>
      <c r="N35" s="1156"/>
      <c r="O35" s="1156"/>
      <c r="S35" s="2386" t="s">
        <v>510</v>
      </c>
      <c r="T35" s="2386"/>
      <c r="U35" s="1160"/>
      <c r="V35" s="2388" t="str">
        <f>IF(TITLE_NUMBER_PR_CHANGE="",IF(TITLE_NUMBER_PR="","",TITLE_NUMBER_PR),TITLE_NUMBER_PR_CHANGE)</f>
        <v/>
      </c>
      <c r="W35" s="2388"/>
      <c r="X35" s="2388"/>
      <c r="Y35" s="2388"/>
      <c r="Z35" s="2388"/>
      <c r="AA35" s="2388"/>
      <c r="AB35" s="2388"/>
      <c r="AC35" s="260"/>
      <c r="AD35" s="2388" t="str">
        <f>IF(TITLE_NUMBER_PR_CHANGE="",IF(TITLE_NUMBER_PR="","",TITLE_NUMBER_PR),TITLE_NUMBER_PR_CHANGE)</f>
        <v/>
      </c>
      <c r="AE35" s="2388"/>
      <c r="AF35" s="2388"/>
      <c r="AG35" s="2388"/>
      <c r="AH35" s="2388"/>
      <c r="AI35" s="2388"/>
      <c r="AJ35" s="2388"/>
      <c r="AK35" s="260"/>
      <c r="AL35" s="260"/>
      <c r="AM35" s="214"/>
      <c r="AN35" s="301"/>
      <c r="AO35" s="301"/>
      <c r="AP35" s="301"/>
      <c r="AQ35" s="301"/>
      <c r="AR35" s="301"/>
      <c r="AS35" s="351">
        <v>0</v>
      </c>
    </row>
    <row r="36" spans="1:45" s="1609" customFormat="1" ht="0" hidden="1" customHeight="1">
      <c r="A36" s="1156"/>
      <c r="B36" s="1156"/>
      <c r="C36" s="1156"/>
      <c r="D36" s="1156"/>
      <c r="E36" s="1156"/>
      <c r="F36" s="1156"/>
      <c r="G36" s="1156"/>
      <c r="H36" s="1156"/>
      <c r="I36" s="1156"/>
      <c r="J36" s="1156"/>
      <c r="K36" s="1156"/>
      <c r="L36" s="1157"/>
      <c r="M36" s="1156"/>
      <c r="N36" s="1156"/>
      <c r="O36" s="1156"/>
      <c r="S36" s="257"/>
      <c r="T36" s="257"/>
      <c r="U36" s="1128"/>
      <c r="V36" s="260"/>
      <c r="W36" s="260"/>
      <c r="X36" s="260"/>
      <c r="Y36" s="260"/>
      <c r="Z36" s="260"/>
      <c r="AA36" s="260"/>
      <c r="AB36" s="260"/>
      <c r="AC36" s="212" t="s">
        <v>511</v>
      </c>
      <c r="AD36" s="260"/>
      <c r="AE36" s="260"/>
      <c r="AF36" s="260"/>
      <c r="AG36" s="260"/>
      <c r="AH36" s="260"/>
      <c r="AI36" s="260"/>
      <c r="AJ36" s="260"/>
      <c r="AK36" s="212" t="s">
        <v>511</v>
      </c>
      <c r="AN36" s="301"/>
      <c r="AO36" s="301"/>
      <c r="AP36" s="301"/>
      <c r="AQ36" s="301"/>
      <c r="AR36" s="301"/>
      <c r="AS36" s="351">
        <v>0</v>
      </c>
    </row>
    <row r="37" spans="1:45" ht="14.65" customHeight="1">
      <c r="Q37" s="309"/>
      <c r="R37" s="309"/>
      <c r="S37" s="1063"/>
      <c r="T37" s="296"/>
      <c r="U37" s="1032"/>
      <c r="V37" s="2407"/>
      <c r="W37" s="2407"/>
      <c r="X37" s="2407"/>
      <c r="Y37" s="2407"/>
      <c r="Z37" s="2407"/>
      <c r="AA37" s="2407"/>
      <c r="AB37" s="2407"/>
      <c r="AC37" s="2407"/>
      <c r="AD37" s="2407"/>
      <c r="AE37" s="2407"/>
      <c r="AF37" s="2407"/>
      <c r="AG37" s="2407"/>
      <c r="AH37" s="2407"/>
      <c r="AI37" s="2407"/>
      <c r="AJ37" s="2407"/>
      <c r="AK37" s="2407"/>
      <c r="AS37" s="956">
        <v>14</v>
      </c>
    </row>
    <row r="38" spans="1:45" ht="14.65" customHeight="1">
      <c r="Q38" s="309"/>
      <c r="R38" s="309"/>
      <c r="S38" s="2266" t="s">
        <v>384</v>
      </c>
      <c r="T38" s="2266"/>
      <c r="U38" s="2266"/>
      <c r="V38" s="2266"/>
      <c r="W38" s="2266"/>
      <c r="X38" s="2266"/>
      <c r="Y38" s="2266"/>
      <c r="Z38" s="2266"/>
      <c r="AA38" s="2266"/>
      <c r="AB38" s="2266"/>
      <c r="AC38" s="2266"/>
      <c r="AD38" s="2266"/>
      <c r="AE38" s="2266"/>
      <c r="AF38" s="2266"/>
      <c r="AG38" s="2266"/>
      <c r="AH38" s="2266"/>
      <c r="AI38" s="2266"/>
      <c r="AJ38" s="2266"/>
      <c r="AK38" s="2266"/>
      <c r="AL38" s="2266"/>
      <c r="AM38" s="2266" t="s">
        <v>385</v>
      </c>
      <c r="AS38" s="956">
        <v>14</v>
      </c>
    </row>
    <row r="39" spans="1:45" ht="14.65" customHeight="1">
      <c r="Q39" s="309"/>
      <c r="R39" s="309"/>
      <c r="S39" s="2408" t="s">
        <v>75</v>
      </c>
      <c r="T39" s="2357" t="s">
        <v>512</v>
      </c>
      <c r="U39" s="235"/>
      <c r="V39" s="2409" t="s">
        <v>513</v>
      </c>
      <c r="W39" s="2410"/>
      <c r="X39" s="2410"/>
      <c r="Y39" s="2410"/>
      <c r="Z39" s="2410"/>
      <c r="AA39" s="2410"/>
      <c r="AB39" s="2411"/>
      <c r="AC39" s="2412" t="s">
        <v>514</v>
      </c>
      <c r="AD39" s="2409" t="s">
        <v>513</v>
      </c>
      <c r="AE39" s="2410"/>
      <c r="AF39" s="2410"/>
      <c r="AG39" s="2410"/>
      <c r="AH39" s="2410"/>
      <c r="AI39" s="2410"/>
      <c r="AJ39" s="2411"/>
      <c r="AK39" s="2412" t="s">
        <v>515</v>
      </c>
      <c r="AL39" s="2415" t="s">
        <v>516</v>
      </c>
      <c r="AM39" s="2266"/>
      <c r="AS39" s="956">
        <v>14</v>
      </c>
    </row>
    <row r="40" spans="1:45" ht="35.65" customHeight="1">
      <c r="Q40" s="309"/>
      <c r="R40" s="309"/>
      <c r="S40" s="2408"/>
      <c r="T40" s="2357"/>
      <c r="U40" s="874"/>
      <c r="V40" s="2327" t="s">
        <v>517</v>
      </c>
      <c r="W40" s="2404"/>
      <c r="X40" s="2247" t="s">
        <v>519</v>
      </c>
      <c r="Y40" s="2246"/>
      <c r="Z40" s="2247" t="s">
        <v>520</v>
      </c>
      <c r="AA40" s="2252"/>
      <c r="AB40" s="2246"/>
      <c r="AC40" s="2413"/>
      <c r="AD40" s="2327" t="s">
        <v>534</v>
      </c>
      <c r="AE40" s="2404"/>
      <c r="AF40" s="2247" t="s">
        <v>519</v>
      </c>
      <c r="AG40" s="2246"/>
      <c r="AH40" s="2247" t="s">
        <v>520</v>
      </c>
      <c r="AI40" s="2252"/>
      <c r="AJ40" s="2246"/>
      <c r="AK40" s="2413"/>
      <c r="AL40" s="2416"/>
      <c r="AM40" s="2266"/>
      <c r="AS40" s="956">
        <v>34</v>
      </c>
    </row>
    <row r="41" spans="1:45" ht="35.65" customHeight="1">
      <c r="A41" s="1158"/>
      <c r="B41" s="1158" t="s">
        <v>226</v>
      </c>
      <c r="C41" s="1158" t="s">
        <v>227</v>
      </c>
      <c r="D41" s="1158" t="s">
        <v>228</v>
      </c>
      <c r="E41" s="1152" t="s">
        <v>521</v>
      </c>
      <c r="F41" s="1152" t="s">
        <v>522</v>
      </c>
      <c r="G41" s="1152" t="s">
        <v>523</v>
      </c>
      <c r="H41" s="1152" t="s">
        <v>524</v>
      </c>
      <c r="I41" s="1152" t="s">
        <v>525</v>
      </c>
      <c r="J41" s="1152" t="s">
        <v>526</v>
      </c>
      <c r="K41" s="1152" t="s">
        <v>527</v>
      </c>
      <c r="L41" s="1152" t="s">
        <v>502</v>
      </c>
      <c r="Q41" s="309"/>
      <c r="R41" s="309"/>
      <c r="S41" s="2408"/>
      <c r="T41" s="2357"/>
      <c r="U41" s="236"/>
      <c r="V41" s="2381"/>
      <c r="W41" s="2405"/>
      <c r="X41" s="1010" t="s">
        <v>528</v>
      </c>
      <c r="Y41" s="1010" t="s">
        <v>529</v>
      </c>
      <c r="Z41" s="1126" t="s">
        <v>530</v>
      </c>
      <c r="AA41" s="2362" t="s">
        <v>531</v>
      </c>
      <c r="AB41" s="2375"/>
      <c r="AC41" s="2414"/>
      <c r="AD41" s="2381"/>
      <c r="AE41" s="2405"/>
      <c r="AF41" s="1010" t="s">
        <v>528</v>
      </c>
      <c r="AG41" s="1010" t="s">
        <v>529</v>
      </c>
      <c r="AH41" s="1126" t="s">
        <v>530</v>
      </c>
      <c r="AI41" s="2362" t="s">
        <v>531</v>
      </c>
      <c r="AJ41" s="2375"/>
      <c r="AK41" s="2414"/>
      <c r="AL41" s="2417"/>
      <c r="AM41" s="2266"/>
      <c r="AS41" s="956">
        <v>34</v>
      </c>
    </row>
    <row r="42" spans="1:45" s="1429" customFormat="1" ht="11.25" hidden="1" customHeight="1">
      <c r="A42" s="1158"/>
      <c r="B42" s="1158"/>
      <c r="C42" s="1158"/>
      <c r="D42" s="1158"/>
      <c r="E42" s="1158"/>
      <c r="F42" s="1158"/>
      <c r="G42" s="1158"/>
      <c r="H42" s="1158"/>
      <c r="I42" s="1158"/>
      <c r="J42" s="1158"/>
      <c r="K42" s="1158"/>
      <c r="L42" s="1152"/>
      <c r="M42" s="1150"/>
      <c r="N42" s="1150"/>
      <c r="O42" s="1150"/>
      <c r="P42" s="1034"/>
      <c r="Q42" s="1035"/>
      <c r="R42" s="1042">
        <v>1</v>
      </c>
      <c r="S42" s="1065" t="s">
        <v>161</v>
      </c>
      <c r="T42" s="1043" t="s">
        <v>89</v>
      </c>
      <c r="U42" s="1033" t="str">
        <f ca="1">OFFSET(U42,0,-1)</f>
        <v>2</v>
      </c>
      <c r="V42" s="1123">
        <f ca="1">OFFSET(V42,0,-1)+1</f>
        <v>3</v>
      </c>
      <c r="W42" s="1123"/>
      <c r="X42" s="1123">
        <f ca="1">OFFSET(X42,0,-1)+1</f>
        <v>1</v>
      </c>
      <c r="Y42" s="1123">
        <f ca="1">OFFSET(Y42,0,-1)+1</f>
        <v>2</v>
      </c>
      <c r="Z42" s="1123">
        <f ca="1">OFFSET(Z42,0,-1)+1</f>
        <v>3</v>
      </c>
      <c r="AA42" s="2406">
        <f ca="1">OFFSET(AA42,0,-1)+1</f>
        <v>4</v>
      </c>
      <c r="AB42" s="2406"/>
      <c r="AC42" s="1123">
        <f ca="1">OFFSET(AC42,0,-2)+1</f>
        <v>5</v>
      </c>
      <c r="AD42" s="1123">
        <f ca="1">OFFSET(AD42,0,-1)+1</f>
        <v>6</v>
      </c>
      <c r="AE42" s="1123"/>
      <c r="AF42" s="1123">
        <f ca="1">OFFSET(AF42,0,-1)+1</f>
        <v>1</v>
      </c>
      <c r="AG42" s="1123">
        <f ca="1">OFFSET(AG42,0,-1)+1</f>
        <v>2</v>
      </c>
      <c r="AH42" s="1123">
        <f ca="1">OFFSET(AH42,0,-1)+1</f>
        <v>3</v>
      </c>
      <c r="AI42" s="2406">
        <f ca="1">OFFSET(AI42,0,-1)+1</f>
        <v>4</v>
      </c>
      <c r="AJ42" s="2406"/>
      <c r="AK42" s="1123">
        <f ca="1">OFFSET(AK42,0,-2)+1</f>
        <v>5</v>
      </c>
      <c r="AL42" s="1033">
        <f ca="1">OFFSET(AL42,0,-1)</f>
        <v>5</v>
      </c>
      <c r="AM42" s="1123">
        <f ca="1">OFFSET(AM42,0,-1)+1</f>
        <v>6</v>
      </c>
      <c r="AN42" s="444"/>
      <c r="AO42" s="444"/>
      <c r="AP42" s="444"/>
      <c r="AQ42" s="444"/>
      <c r="AR42" s="444"/>
      <c r="AS42" s="429">
        <v>0</v>
      </c>
    </row>
    <row r="43" spans="1:45" ht="21.95" customHeight="1">
      <c r="A43" s="1151" t="s">
        <v>254</v>
      </c>
      <c r="B43" s="1151"/>
      <c r="C43" s="1151"/>
      <c r="D43" s="1151"/>
      <c r="E43" s="2395">
        <v>1</v>
      </c>
      <c r="F43" s="1151"/>
      <c r="G43" s="1151"/>
      <c r="H43" s="1151"/>
      <c r="I43" s="1151"/>
      <c r="J43" s="1151"/>
      <c r="K43" s="1151"/>
      <c r="L43" s="1152"/>
      <c r="M43" s="1153"/>
      <c r="N43" s="1153"/>
      <c r="O43" s="1153"/>
      <c r="P43" s="294"/>
      <c r="Q43" s="293"/>
      <c r="R43" s="288"/>
      <c r="S43" s="1124">
        <f>INDEX(PT_DIFFERENTIATION_NUM_NTAR,MATCH(A43,PT_DIFFERENTIATION_NTAR_ID,0))</f>
        <v>0</v>
      </c>
      <c r="T43" s="232" t="s">
        <v>214</v>
      </c>
      <c r="U43" s="234"/>
      <c r="V43" s="2389"/>
      <c r="W43" s="2390"/>
      <c r="X43" s="2390"/>
      <c r="Y43" s="2390"/>
      <c r="Z43" s="2390"/>
      <c r="AA43" s="2390"/>
      <c r="AB43" s="2390"/>
      <c r="AC43" s="2391"/>
      <c r="AD43" s="2389" t="str">
        <f>INDEX(PT_DIFFERENTIATION_NTAR,MATCH(A43,PT_DIFFERENTIATION_NTAR_ID,0))</f>
        <v/>
      </c>
      <c r="AE43" s="2390"/>
      <c r="AF43" s="2390"/>
      <c r="AG43" s="2390"/>
      <c r="AH43" s="2390"/>
      <c r="AI43" s="2390"/>
      <c r="AJ43" s="2390"/>
      <c r="AK43" s="2390"/>
      <c r="AL43" s="2391"/>
      <c r="AM43" s="104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956">
        <v>21</v>
      </c>
    </row>
    <row r="44" spans="1:45" ht="21.95" customHeight="1">
      <c r="A44" s="1151" t="s">
        <v>254</v>
      </c>
      <c r="B44" s="1151" t="s">
        <v>255</v>
      </c>
      <c r="C44" s="1151"/>
      <c r="D44" s="1151"/>
      <c r="E44" s="2396"/>
      <c r="F44" s="2395">
        <v>1</v>
      </c>
      <c r="G44" s="1151"/>
      <c r="H44" s="1151"/>
      <c r="I44" s="1151"/>
      <c r="J44" s="1151"/>
      <c r="K44" s="1151"/>
      <c r="L44" s="1152"/>
      <c r="M44" s="1153"/>
      <c r="N44" s="1153"/>
      <c r="O44" s="1153"/>
      <c r="P44" s="1120"/>
      <c r="Q44" s="285"/>
      <c r="R44" s="286"/>
      <c r="S44" s="1124" t="str">
        <f>INDEX(PT_DIFFERENTIATION_NUM_TER,MATCH(B44,PT_DIFFERENTIATION_TER_ID,0))</f>
        <v>.</v>
      </c>
      <c r="T44" s="242" t="s">
        <v>481</v>
      </c>
      <c r="U44" s="234"/>
      <c r="V44" s="2389"/>
      <c r="W44" s="2390"/>
      <c r="X44" s="2390"/>
      <c r="Y44" s="2390"/>
      <c r="Z44" s="2390"/>
      <c r="AA44" s="2390"/>
      <c r="AB44" s="2390"/>
      <c r="AC44" s="2391"/>
      <c r="AD44" s="2389" t="str">
        <f>INDEX(PT_DIFFERENTIATION_TER,MATCH(B44,PT_DIFFERENTIATION_TER_ID,0))</f>
        <v/>
      </c>
      <c r="AE44" s="2390"/>
      <c r="AF44" s="2390"/>
      <c r="AG44" s="2390"/>
      <c r="AH44" s="2390"/>
      <c r="AI44" s="2390"/>
      <c r="AJ44" s="2390"/>
      <c r="AK44" s="2390"/>
      <c r="AL44" s="2391"/>
      <c r="AM44" s="1046" t="s">
        <v>482</v>
      </c>
      <c r="AO44" s="433"/>
      <c r="AP44" s="433" t="str">
        <f t="shared" si="1"/>
        <v>Территория действия тарифа</v>
      </c>
      <c r="AQ44" s="433"/>
      <c r="AR44" s="433"/>
      <c r="AS44" s="956">
        <v>21</v>
      </c>
    </row>
    <row r="45" spans="1:45" ht="24" customHeight="1">
      <c r="A45" s="1151" t="s">
        <v>254</v>
      </c>
      <c r="B45" s="1151" t="s">
        <v>255</v>
      </c>
      <c r="C45" s="1151" t="s">
        <v>256</v>
      </c>
      <c r="D45" s="1151"/>
      <c r="E45" s="2396"/>
      <c r="F45" s="2396"/>
      <c r="G45" s="2395">
        <v>1</v>
      </c>
      <c r="H45" s="1151"/>
      <c r="I45" s="1151"/>
      <c r="J45" s="1151"/>
      <c r="K45" s="1151"/>
      <c r="L45" s="1152"/>
      <c r="M45" s="1153"/>
      <c r="N45" s="1153"/>
      <c r="O45" s="1153"/>
      <c r="P45" s="287"/>
      <c r="Q45" s="285"/>
      <c r="R45" s="286"/>
      <c r="S45" s="1124" t="str">
        <f>INDEX(PT_DIFFERENTIATION_NUM_CS,MATCH(C45,PT_DIFFERENTIATION_CS_ID,0))</f>
        <v>..</v>
      </c>
      <c r="T45" s="243" t="s">
        <v>483</v>
      </c>
      <c r="U45" s="234"/>
      <c r="V45" s="2389"/>
      <c r="W45" s="2390"/>
      <c r="X45" s="2390"/>
      <c r="Y45" s="2390"/>
      <c r="Z45" s="2390"/>
      <c r="AA45" s="2390"/>
      <c r="AB45" s="2390"/>
      <c r="AC45" s="2391"/>
      <c r="AD45" s="2389" t="str">
        <f>INDEX(PT_DIFFERENTIATION_CS,MATCH(C45,PT_DIFFERENTIATION_CS_ID,0))</f>
        <v/>
      </c>
      <c r="AE45" s="2390"/>
      <c r="AF45" s="2390"/>
      <c r="AG45" s="2390"/>
      <c r="AH45" s="2390"/>
      <c r="AI45" s="2390"/>
      <c r="AJ45" s="2390"/>
      <c r="AK45" s="2390"/>
      <c r="AL45" s="2391"/>
      <c r="AM45" s="1046" t="s">
        <v>484</v>
      </c>
      <c r="AO45" s="433"/>
      <c r="AP45" s="433" t="str">
        <f t="shared" si="1"/>
        <v xml:space="preserve">Наименование системы теплоснабжения </v>
      </c>
      <c r="AQ45" s="433"/>
      <c r="AR45" s="433"/>
      <c r="AS45" s="956">
        <v>23</v>
      </c>
    </row>
    <row r="46" spans="1:45" ht="21.95" customHeight="1">
      <c r="A46" s="1151" t="s">
        <v>254</v>
      </c>
      <c r="B46" s="1151" t="s">
        <v>255</v>
      </c>
      <c r="C46" s="1151" t="s">
        <v>256</v>
      </c>
      <c r="D46" s="1151" t="s">
        <v>257</v>
      </c>
      <c r="E46" s="2396"/>
      <c r="F46" s="2396"/>
      <c r="G46" s="2396"/>
      <c r="H46" s="2395">
        <v>1</v>
      </c>
      <c r="I46" s="1151"/>
      <c r="J46" s="1151"/>
      <c r="K46" s="1151"/>
      <c r="L46" s="1152"/>
      <c r="M46" s="1153"/>
      <c r="N46" s="1153"/>
      <c r="O46" s="1153"/>
      <c r="P46" s="287"/>
      <c r="Q46" s="285"/>
      <c r="R46" s="286"/>
      <c r="S46" s="1124" t="str">
        <f>INDEX(PT_DIFFERENTIATION_NUM_IST_TE,MATCH(D46,PT_DIFFERENTIATION_IST_TE_ID,0))</f>
        <v>...</v>
      </c>
      <c r="T46" s="244" t="s">
        <v>485</v>
      </c>
      <c r="U46" s="234"/>
      <c r="V46" s="2389"/>
      <c r="W46" s="2390"/>
      <c r="X46" s="2390"/>
      <c r="Y46" s="2390"/>
      <c r="Z46" s="2390"/>
      <c r="AA46" s="2390"/>
      <c r="AB46" s="2390"/>
      <c r="AC46" s="2391"/>
      <c r="AD46" s="2389" t="str">
        <f>INDEX(PT_DIFFERENTIATION_IST_TE,MATCH(D46,PT_DIFFERENTIATION_IST_TE_ID,0))</f>
        <v/>
      </c>
      <c r="AE46" s="2390"/>
      <c r="AF46" s="2390"/>
      <c r="AG46" s="2390"/>
      <c r="AH46" s="2390"/>
      <c r="AI46" s="2390"/>
      <c r="AJ46" s="2390"/>
      <c r="AK46" s="2390"/>
      <c r="AL46" s="2391"/>
      <c r="AM46" s="1046" t="s">
        <v>486</v>
      </c>
      <c r="AO46" s="433"/>
      <c r="AP46" s="433" t="str">
        <f t="shared" si="1"/>
        <v xml:space="preserve">Источник тепловой энергии  </v>
      </c>
      <c r="AQ46" s="433"/>
      <c r="AR46" s="433"/>
      <c r="AS46" s="956">
        <v>21</v>
      </c>
    </row>
    <row r="47" spans="1:45" s="1430" customFormat="1" ht="0" hidden="1" customHeight="1">
      <c r="A47" s="1131" t="s">
        <v>254</v>
      </c>
      <c r="B47" s="1131" t="s">
        <v>255</v>
      </c>
      <c r="C47" s="1131" t="s">
        <v>256</v>
      </c>
      <c r="D47" s="1131" t="s">
        <v>257</v>
      </c>
      <c r="E47" s="2396"/>
      <c r="F47" s="2396"/>
      <c r="G47" s="2396"/>
      <c r="H47" s="2396"/>
      <c r="I47" s="2397" t="str">
        <f>S46&amp;".1"</f>
        <v>....1</v>
      </c>
      <c r="J47" s="1131"/>
      <c r="K47" s="1131"/>
      <c r="L47" s="1134" t="s">
        <v>487</v>
      </c>
      <c r="M47" s="443"/>
      <c r="N47" s="443"/>
      <c r="O47" s="443"/>
      <c r="P47" s="2399">
        <v>1</v>
      </c>
      <c r="Q47" s="1119"/>
      <c r="R47" s="289"/>
      <c r="S47" s="881"/>
      <c r="T47" s="1171"/>
      <c r="U47" s="1172"/>
      <c r="V47" s="2426"/>
      <c r="W47" s="2427"/>
      <c r="X47" s="2427"/>
      <c r="Y47" s="2427"/>
      <c r="Z47" s="2427"/>
      <c r="AA47" s="2427"/>
      <c r="AB47" s="2427"/>
      <c r="AC47" s="2428"/>
      <c r="AD47" s="2426"/>
      <c r="AE47" s="2427"/>
      <c r="AF47" s="2427"/>
      <c r="AG47" s="2427"/>
      <c r="AH47" s="2427"/>
      <c r="AI47" s="2427"/>
      <c r="AJ47" s="2427"/>
      <c r="AK47" s="2427"/>
      <c r="AL47" s="2428"/>
      <c r="AM47" s="1173"/>
      <c r="AO47" s="433"/>
      <c r="AP47" s="433" t="str">
        <f t="shared" si="1"/>
        <v/>
      </c>
      <c r="AQ47" s="433"/>
      <c r="AR47" s="433"/>
      <c r="AS47" s="444">
        <v>0</v>
      </c>
    </row>
    <row r="48" spans="1:45" ht="21.95" customHeight="1">
      <c r="A48" s="1151" t="s">
        <v>254</v>
      </c>
      <c r="B48" s="1151" t="s">
        <v>255</v>
      </c>
      <c r="C48" s="1151" t="s">
        <v>256</v>
      </c>
      <c r="D48" s="1151" t="s">
        <v>257</v>
      </c>
      <c r="E48" s="2396"/>
      <c r="F48" s="2396"/>
      <c r="G48" s="2396"/>
      <c r="H48" s="2396"/>
      <c r="I48" s="2398"/>
      <c r="J48" s="2397" t="str">
        <f>S46&amp;".1"</f>
        <v>....1</v>
      </c>
      <c r="K48" s="1151"/>
      <c r="L48" s="1152" t="s">
        <v>490</v>
      </c>
      <c r="P48" s="2399"/>
      <c r="Q48" s="2399">
        <v>1</v>
      </c>
      <c r="R48" s="290"/>
      <c r="S48" s="1124" t="str">
        <f>$J48</f>
        <v>....1</v>
      </c>
      <c r="T48" s="220" t="s">
        <v>491</v>
      </c>
      <c r="U48" s="234"/>
      <c r="V48" s="2383"/>
      <c r="W48" s="2384"/>
      <c r="X48" s="2384"/>
      <c r="Y48" s="2384"/>
      <c r="Z48" s="2384"/>
      <c r="AA48" s="2384"/>
      <c r="AB48" s="2384"/>
      <c r="AC48" s="2385"/>
      <c r="AD48" s="2383"/>
      <c r="AE48" s="2384"/>
      <c r="AF48" s="2384"/>
      <c r="AG48" s="2384"/>
      <c r="AH48" s="2384"/>
      <c r="AI48" s="2384"/>
      <c r="AJ48" s="2384"/>
      <c r="AK48" s="2384"/>
      <c r="AL48" s="2385"/>
      <c r="AM48" s="1046" t="s">
        <v>492</v>
      </c>
      <c r="AO48" s="433"/>
      <c r="AP48" s="433" t="str">
        <f t="shared" si="1"/>
        <v>Группа потребителей</v>
      </c>
      <c r="AQ48" s="433"/>
      <c r="AR48" s="433"/>
      <c r="AS48" s="956">
        <v>21</v>
      </c>
    </row>
    <row r="49" spans="1:45" ht="21.95" customHeight="1">
      <c r="A49" s="1151" t="s">
        <v>254</v>
      </c>
      <c r="B49" s="1151" t="s">
        <v>255</v>
      </c>
      <c r="C49" s="1151" t="s">
        <v>256</v>
      </c>
      <c r="D49" s="1151" t="s">
        <v>257</v>
      </c>
      <c r="E49" s="2396"/>
      <c r="F49" s="2396"/>
      <c r="G49" s="2396"/>
      <c r="H49" s="2396"/>
      <c r="I49" s="2398"/>
      <c r="J49" s="2398"/>
      <c r="K49" s="2397" t="str">
        <f>J48&amp;".1"</f>
        <v>....1.1</v>
      </c>
      <c r="L49" s="1152" t="s">
        <v>493</v>
      </c>
      <c r="P49" s="2399"/>
      <c r="Q49" s="2399"/>
      <c r="R49" s="290">
        <v>1</v>
      </c>
      <c r="S49" s="1124" t="str">
        <f>$K49</f>
        <v>....1.1</v>
      </c>
      <c r="T49" s="1135"/>
      <c r="U49" s="234"/>
      <c r="V49" s="658"/>
      <c r="W49" s="259"/>
      <c r="X49" s="658"/>
      <c r="Y49" s="1045"/>
      <c r="Z49" s="2400"/>
      <c r="AA49" s="2276" t="s">
        <v>52</v>
      </c>
      <c r="AB49" s="2400"/>
      <c r="AC49" s="2276" t="s">
        <v>52</v>
      </c>
      <c r="AD49" s="658"/>
      <c r="AE49" s="259"/>
      <c r="AF49" s="658"/>
      <c r="AG49" s="1045"/>
      <c r="AH49" s="2400"/>
      <c r="AI49" s="2276" t="s">
        <v>52</v>
      </c>
      <c r="AJ49" s="2402"/>
      <c r="AK49" s="2276" t="s">
        <v>52</v>
      </c>
      <c r="AL49" s="1136"/>
      <c r="AM49" s="2418" t="s">
        <v>535</v>
      </c>
      <c r="AN49" s="444" t="e">
        <f ca="1">STRCHECKDATE(V50:AL50)</f>
        <v>#NAME?</v>
      </c>
      <c r="AO49" s="433"/>
      <c r="AP49" s="433" t="str">
        <f t="shared" si="1"/>
        <v/>
      </c>
      <c r="AQ49" s="433"/>
      <c r="AR49" s="433"/>
      <c r="AS49" s="956">
        <v>21</v>
      </c>
    </row>
    <row r="50" spans="1:45" ht="1.1499999999999999" customHeight="1">
      <c r="A50" s="1151" t="s">
        <v>254</v>
      </c>
      <c r="B50" s="1151" t="s">
        <v>255</v>
      </c>
      <c r="C50" s="1151" t="s">
        <v>256</v>
      </c>
      <c r="D50" s="1151" t="s">
        <v>257</v>
      </c>
      <c r="E50" s="2396"/>
      <c r="F50" s="2396"/>
      <c r="G50" s="2396"/>
      <c r="H50" s="2396"/>
      <c r="I50" s="2398"/>
      <c r="J50" s="2398"/>
      <c r="K50" s="2397"/>
      <c r="L50" s="1152"/>
      <c r="P50" s="2399"/>
      <c r="Q50" s="2399"/>
      <c r="R50" s="290"/>
      <c r="S50" s="1130"/>
      <c r="T50" s="234"/>
      <c r="U50" s="234"/>
      <c r="V50" s="259"/>
      <c r="W50" s="259"/>
      <c r="X50" s="259"/>
      <c r="Y50" s="262" t="str">
        <f>Z49&amp;"-"&amp;AB49</f>
        <v>-</v>
      </c>
      <c r="Z50" s="2401"/>
      <c r="AA50" s="2276"/>
      <c r="AB50" s="2401"/>
      <c r="AC50" s="2276"/>
      <c r="AD50" s="259"/>
      <c r="AE50" s="259"/>
      <c r="AF50" s="259"/>
      <c r="AG50" s="262" t="str">
        <f>AH49&amp;"-"&amp;AJ49</f>
        <v>-</v>
      </c>
      <c r="AH50" s="2401"/>
      <c r="AI50" s="2276"/>
      <c r="AJ50" s="2403"/>
      <c r="AK50" s="2276"/>
      <c r="AL50" s="1137"/>
      <c r="AM50" s="2419"/>
      <c r="AO50" s="433"/>
      <c r="AP50" s="433" t="str">
        <f t="shared" si="1"/>
        <v/>
      </c>
      <c r="AQ50" s="433"/>
      <c r="AR50" s="433"/>
      <c r="AS50" s="956">
        <v>1</v>
      </c>
    </row>
    <row r="51" spans="1:45" ht="11.45" customHeight="1">
      <c r="A51" s="1151" t="s">
        <v>254</v>
      </c>
      <c r="B51" s="1151" t="s">
        <v>255</v>
      </c>
      <c r="C51" s="1151" t="s">
        <v>256</v>
      </c>
      <c r="D51" s="1151" t="s">
        <v>257</v>
      </c>
      <c r="E51" s="2396"/>
      <c r="F51" s="2396"/>
      <c r="G51" s="2396"/>
      <c r="H51" s="2396"/>
      <c r="I51" s="2398"/>
      <c r="J51" s="2397"/>
      <c r="K51" s="1151"/>
      <c r="L51" s="1152"/>
      <c r="P51" s="2399"/>
      <c r="Q51" s="2399"/>
      <c r="R51" s="289"/>
      <c r="S51" s="1066"/>
      <c r="T51" s="221" t="s">
        <v>495</v>
      </c>
      <c r="U51" s="300"/>
      <c r="V51" s="300"/>
      <c r="W51" s="300"/>
      <c r="X51" s="300"/>
      <c r="Y51" s="300"/>
      <c r="Z51" s="300"/>
      <c r="AA51" s="300"/>
      <c r="AB51" s="300"/>
      <c r="AC51" s="300"/>
      <c r="AD51" s="300"/>
      <c r="AE51" s="300"/>
      <c r="AF51" s="300"/>
      <c r="AG51" s="300"/>
      <c r="AH51" s="300"/>
      <c r="AI51" s="300"/>
      <c r="AJ51" s="300"/>
      <c r="AK51" s="300"/>
      <c r="AL51" s="258"/>
      <c r="AM51" s="2420"/>
      <c r="AO51" s="433"/>
      <c r="AP51" s="433" t="str">
        <f t="shared" si="1"/>
        <v>Добавить вид теплоносителя (параметры теплоносителя)</v>
      </c>
      <c r="AQ51" s="433"/>
      <c r="AR51" s="433"/>
      <c r="AS51" s="956">
        <v>11</v>
      </c>
    </row>
    <row r="52" spans="1:45" ht="11.45" customHeight="1">
      <c r="A52" s="1151" t="s">
        <v>254</v>
      </c>
      <c r="B52" s="1151" t="s">
        <v>255</v>
      </c>
      <c r="C52" s="1151" t="s">
        <v>256</v>
      </c>
      <c r="D52" s="1151" t="s">
        <v>257</v>
      </c>
      <c r="E52" s="2396"/>
      <c r="F52" s="2396"/>
      <c r="G52" s="2396"/>
      <c r="H52" s="2396"/>
      <c r="I52" s="2397"/>
      <c r="J52" s="1151"/>
      <c r="K52" s="1151"/>
      <c r="L52" s="1152"/>
      <c r="P52" s="2399"/>
      <c r="Q52" s="1119"/>
      <c r="R52" s="289"/>
      <c r="S52" s="1066"/>
      <c r="T52" s="298" t="s">
        <v>496</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956">
        <v>11</v>
      </c>
    </row>
    <row r="53" spans="1:45" ht="0" hidden="1" customHeight="1">
      <c r="A53" s="1151" t="s">
        <v>254</v>
      </c>
      <c r="B53" s="1151" t="s">
        <v>255</v>
      </c>
      <c r="C53" s="1151" t="s">
        <v>256</v>
      </c>
      <c r="D53" s="1151" t="s">
        <v>257</v>
      </c>
      <c r="E53" s="2396"/>
      <c r="F53" s="2396"/>
      <c r="G53" s="2396"/>
      <c r="H53" s="2395"/>
      <c r="I53" s="1151"/>
      <c r="J53" s="1151"/>
      <c r="K53" s="1151"/>
      <c r="L53" s="1152"/>
      <c r="M53" s="1153"/>
      <c r="N53" s="1153"/>
      <c r="O53" s="469"/>
      <c r="P53" s="293"/>
      <c r="Q53" s="308"/>
      <c r="R53" s="288"/>
      <c r="S53" s="1174"/>
      <c r="T53" s="1175"/>
      <c r="U53" s="1176"/>
      <c r="V53" s="1176"/>
      <c r="W53" s="1176"/>
      <c r="X53" s="1176"/>
      <c r="Y53" s="1176"/>
      <c r="Z53" s="1176"/>
      <c r="AA53" s="1176"/>
      <c r="AB53" s="1176"/>
      <c r="AC53" s="1176"/>
      <c r="AD53" s="1176"/>
      <c r="AE53" s="1176"/>
      <c r="AF53" s="1176"/>
      <c r="AG53" s="1176"/>
      <c r="AH53" s="1176"/>
      <c r="AI53" s="1176"/>
      <c r="AJ53" s="1176"/>
      <c r="AK53" s="1176"/>
      <c r="AL53" s="1176"/>
      <c r="AM53" s="1177"/>
      <c r="AO53" s="433"/>
      <c r="AP53" s="433" t="str">
        <f t="shared" si="1"/>
        <v/>
      </c>
      <c r="AQ53" s="433"/>
      <c r="AR53" s="433"/>
      <c r="AS53" s="956">
        <v>0</v>
      </c>
    </row>
    <row r="54" spans="1:45" s="1430" customFormat="1" ht="1.1499999999999999" customHeight="1">
      <c r="A54" s="1131" t="s">
        <v>254</v>
      </c>
      <c r="B54" s="1131" t="s">
        <v>255</v>
      </c>
      <c r="C54" s="1131" t="s">
        <v>256</v>
      </c>
      <c r="D54" s="1102"/>
      <c r="E54" s="2396"/>
      <c r="F54" s="2396"/>
      <c r="G54" s="2395"/>
      <c r="H54" s="1102"/>
      <c r="I54" s="1102"/>
      <c r="J54" s="1102"/>
      <c r="K54" s="1102"/>
      <c r="L54" s="1127"/>
      <c r="M54" s="1103"/>
      <c r="N54" s="1103"/>
      <c r="P54" s="1104"/>
      <c r="Q54" s="1105"/>
      <c r="R54" s="1104"/>
      <c r="S54" s="1110"/>
      <c r="T54" s="1113" t="s">
        <v>498</v>
      </c>
      <c r="U54" s="1112"/>
      <c r="V54" s="1112"/>
      <c r="W54" s="1112"/>
      <c r="X54" s="1112"/>
      <c r="Y54" s="1112"/>
      <c r="Z54" s="1112"/>
      <c r="AA54" s="1112"/>
      <c r="AB54" s="1112"/>
      <c r="AC54" s="1112"/>
      <c r="AD54" s="1112"/>
      <c r="AE54" s="1112"/>
      <c r="AF54" s="1112"/>
      <c r="AG54" s="1112"/>
      <c r="AH54" s="1112"/>
      <c r="AI54" s="1112"/>
      <c r="AJ54" s="1112"/>
      <c r="AK54" s="1112"/>
      <c r="AL54" s="1112"/>
      <c r="AM54" s="1112"/>
      <c r="AO54" s="688"/>
      <c r="AP54" s="688" t="str">
        <f t="shared" si="1"/>
        <v>Добавить источник для дифференциации</v>
      </c>
      <c r="AQ54" s="688"/>
      <c r="AR54" s="688"/>
      <c r="AS54" s="451">
        <v>1</v>
      </c>
    </row>
    <row r="55" spans="1:45" s="1430" customFormat="1" ht="1.1499999999999999" customHeight="1">
      <c r="A55" s="1131" t="s">
        <v>254</v>
      </c>
      <c r="B55" s="1131" t="s">
        <v>255</v>
      </c>
      <c r="C55" s="1102"/>
      <c r="D55" s="1102"/>
      <c r="E55" s="2396"/>
      <c r="F55" s="2395"/>
      <c r="G55" s="1102"/>
      <c r="H55" s="1102"/>
      <c r="I55" s="1102"/>
      <c r="J55" s="1102"/>
      <c r="K55" s="1102"/>
      <c r="L55" s="1127"/>
      <c r="M55" s="1109"/>
      <c r="N55" s="1109"/>
      <c r="P55" s="1104"/>
      <c r="Q55" s="1105"/>
      <c r="R55" s="1104"/>
      <c r="S55" s="1110"/>
      <c r="T55" s="1113" t="s">
        <v>499</v>
      </c>
      <c r="U55" s="1112"/>
      <c r="V55" s="1112"/>
      <c r="W55" s="1112"/>
      <c r="X55" s="1112"/>
      <c r="Y55" s="1112"/>
      <c r="Z55" s="1112"/>
      <c r="AA55" s="1112"/>
      <c r="AB55" s="1112"/>
      <c r="AC55" s="1112"/>
      <c r="AD55" s="1112"/>
      <c r="AE55" s="1112"/>
      <c r="AF55" s="1112"/>
      <c r="AG55" s="1112"/>
      <c r="AH55" s="1112"/>
      <c r="AI55" s="1112"/>
      <c r="AJ55" s="1112"/>
      <c r="AK55" s="1112"/>
      <c r="AL55" s="1112"/>
      <c r="AM55" s="1112"/>
      <c r="AO55" s="688"/>
      <c r="AP55" s="688" t="str">
        <f t="shared" si="1"/>
        <v>Добавить централизованную систему для дифференциации</v>
      </c>
      <c r="AQ55" s="688"/>
      <c r="AR55" s="688"/>
      <c r="AS55" s="451">
        <v>1</v>
      </c>
    </row>
    <row r="56" spans="1:45" s="1430" customFormat="1" ht="1.1499999999999999" customHeight="1">
      <c r="A56" s="1131" t="s">
        <v>254</v>
      </c>
      <c r="B56" s="1131"/>
      <c r="C56" s="1131"/>
      <c r="D56" s="1131"/>
      <c r="E56" s="2395"/>
      <c r="F56" s="1131"/>
      <c r="G56" s="1131"/>
      <c r="H56" s="1131"/>
      <c r="I56" s="1131"/>
      <c r="J56" s="1131"/>
      <c r="K56" s="1131"/>
      <c r="L56" s="1134"/>
      <c r="M56" s="1109"/>
      <c r="N56" s="1109"/>
      <c r="O56" s="451"/>
      <c r="P56" s="313"/>
      <c r="Q56" s="1132"/>
      <c r="R56" s="313"/>
      <c r="S56" s="1110"/>
      <c r="T56" s="1113" t="s">
        <v>500</v>
      </c>
      <c r="U56" s="1112"/>
      <c r="V56" s="1112"/>
      <c r="W56" s="1112"/>
      <c r="X56" s="1112"/>
      <c r="Y56" s="1112"/>
      <c r="Z56" s="1112"/>
      <c r="AA56" s="1112"/>
      <c r="AB56" s="1112"/>
      <c r="AC56" s="1112"/>
      <c r="AD56" s="1112"/>
      <c r="AE56" s="1112"/>
      <c r="AF56" s="1112"/>
      <c r="AG56" s="1112"/>
      <c r="AH56" s="1112"/>
      <c r="AI56" s="1112"/>
      <c r="AJ56" s="1112"/>
      <c r="AK56" s="1112"/>
      <c r="AL56" s="1112"/>
      <c r="AM56" s="1112"/>
      <c r="AO56" s="433"/>
      <c r="AP56" s="433" t="str">
        <f t="shared" si="1"/>
        <v>Добавить территорию для дифференциации</v>
      </c>
      <c r="AQ56" s="433"/>
      <c r="AR56" s="433"/>
      <c r="AS56" s="444">
        <v>1</v>
      </c>
    </row>
    <row r="57" spans="1:45" s="1430" customFormat="1" ht="1.1499999999999999" customHeight="1">
      <c r="A57" s="1102"/>
      <c r="B57" s="1102"/>
      <c r="C57" s="1102"/>
      <c r="D57" s="1102"/>
      <c r="E57" s="1131"/>
      <c r="F57" s="1102"/>
      <c r="G57" s="1102"/>
      <c r="H57" s="1102"/>
      <c r="I57" s="1102"/>
      <c r="J57" s="1102"/>
      <c r="K57" s="1102"/>
      <c r="L57" s="1127"/>
      <c r="M57" s="1109"/>
      <c r="N57" s="1109"/>
      <c r="P57" s="1104"/>
      <c r="Q57" s="1105"/>
      <c r="R57" s="1104"/>
      <c r="S57" s="1110"/>
      <c r="T57" s="1113" t="s">
        <v>532</v>
      </c>
      <c r="U57" s="1112"/>
      <c r="V57" s="1112"/>
      <c r="W57" s="1112"/>
      <c r="X57" s="1112"/>
      <c r="Y57" s="1112"/>
      <c r="Z57" s="1112"/>
      <c r="AA57" s="1112"/>
      <c r="AB57" s="1112"/>
      <c r="AC57" s="1112"/>
      <c r="AD57" s="1112"/>
      <c r="AE57" s="1112"/>
      <c r="AF57" s="1112"/>
      <c r="AG57" s="1112"/>
      <c r="AH57" s="1112"/>
      <c r="AI57" s="1112"/>
      <c r="AJ57" s="1112"/>
      <c r="AK57" s="1112"/>
      <c r="AL57" s="1112"/>
      <c r="AM57" s="1112"/>
      <c r="AO57" s="688"/>
      <c r="AP57" s="688" t="str">
        <f t="shared" si="1"/>
        <v>Добавить наименование тарифа</v>
      </c>
      <c r="AQ57" s="688"/>
      <c r="AR57" s="688"/>
      <c r="AS57" s="451">
        <v>1</v>
      </c>
    </row>
    <row r="58" spans="1:45" ht="11.45" customHeight="1">
      <c r="M58" s="961"/>
      <c r="N58" s="961"/>
      <c r="O58" s="469"/>
      <c r="P58" s="956"/>
      <c r="Q58" s="956"/>
      <c r="R58" s="956"/>
      <c r="S58" s="956"/>
      <c r="AN58" s="956"/>
      <c r="AO58" s="956"/>
      <c r="AP58" s="956"/>
      <c r="AQ58" s="956"/>
      <c r="AR58" s="956"/>
      <c r="AS58" s="956">
        <v>11</v>
      </c>
    </row>
    <row r="59" spans="1:45" ht="19.899999999999999" customHeight="1">
      <c r="O59" s="469"/>
      <c r="S59" s="1041"/>
      <c r="T59" s="2394"/>
      <c r="U59" s="2394"/>
      <c r="V59" s="2394"/>
      <c r="W59" s="2394"/>
      <c r="X59" s="2394"/>
      <c r="Y59" s="2394"/>
      <c r="Z59" s="2394"/>
      <c r="AA59" s="2394"/>
      <c r="AB59" s="2394"/>
      <c r="AC59" s="2394"/>
      <c r="AD59" s="2394"/>
      <c r="AE59" s="2394"/>
      <c r="AF59" s="2394"/>
      <c r="AG59" s="2394"/>
      <c r="AH59" s="2394"/>
      <c r="AI59" s="2394"/>
      <c r="AJ59" s="2394"/>
      <c r="AK59" s="2394"/>
      <c r="AL59" s="2394"/>
      <c r="AM59" s="2394"/>
      <c r="AS59" s="956">
        <v>19</v>
      </c>
    </row>
    <row r="60" spans="1:45" ht="29.25" customHeight="1">
      <c r="O60" s="469"/>
      <c r="T60" s="2394"/>
      <c r="U60" s="2394"/>
      <c r="V60" s="2394"/>
      <c r="W60" s="2394"/>
      <c r="X60" s="2394"/>
      <c r="Y60" s="2394"/>
      <c r="Z60" s="2394"/>
      <c r="AA60" s="2394"/>
      <c r="AB60" s="2394"/>
      <c r="AC60" s="2394"/>
      <c r="AD60" s="2394"/>
      <c r="AE60" s="2394"/>
      <c r="AF60" s="2394"/>
      <c r="AG60" s="2394"/>
      <c r="AH60" s="2394"/>
      <c r="AI60" s="2394"/>
      <c r="AJ60" s="2394"/>
      <c r="AK60" s="2394"/>
      <c r="AL60" s="2394"/>
      <c r="AM60" s="2394"/>
      <c r="AS60" s="956">
        <v>28</v>
      </c>
    </row>
    <row r="61" spans="1:45" ht="42" customHeight="1">
      <c r="O61" s="469"/>
      <c r="T61" s="2394"/>
      <c r="U61" s="2394"/>
      <c r="V61" s="2394"/>
      <c r="W61" s="2394"/>
      <c r="X61" s="2394"/>
      <c r="Y61" s="2394"/>
      <c r="Z61" s="2394"/>
      <c r="AA61" s="2394"/>
      <c r="AB61" s="2394"/>
      <c r="AC61" s="2394"/>
      <c r="AD61" s="2394"/>
      <c r="AE61" s="2394"/>
      <c r="AF61" s="2394"/>
      <c r="AG61" s="2394"/>
      <c r="AH61" s="2394"/>
      <c r="AI61" s="2394"/>
      <c r="AJ61" s="2394"/>
      <c r="AK61" s="2394"/>
      <c r="AL61" s="2394"/>
      <c r="AM61" s="2394"/>
      <c r="AS61" s="956">
        <v>40</v>
      </c>
    </row>
    <row r="62" spans="1:45" ht="14.65" customHeight="1">
      <c r="O62" s="469"/>
      <c r="AS62" s="956">
        <v>14</v>
      </c>
    </row>
    <row r="63" spans="1:45" ht="21" customHeight="1">
      <c r="O63" s="469"/>
      <c r="S63" s="1041"/>
      <c r="T63" s="2308"/>
      <c r="U63" s="2394"/>
      <c r="V63" s="2394"/>
      <c r="W63" s="2394"/>
      <c r="X63" s="2394"/>
      <c r="Y63" s="2394"/>
      <c r="Z63" s="2394"/>
      <c r="AA63" s="2394"/>
      <c r="AB63" s="2394"/>
      <c r="AC63" s="2394"/>
      <c r="AD63" s="2394"/>
      <c r="AE63" s="2394"/>
      <c r="AF63" s="2394"/>
      <c r="AG63" s="2394"/>
      <c r="AH63" s="2394"/>
      <c r="AI63" s="2394"/>
      <c r="AJ63" s="2394"/>
      <c r="AK63" s="2394"/>
      <c r="AL63" s="2394"/>
      <c r="AM63" s="2394"/>
      <c r="AS63" s="956">
        <v>20</v>
      </c>
    </row>
    <row r="64" spans="1:45" ht="29.25" customHeight="1">
      <c r="O64" s="469"/>
      <c r="T64" s="2394"/>
      <c r="U64" s="2394"/>
      <c r="V64" s="2394"/>
      <c r="W64" s="2394"/>
      <c r="X64" s="2394"/>
      <c r="Y64" s="2394"/>
      <c r="Z64" s="2394"/>
      <c r="AA64" s="2394"/>
      <c r="AB64" s="2394"/>
      <c r="AC64" s="2394"/>
      <c r="AD64" s="2394"/>
      <c r="AE64" s="2394"/>
      <c r="AF64" s="2394"/>
      <c r="AG64" s="2394"/>
      <c r="AH64" s="2394"/>
      <c r="AI64" s="2394"/>
      <c r="AJ64" s="2394"/>
      <c r="AK64" s="2394"/>
      <c r="AL64" s="2394"/>
      <c r="AM64" s="2394"/>
      <c r="AS64" s="956">
        <v>28</v>
      </c>
    </row>
    <row r="65" spans="1:45" ht="35.65" customHeight="1">
      <c r="T65" s="2394"/>
      <c r="U65" s="2394"/>
      <c r="V65" s="2394"/>
      <c r="W65" s="2394"/>
      <c r="X65" s="2394"/>
      <c r="Y65" s="2394"/>
      <c r="Z65" s="2394"/>
      <c r="AA65" s="2394"/>
      <c r="AB65" s="2394"/>
      <c r="AC65" s="2394"/>
      <c r="AD65" s="2394"/>
      <c r="AE65" s="2394"/>
      <c r="AF65" s="2394"/>
      <c r="AG65" s="2394"/>
      <c r="AH65" s="2394"/>
      <c r="AI65" s="2394"/>
      <c r="AJ65" s="2394"/>
      <c r="AK65" s="2394"/>
      <c r="AL65" s="2394"/>
      <c r="AM65" s="2394"/>
      <c r="AS65" s="956">
        <v>34</v>
      </c>
    </row>
    <row r="66" spans="1:45" ht="22.5" hidden="1" customHeight="1">
      <c r="A66" s="961" t="s">
        <v>69</v>
      </c>
      <c r="B66" s="961">
        <v>0</v>
      </c>
      <c r="C66" s="961">
        <v>0</v>
      </c>
      <c r="D66" s="961">
        <v>0</v>
      </c>
      <c r="E66" s="961">
        <v>0</v>
      </c>
      <c r="F66" s="961">
        <v>0</v>
      </c>
      <c r="G66" s="961">
        <v>0</v>
      </c>
      <c r="H66" s="961">
        <v>0</v>
      </c>
      <c r="I66" s="961">
        <v>0</v>
      </c>
      <c r="J66" s="961">
        <v>0</v>
      </c>
      <c r="K66" s="961">
        <v>0</v>
      </c>
      <c r="L66" s="1117">
        <v>0</v>
      </c>
      <c r="M66" s="1150">
        <v>0</v>
      </c>
      <c r="N66" s="1150">
        <v>0</v>
      </c>
      <c r="O66" s="1150">
        <v>0</v>
      </c>
      <c r="P66" s="1116">
        <v>0</v>
      </c>
      <c r="Q66" s="278">
        <v>3</v>
      </c>
      <c r="R66" s="278">
        <v>3</v>
      </c>
      <c r="S66" s="512">
        <v>12</v>
      </c>
      <c r="T66" s="956">
        <v>31</v>
      </c>
      <c r="U66" s="956">
        <v>0</v>
      </c>
      <c r="V66" s="956">
        <v>0</v>
      </c>
      <c r="W66" s="956">
        <v>0</v>
      </c>
      <c r="X66" s="956">
        <v>0</v>
      </c>
      <c r="Y66" s="956">
        <v>0</v>
      </c>
      <c r="Z66" s="956">
        <v>0</v>
      </c>
      <c r="AA66" s="956">
        <v>0</v>
      </c>
      <c r="AB66" s="956">
        <v>0</v>
      </c>
      <c r="AC66" s="956">
        <v>0</v>
      </c>
      <c r="AD66" s="956">
        <v>24</v>
      </c>
      <c r="AE66" s="956">
        <v>0</v>
      </c>
      <c r="AF66" s="956">
        <v>24</v>
      </c>
      <c r="AG66" s="956">
        <v>24</v>
      </c>
      <c r="AH66" s="956">
        <v>11</v>
      </c>
      <c r="AI66" s="956">
        <v>3</v>
      </c>
      <c r="AJ66" s="956">
        <v>11</v>
      </c>
      <c r="AK66" s="956">
        <v>0</v>
      </c>
      <c r="AL66" s="956">
        <v>4</v>
      </c>
      <c r="AM66" s="956">
        <v>115</v>
      </c>
      <c r="AN66" s="444">
        <v>10</v>
      </c>
      <c r="AO66" s="444">
        <v>10</v>
      </c>
      <c r="AP66" s="444">
        <v>10</v>
      </c>
      <c r="AQ66" s="444">
        <v>10</v>
      </c>
      <c r="AR66" s="444">
        <v>10</v>
      </c>
      <c r="AS66" s="956">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54" hidden="1"/>
    <col min="2" max="2" width="11" style="1154" hidden="1" customWidth="1"/>
    <col min="3" max="3" width="10.5703125" style="1154" hidden="1"/>
    <col min="4" max="4" width="11.85546875" style="1154" hidden="1" customWidth="1"/>
    <col min="5" max="5" width="10" style="1154" hidden="1" customWidth="1"/>
    <col min="6" max="6" width="8.7109375" style="1154" hidden="1" customWidth="1"/>
    <col min="7" max="7" width="7.5703125" style="1154" hidden="1" customWidth="1"/>
    <col min="8" max="8" width="11.42578125" style="1154" hidden="1" customWidth="1"/>
    <col min="9" max="9" width="12" style="1154" hidden="1" customWidth="1"/>
    <col min="10" max="10" width="9.85546875" style="1154" hidden="1" customWidth="1"/>
    <col min="11" max="11" width="11.42578125" style="1154" hidden="1" customWidth="1"/>
    <col min="12" max="12" width="19.140625" style="1866" hidden="1" customWidth="1"/>
    <col min="13" max="14" width="12.28515625" style="1535" hidden="1" customWidth="1"/>
    <col min="15" max="15" width="23.42578125" style="1535" hidden="1" customWidth="1"/>
    <col min="16" max="16" width="3.7109375" style="1857" hidden="1" customWidth="1"/>
    <col min="17" max="18" width="3" style="278" customWidth="1"/>
    <col min="19" max="19" width="12" style="1858" customWidth="1"/>
    <col min="20" max="20" width="31" style="1423" customWidth="1"/>
    <col min="21" max="21" width="0.140625" style="1423" customWidth="1"/>
    <col min="22" max="22" width="24.7109375" style="1423" hidden="1" customWidth="1"/>
    <col min="23" max="23" width="0.140625" style="1423" hidden="1" customWidth="1"/>
    <col min="24" max="25" width="24.7109375" style="1423" hidden="1" customWidth="1"/>
    <col min="26" max="26" width="11.7109375" style="1423" hidden="1" customWidth="1"/>
    <col min="27" max="27" width="3.7109375" style="1423" hidden="1" customWidth="1"/>
    <col min="28" max="28" width="11.7109375" style="1423" hidden="1" customWidth="1"/>
    <col min="29" max="29" width="8.5703125" style="1423" hidden="1" customWidth="1"/>
    <col min="30" max="30" width="24.7109375" style="1423" customWidth="1"/>
    <col min="31" max="31" width="0.140625" style="1423" customWidth="1"/>
    <col min="32" max="33" width="24" style="1423" customWidth="1"/>
    <col min="34" max="34" width="11" style="1423" customWidth="1"/>
    <col min="35" max="35" width="3.7109375" style="1423" customWidth="1"/>
    <col min="36" max="36" width="11" style="1423" customWidth="1"/>
    <col min="37" max="37" width="8.5703125" style="1423" hidden="1" customWidth="1"/>
    <col min="38" max="38" width="4" style="1423" customWidth="1"/>
    <col min="39" max="39" width="115" style="1423" customWidth="1"/>
    <col min="40" max="44" width="10" style="1430" customWidth="1"/>
    <col min="45" max="45" width="10.5703125" style="1423" hidden="1"/>
  </cols>
  <sheetData>
    <row r="1" spans="1:45" ht="22.5" hidden="1" customHeight="1">
      <c r="A1" s="1627"/>
      <c r="Y1" s="261"/>
      <c r="Z1" s="261"/>
      <c r="AG1" s="261"/>
      <c r="AH1" s="261"/>
      <c r="AS1" s="956" t="s">
        <v>1</v>
      </c>
    </row>
    <row r="2" spans="1:45" ht="21" hidden="1" customHeight="1">
      <c r="A2" s="1151"/>
      <c r="B2" s="1151"/>
      <c r="C2" s="1151"/>
      <c r="D2" s="1151"/>
      <c r="E2" s="2395">
        <v>1</v>
      </c>
      <c r="F2" s="1151"/>
      <c r="G2" s="1151"/>
      <c r="H2" s="1151"/>
      <c r="I2" s="1151"/>
      <c r="J2" s="1151"/>
      <c r="K2" s="1151"/>
      <c r="L2" s="1152"/>
      <c r="M2" s="1153"/>
      <c r="N2" s="1153"/>
      <c r="O2" s="1153"/>
      <c r="P2" s="294"/>
      <c r="Q2" s="293"/>
      <c r="R2" s="288"/>
      <c r="S2" s="1124" t="e">
        <f>INDEX(PT_DIFFERENTIATION_NUM_NTAR,MATCH(A2,PT_DIFFERENTIATION_NTAR_ID,0))</f>
        <v>#N/A</v>
      </c>
      <c r="T2" s="232" t="s">
        <v>214</v>
      </c>
      <c r="U2" s="234"/>
      <c r="V2" s="2389"/>
      <c r="W2" s="2390"/>
      <c r="X2" s="2390"/>
      <c r="Y2" s="2390"/>
      <c r="Z2" s="2390"/>
      <c r="AA2" s="2390"/>
      <c r="AB2" s="2390"/>
      <c r="AC2" s="2391"/>
      <c r="AD2" s="2389" t="e">
        <f>INDEX(PT_DIFFERENTIATION_NTAR,MATCH(A2,PT_DIFFERENTIATION_NTAR_ID,0))</f>
        <v>#N/A</v>
      </c>
      <c r="AE2" s="2390"/>
      <c r="AF2" s="2390"/>
      <c r="AG2" s="2390"/>
      <c r="AH2" s="2390"/>
      <c r="AI2" s="2390"/>
      <c r="AJ2" s="2390"/>
      <c r="AK2" s="2390"/>
      <c r="AL2" s="2391"/>
      <c r="AM2" s="1046" t="s">
        <v>480</v>
      </c>
      <c r="AO2" s="433"/>
      <c r="AP2" s="433" t="str">
        <f t="shared" ref="AP2:AP15" si="0">IF(T2="","",T2)</f>
        <v>Наименование тарифа</v>
      </c>
      <c r="AQ2" s="433"/>
      <c r="AR2" s="433"/>
      <c r="AS2" s="956">
        <v>0</v>
      </c>
    </row>
    <row r="3" spans="1:45" ht="21" hidden="1" customHeight="1">
      <c r="A3" s="1151"/>
      <c r="B3" s="1151"/>
      <c r="C3" s="1151"/>
      <c r="D3" s="1151"/>
      <c r="E3" s="2396"/>
      <c r="F3" s="2395">
        <v>1</v>
      </c>
      <c r="G3" s="1151"/>
      <c r="H3" s="1151"/>
      <c r="I3" s="1151"/>
      <c r="J3" s="1151"/>
      <c r="K3" s="1151"/>
      <c r="L3" s="1152"/>
      <c r="M3" s="1153"/>
      <c r="N3" s="1153"/>
      <c r="O3" s="1153"/>
      <c r="P3" s="1120"/>
      <c r="Q3" s="285"/>
      <c r="R3" s="286"/>
      <c r="S3" s="1124" t="e">
        <f>INDEX(PT_DIFFERENTIATION_NUM_TER,MATCH(B3,PT_DIFFERENTIATION_TER_ID,0))</f>
        <v>#N/A</v>
      </c>
      <c r="T3" s="242" t="s">
        <v>481</v>
      </c>
      <c r="U3" s="234"/>
      <c r="V3" s="2389"/>
      <c r="W3" s="2390"/>
      <c r="X3" s="2390"/>
      <c r="Y3" s="2390"/>
      <c r="Z3" s="2390"/>
      <c r="AA3" s="2390"/>
      <c r="AB3" s="2390"/>
      <c r="AC3" s="2391"/>
      <c r="AD3" s="2389" t="e">
        <f>INDEX(PT_DIFFERENTIATION_TER,MATCH(B3,PT_DIFFERENTIATION_TER_ID,0))</f>
        <v>#N/A</v>
      </c>
      <c r="AE3" s="2390"/>
      <c r="AF3" s="2390"/>
      <c r="AG3" s="2390"/>
      <c r="AH3" s="2390"/>
      <c r="AI3" s="2390"/>
      <c r="AJ3" s="2390"/>
      <c r="AK3" s="2390"/>
      <c r="AL3" s="2391"/>
      <c r="AM3" s="1046" t="s">
        <v>482</v>
      </c>
      <c r="AO3" s="433"/>
      <c r="AP3" s="433" t="str">
        <f t="shared" si="0"/>
        <v>Территория действия тарифа</v>
      </c>
      <c r="AQ3" s="433"/>
      <c r="AR3" s="433"/>
      <c r="AS3" s="956">
        <v>0</v>
      </c>
    </row>
    <row r="4" spans="1:45" ht="23.25" hidden="1" customHeight="1">
      <c r="A4" s="1151"/>
      <c r="B4" s="1151"/>
      <c r="C4" s="1151"/>
      <c r="D4" s="1151"/>
      <c r="E4" s="2396"/>
      <c r="F4" s="2396"/>
      <c r="G4" s="2395">
        <v>1</v>
      </c>
      <c r="H4" s="1151"/>
      <c r="I4" s="1151"/>
      <c r="J4" s="1151"/>
      <c r="K4" s="1151"/>
      <c r="L4" s="1152"/>
      <c r="M4" s="1153"/>
      <c r="N4" s="1153"/>
      <c r="O4" s="1153"/>
      <c r="P4" s="287"/>
      <c r="Q4" s="285"/>
      <c r="R4" s="286"/>
      <c r="S4" s="1758" t="e">
        <f>INDEX(PT_DIFFERENTIATION_NUM_CS,MATCH(C4,PT_DIFFERENTIATION_CS_ID,0))</f>
        <v>#N/A</v>
      </c>
      <c r="T4" s="1762" t="s">
        <v>483</v>
      </c>
      <c r="U4" s="1763"/>
      <c r="V4" s="2431"/>
      <c r="W4" s="2432"/>
      <c r="X4" s="2432"/>
      <c r="Y4" s="2432"/>
      <c r="Z4" s="2432"/>
      <c r="AA4" s="2432"/>
      <c r="AB4" s="2432"/>
      <c r="AC4" s="2433"/>
      <c r="AD4" s="2431" t="e">
        <f>INDEX(PT_DIFFERENTIATION_CS,MATCH(C4,PT_DIFFERENTIATION_CS_ID,0))</f>
        <v>#N/A</v>
      </c>
      <c r="AE4" s="2432"/>
      <c r="AF4" s="2432"/>
      <c r="AG4" s="2432"/>
      <c r="AH4" s="2432"/>
      <c r="AI4" s="2432"/>
      <c r="AJ4" s="2432"/>
      <c r="AK4" s="2432"/>
      <c r="AL4" s="2433"/>
      <c r="AM4" s="1046" t="s">
        <v>484</v>
      </c>
      <c r="AO4" s="433"/>
      <c r="AP4" s="433" t="str">
        <f t="shared" si="0"/>
        <v xml:space="preserve">Наименование системы теплоснабжения </v>
      </c>
      <c r="AQ4" s="433"/>
      <c r="AR4" s="433"/>
      <c r="AS4" s="956">
        <v>0</v>
      </c>
    </row>
    <row r="5" spans="1:45" ht="21" hidden="1" customHeight="1">
      <c r="A5" s="1151"/>
      <c r="B5" s="1151"/>
      <c r="C5" s="1151"/>
      <c r="D5" s="1151"/>
      <c r="E5" s="2396"/>
      <c r="F5" s="2396"/>
      <c r="G5" s="2396"/>
      <c r="H5" s="2395">
        <v>1</v>
      </c>
      <c r="I5" s="1151"/>
      <c r="J5" s="1151"/>
      <c r="K5" s="1151"/>
      <c r="L5" s="1152"/>
      <c r="M5" s="1153"/>
      <c r="N5" s="1153"/>
      <c r="O5" s="1153"/>
      <c r="P5" s="287"/>
      <c r="Q5" s="285"/>
      <c r="R5" s="1423"/>
      <c r="S5" s="1757" t="e">
        <f>INDEX(PT_DIFFERENTIATION_NUM_IST_TE,MATCH(D5,PT_DIFFERENTIATION_IST_TE_ID,0))</f>
        <v>#N/A</v>
      </c>
      <c r="T5" s="244" t="s">
        <v>485</v>
      </c>
      <c r="U5" s="234"/>
      <c r="V5" s="2434"/>
      <c r="W5" s="2434"/>
      <c r="X5" s="2434"/>
      <c r="Y5" s="2434"/>
      <c r="Z5" s="2434"/>
      <c r="AA5" s="2434"/>
      <c r="AB5" s="2434"/>
      <c r="AC5" s="2434"/>
      <c r="AD5" s="2434" t="e">
        <f>INDEX(PT_DIFFERENTIATION_IST_TE,MATCH(D5,PT_DIFFERENTIATION_IST_TE_ID,0))</f>
        <v>#N/A</v>
      </c>
      <c r="AE5" s="2434"/>
      <c r="AF5" s="2434"/>
      <c r="AG5" s="2434"/>
      <c r="AH5" s="2434"/>
      <c r="AI5" s="2434"/>
      <c r="AJ5" s="2434"/>
      <c r="AK5" s="2434"/>
      <c r="AL5" s="2434"/>
      <c r="AM5" s="1760" t="s">
        <v>486</v>
      </c>
      <c r="AO5" s="433"/>
      <c r="AP5" s="433" t="str">
        <f t="shared" si="0"/>
        <v xml:space="preserve">Источник тепловой энергии  </v>
      </c>
      <c r="AQ5" s="433"/>
      <c r="AR5" s="433"/>
      <c r="AS5" s="956">
        <v>0</v>
      </c>
    </row>
    <row r="6" spans="1:45" ht="0.75" hidden="1" customHeight="1">
      <c r="A6" s="1151"/>
      <c r="B6" s="1151"/>
      <c r="C6" s="1151"/>
      <c r="D6" s="1151"/>
      <c r="E6" s="2396"/>
      <c r="F6" s="2396"/>
      <c r="G6" s="2396"/>
      <c r="H6" s="2396"/>
      <c r="I6" s="2397" t="e">
        <f>S5&amp;".1"</f>
        <v>#N/A</v>
      </c>
      <c r="J6" s="1151"/>
      <c r="K6" s="1151"/>
      <c r="L6" s="1152" t="s">
        <v>487</v>
      </c>
      <c r="M6" s="469"/>
      <c r="P6" s="2399">
        <v>1</v>
      </c>
      <c r="Q6" s="1119"/>
      <c r="R6" s="1756"/>
      <c r="S6" s="881"/>
      <c r="T6" s="1171"/>
      <c r="U6" s="1172"/>
      <c r="V6" s="2435"/>
      <c r="W6" s="2435"/>
      <c r="X6" s="2435"/>
      <c r="Y6" s="2435"/>
      <c r="Z6" s="2435"/>
      <c r="AA6" s="2435"/>
      <c r="AB6" s="2435"/>
      <c r="AC6" s="2435"/>
      <c r="AD6" s="2435"/>
      <c r="AE6" s="2435"/>
      <c r="AF6" s="2435"/>
      <c r="AG6" s="2435"/>
      <c r="AH6" s="2435"/>
      <c r="AI6" s="2435"/>
      <c r="AJ6" s="2435"/>
      <c r="AK6" s="2435"/>
      <c r="AL6" s="2435"/>
      <c r="AM6" s="1761"/>
      <c r="AO6" s="433"/>
      <c r="AP6" s="433" t="str">
        <f t="shared" si="0"/>
        <v/>
      </c>
      <c r="AQ6" s="433"/>
      <c r="AR6" s="433"/>
      <c r="AS6" s="956">
        <v>0</v>
      </c>
    </row>
    <row r="7" spans="1:45" ht="84" hidden="1" customHeight="1">
      <c r="A7" s="1151"/>
      <c r="B7" s="1151"/>
      <c r="C7" s="1151"/>
      <c r="D7" s="1151"/>
      <c r="E7" s="2396"/>
      <c r="F7" s="2396"/>
      <c r="G7" s="2396"/>
      <c r="H7" s="2396"/>
      <c r="I7" s="2398"/>
      <c r="J7" s="2397" t="e">
        <f>I6&amp;".1"</f>
        <v>#N/A</v>
      </c>
      <c r="K7" s="1151"/>
      <c r="L7" s="1152" t="s">
        <v>490</v>
      </c>
      <c r="M7" s="469"/>
      <c r="N7" s="1154"/>
      <c r="P7" s="2399"/>
      <c r="Q7" s="2399">
        <v>1</v>
      </c>
      <c r="R7" s="1430"/>
      <c r="S7" s="1757" t="e">
        <f>$J7</f>
        <v>#N/A</v>
      </c>
      <c r="T7" s="220" t="s">
        <v>491</v>
      </c>
      <c r="U7" s="234"/>
      <c r="V7" s="2429"/>
      <c r="W7" s="2429"/>
      <c r="X7" s="2429"/>
      <c r="Y7" s="2429"/>
      <c r="Z7" s="2429"/>
      <c r="AA7" s="2429"/>
      <c r="AB7" s="2429"/>
      <c r="AC7" s="2429"/>
      <c r="AD7" s="2429"/>
      <c r="AE7" s="2429"/>
      <c r="AF7" s="2429"/>
      <c r="AG7" s="2429"/>
      <c r="AH7" s="2429"/>
      <c r="AI7" s="2429"/>
      <c r="AJ7" s="2429"/>
      <c r="AK7" s="2429"/>
      <c r="AL7" s="2429"/>
      <c r="AM7" s="1760" t="s">
        <v>492</v>
      </c>
      <c r="AO7" s="433"/>
      <c r="AP7" s="433" t="str">
        <f t="shared" si="0"/>
        <v>Группа потребителей</v>
      </c>
      <c r="AQ7" s="433"/>
      <c r="AR7" s="433"/>
      <c r="AS7" s="956">
        <v>0</v>
      </c>
    </row>
    <row r="8" spans="1:45" ht="11.25" hidden="1" customHeight="1">
      <c r="A8" s="1151"/>
      <c r="B8" s="1151"/>
      <c r="C8" s="1151"/>
      <c r="D8" s="1151"/>
      <c r="E8" s="2396"/>
      <c r="F8" s="2396"/>
      <c r="G8" s="2396"/>
      <c r="H8" s="2396"/>
      <c r="I8" s="2398"/>
      <c r="J8" s="2398"/>
      <c r="K8" s="2397" t="e">
        <f>J7&amp;".1"</f>
        <v>#N/A</v>
      </c>
      <c r="L8" s="1152" t="s">
        <v>493</v>
      </c>
      <c r="M8" s="469"/>
      <c r="N8" s="1154"/>
      <c r="O8" s="1154"/>
      <c r="P8" s="2399"/>
      <c r="Q8" s="2399"/>
      <c r="R8" s="290">
        <v>1</v>
      </c>
      <c r="S8" s="1759" t="e">
        <f>$K8</f>
        <v>#N/A</v>
      </c>
      <c r="T8" s="1764"/>
      <c r="U8" s="1765"/>
      <c r="V8" s="1766"/>
      <c r="W8" s="1137"/>
      <c r="X8" s="1766"/>
      <c r="Y8" s="1767"/>
      <c r="Z8" s="2430"/>
      <c r="AA8" s="2282" t="s">
        <v>52</v>
      </c>
      <c r="AB8" s="2430"/>
      <c r="AC8" s="2282" t="s">
        <v>52</v>
      </c>
      <c r="AD8" s="1766"/>
      <c r="AE8" s="1137"/>
      <c r="AF8" s="1766"/>
      <c r="AG8" s="1767"/>
      <c r="AH8" s="2430"/>
      <c r="AI8" s="2282" t="s">
        <v>52</v>
      </c>
      <c r="AJ8" s="2430"/>
      <c r="AK8" s="2282" t="s">
        <v>52</v>
      </c>
      <c r="AL8" s="1137"/>
      <c r="AM8" s="2418" t="s">
        <v>494</v>
      </c>
      <c r="AN8" s="444" t="e">
        <f ca="1">STRCHECKDATE(V9:AL9)</f>
        <v>#NAME?</v>
      </c>
      <c r="AO8" s="433"/>
      <c r="AP8" s="433" t="str">
        <f t="shared" si="0"/>
        <v/>
      </c>
      <c r="AQ8" s="433"/>
      <c r="AR8" s="433"/>
      <c r="AS8" s="956">
        <v>0</v>
      </c>
    </row>
    <row r="9" spans="1:45" ht="0.75" hidden="1" customHeight="1">
      <c r="A9" s="1151"/>
      <c r="B9" s="1151"/>
      <c r="C9" s="1151"/>
      <c r="D9" s="1151"/>
      <c r="E9" s="2396"/>
      <c r="F9" s="2396"/>
      <c r="G9" s="2396"/>
      <c r="H9" s="2396"/>
      <c r="I9" s="2398"/>
      <c r="J9" s="2398"/>
      <c r="K9" s="2397"/>
      <c r="L9" s="1152"/>
      <c r="M9" s="469"/>
      <c r="N9" s="1154"/>
      <c r="O9" s="1154"/>
      <c r="P9" s="2399"/>
      <c r="Q9" s="2399"/>
      <c r="R9" s="290"/>
      <c r="S9" s="1130"/>
      <c r="T9" s="234"/>
      <c r="U9" s="234"/>
      <c r="V9" s="259"/>
      <c r="W9" s="259"/>
      <c r="X9" s="259"/>
      <c r="Y9" s="262" t="str">
        <f>Z8&amp;"-"&amp;AB8</f>
        <v>-</v>
      </c>
      <c r="Z9" s="2401"/>
      <c r="AA9" s="2276"/>
      <c r="AB9" s="2401"/>
      <c r="AC9" s="2276"/>
      <c r="AD9" s="259"/>
      <c r="AE9" s="259"/>
      <c r="AF9" s="259"/>
      <c r="AG9" s="262" t="str">
        <f>AH8&amp;"-"&amp;AJ8</f>
        <v>-</v>
      </c>
      <c r="AH9" s="2401"/>
      <c r="AI9" s="2276"/>
      <c r="AJ9" s="2401"/>
      <c r="AK9" s="2276"/>
      <c r="AL9" s="259"/>
      <c r="AM9" s="2419"/>
      <c r="AO9" s="433"/>
      <c r="AP9" s="433" t="str">
        <f t="shared" si="0"/>
        <v/>
      </c>
      <c r="AQ9" s="433"/>
      <c r="AR9" s="433"/>
      <c r="AS9" s="956">
        <v>0</v>
      </c>
    </row>
    <row r="10" spans="1:45" ht="11.25" hidden="1" customHeight="1">
      <c r="A10" s="1151"/>
      <c r="B10" s="1151"/>
      <c r="C10" s="1151"/>
      <c r="D10" s="1151"/>
      <c r="E10" s="2396"/>
      <c r="F10" s="2396"/>
      <c r="G10" s="2396"/>
      <c r="H10" s="2396"/>
      <c r="I10" s="2398"/>
      <c r="J10" s="2397"/>
      <c r="K10" s="1151"/>
      <c r="L10" s="1152"/>
      <c r="M10" s="469"/>
      <c r="N10" s="1154"/>
      <c r="P10" s="2399"/>
      <c r="Q10" s="2399"/>
      <c r="R10" s="289"/>
      <c r="S10" s="1066"/>
      <c r="T10" s="221" t="s">
        <v>495</v>
      </c>
      <c r="U10" s="300"/>
      <c r="V10" s="300"/>
      <c r="W10" s="300"/>
      <c r="X10" s="300"/>
      <c r="Y10" s="300"/>
      <c r="Z10" s="300"/>
      <c r="AA10" s="300"/>
      <c r="AB10" s="300"/>
      <c r="AC10" s="300"/>
      <c r="AD10" s="300"/>
      <c r="AE10" s="300"/>
      <c r="AF10" s="300"/>
      <c r="AG10" s="300"/>
      <c r="AH10" s="300"/>
      <c r="AI10" s="300"/>
      <c r="AJ10" s="300"/>
      <c r="AK10" s="300"/>
      <c r="AL10" s="258"/>
      <c r="AM10" s="2420"/>
      <c r="AO10" s="433"/>
      <c r="AP10" s="433" t="str">
        <f t="shared" si="0"/>
        <v>Добавить вид теплоносителя (параметры теплоносителя)</v>
      </c>
      <c r="AQ10" s="433"/>
      <c r="AR10" s="433"/>
      <c r="AS10" s="956">
        <v>0</v>
      </c>
    </row>
    <row r="11" spans="1:45" ht="11.25" hidden="1" customHeight="1">
      <c r="A11" s="1151"/>
      <c r="B11" s="1151"/>
      <c r="C11" s="1151"/>
      <c r="D11" s="1151"/>
      <c r="E11" s="2396"/>
      <c r="F11" s="2396"/>
      <c r="G11" s="2396"/>
      <c r="H11" s="2396"/>
      <c r="I11" s="2397"/>
      <c r="J11" s="1151"/>
      <c r="K11" s="1151"/>
      <c r="L11" s="1152"/>
      <c r="M11" s="469"/>
      <c r="P11" s="2399"/>
      <c r="Q11" s="1119"/>
      <c r="R11" s="289"/>
      <c r="S11" s="1066"/>
      <c r="T11" s="298" t="s">
        <v>496</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956">
        <v>0</v>
      </c>
    </row>
    <row r="12" spans="1:45" ht="0.75" hidden="1" customHeight="1">
      <c r="A12" s="1151"/>
      <c r="B12" s="1151"/>
      <c r="C12" s="1151"/>
      <c r="D12" s="1151"/>
      <c r="E12" s="2396"/>
      <c r="F12" s="2396"/>
      <c r="G12" s="2396"/>
      <c r="H12" s="2395"/>
      <c r="I12" s="1151"/>
      <c r="J12" s="1151"/>
      <c r="K12" s="1151"/>
      <c r="L12" s="1152"/>
      <c r="M12" s="1153"/>
      <c r="N12" s="1153"/>
      <c r="O12" s="469"/>
      <c r="P12" s="293"/>
      <c r="Q12" s="308"/>
      <c r="R12" s="288"/>
      <c r="S12" s="1174"/>
      <c r="T12" s="1175"/>
      <c r="U12" s="1176"/>
      <c r="V12" s="1176"/>
      <c r="W12" s="1176"/>
      <c r="X12" s="1176"/>
      <c r="Y12" s="1176"/>
      <c r="Z12" s="1176"/>
      <c r="AA12" s="1176"/>
      <c r="AB12" s="1176"/>
      <c r="AC12" s="1176"/>
      <c r="AD12" s="1176"/>
      <c r="AE12" s="1176"/>
      <c r="AF12" s="1176"/>
      <c r="AG12" s="1176"/>
      <c r="AH12" s="1176"/>
      <c r="AI12" s="1176"/>
      <c r="AJ12" s="1176"/>
      <c r="AK12" s="1176"/>
      <c r="AL12" s="1176"/>
      <c r="AM12" s="1177"/>
      <c r="AO12" s="433"/>
      <c r="AP12" s="433" t="str">
        <f t="shared" si="0"/>
        <v/>
      </c>
      <c r="AQ12" s="433"/>
      <c r="AR12" s="433"/>
      <c r="AS12" s="956">
        <v>0</v>
      </c>
    </row>
    <row r="13" spans="1:45" s="1430" customFormat="1" ht="0.75" hidden="1" customHeight="1">
      <c r="A13" s="1102"/>
      <c r="B13" s="1102"/>
      <c r="C13" s="1102"/>
      <c r="D13" s="1102"/>
      <c r="E13" s="2396"/>
      <c r="F13" s="2396"/>
      <c r="G13" s="2395"/>
      <c r="H13" s="1102"/>
      <c r="I13" s="1102"/>
      <c r="J13" s="1102"/>
      <c r="K13" s="1102"/>
      <c r="L13" s="1127"/>
      <c r="M13" s="1103"/>
      <c r="N13" s="1103"/>
      <c r="P13" s="1104"/>
      <c r="Q13" s="1105"/>
      <c r="R13" s="1104"/>
      <c r="S13" s="1106"/>
      <c r="T13" s="1107" t="s">
        <v>498</v>
      </c>
      <c r="U13" s="1108"/>
      <c r="V13" s="1108"/>
      <c r="W13" s="1108"/>
      <c r="X13" s="1108"/>
      <c r="Y13" s="1108"/>
      <c r="Z13" s="1108"/>
      <c r="AA13" s="1108"/>
      <c r="AB13" s="1108"/>
      <c r="AC13" s="1108"/>
      <c r="AD13" s="1108"/>
      <c r="AE13" s="1108"/>
      <c r="AF13" s="1108"/>
      <c r="AG13" s="1108"/>
      <c r="AH13" s="1108"/>
      <c r="AI13" s="1108"/>
      <c r="AJ13" s="1108"/>
      <c r="AK13" s="1108"/>
      <c r="AL13" s="1108"/>
      <c r="AM13" s="1108"/>
      <c r="AO13" s="688"/>
      <c r="AP13" s="688" t="str">
        <f t="shared" si="0"/>
        <v>Добавить источник для дифференциации</v>
      </c>
      <c r="AQ13" s="688"/>
      <c r="AR13" s="688"/>
      <c r="AS13" s="451">
        <v>0</v>
      </c>
    </row>
    <row r="14" spans="1:45" s="1430" customFormat="1" ht="0.75" hidden="1" customHeight="1">
      <c r="A14" s="1102"/>
      <c r="B14" s="1102"/>
      <c r="C14" s="1102"/>
      <c r="D14" s="1102"/>
      <c r="E14" s="2396"/>
      <c r="F14" s="2395"/>
      <c r="G14" s="1102"/>
      <c r="H14" s="1102"/>
      <c r="I14" s="1102"/>
      <c r="J14" s="1102"/>
      <c r="K14" s="1102"/>
      <c r="L14" s="1127"/>
      <c r="M14" s="1109"/>
      <c r="N14" s="1109"/>
      <c r="P14" s="1104"/>
      <c r="Q14" s="1105"/>
      <c r="R14" s="1104"/>
      <c r="S14" s="1110"/>
      <c r="T14" s="1111" t="s">
        <v>499</v>
      </c>
      <c r="U14" s="1112"/>
      <c r="V14" s="1112"/>
      <c r="W14" s="1112"/>
      <c r="X14" s="1112"/>
      <c r="Y14" s="1112"/>
      <c r="Z14" s="1112"/>
      <c r="AA14" s="1112"/>
      <c r="AB14" s="1112"/>
      <c r="AC14" s="1112"/>
      <c r="AD14" s="1112"/>
      <c r="AE14" s="1112"/>
      <c r="AF14" s="1112"/>
      <c r="AG14" s="1112"/>
      <c r="AH14" s="1112"/>
      <c r="AI14" s="1112"/>
      <c r="AJ14" s="1112"/>
      <c r="AK14" s="1112"/>
      <c r="AL14" s="1112"/>
      <c r="AM14" s="1112"/>
      <c r="AO14" s="688"/>
      <c r="AP14" s="688" t="str">
        <f t="shared" si="0"/>
        <v>Добавить централизованную систему для дифференциации</v>
      </c>
      <c r="AQ14" s="688"/>
      <c r="AR14" s="688"/>
      <c r="AS14" s="451">
        <v>0</v>
      </c>
    </row>
    <row r="15" spans="1:45" s="1430" customFormat="1" ht="0.75" hidden="1" customHeight="1">
      <c r="A15" s="1102"/>
      <c r="B15" s="1102"/>
      <c r="C15" s="1102"/>
      <c r="D15" s="1102"/>
      <c r="E15" s="2395"/>
      <c r="F15" s="1102"/>
      <c r="G15" s="1102"/>
      <c r="H15" s="1102"/>
      <c r="I15" s="1102"/>
      <c r="J15" s="1102"/>
      <c r="K15" s="1102"/>
      <c r="L15" s="1127"/>
      <c r="M15" s="1109"/>
      <c r="N15" s="1109"/>
      <c r="P15" s="1104"/>
      <c r="Q15" s="1105"/>
      <c r="R15" s="1104"/>
      <c r="S15" s="1110"/>
      <c r="T15" s="1113" t="s">
        <v>500</v>
      </c>
      <c r="U15" s="1112"/>
      <c r="V15" s="1112"/>
      <c r="W15" s="1112"/>
      <c r="X15" s="1112"/>
      <c r="Y15" s="1112"/>
      <c r="Z15" s="1112"/>
      <c r="AA15" s="1112"/>
      <c r="AB15" s="1112"/>
      <c r="AC15" s="1112"/>
      <c r="AD15" s="1112"/>
      <c r="AE15" s="1112"/>
      <c r="AF15" s="1112"/>
      <c r="AG15" s="1112"/>
      <c r="AH15" s="1112"/>
      <c r="AI15" s="1112"/>
      <c r="AJ15" s="1112"/>
      <c r="AK15" s="1112"/>
      <c r="AL15" s="1112"/>
      <c r="AM15" s="1112"/>
      <c r="AO15" s="688"/>
      <c r="AP15" s="688" t="str">
        <f t="shared" si="0"/>
        <v>Добавить территорию для дифференциации</v>
      </c>
      <c r="AQ15" s="688"/>
      <c r="AR15" s="688"/>
      <c r="AS15" s="451">
        <v>0</v>
      </c>
    </row>
    <row r="16" spans="1:45" ht="14.25" hidden="1" customHeight="1">
      <c r="AC16" s="261"/>
      <c r="AK16" s="261"/>
      <c r="AS16" s="956">
        <v>0</v>
      </c>
    </row>
    <row r="17" spans="1:45" ht="14.25" hidden="1" customHeight="1">
      <c r="AD17" s="1148"/>
      <c r="AE17" s="1148"/>
      <c r="AF17" s="1148"/>
      <c r="AG17" s="1149"/>
      <c r="AH17" s="2393"/>
      <c r="AI17" s="2392" t="s">
        <v>52</v>
      </c>
      <c r="AJ17" s="2393"/>
      <c r="AK17" s="2392" t="s">
        <v>52</v>
      </c>
      <c r="AS17" s="956">
        <v>0</v>
      </c>
    </row>
    <row r="18" spans="1:45" ht="14.25" hidden="1" customHeight="1">
      <c r="AD18" s="1148"/>
      <c r="AE18" s="1148"/>
      <c r="AF18" s="1148"/>
      <c r="AG18" s="262" t="str">
        <f>AH17&amp;"-"&amp;AJ17</f>
        <v>-</v>
      </c>
      <c r="AH18" s="2392"/>
      <c r="AI18" s="2392"/>
      <c r="AJ18" s="2392"/>
      <c r="AK18" s="2392"/>
      <c r="AS18" s="956">
        <v>0</v>
      </c>
    </row>
    <row r="19" spans="1:45" ht="14.25" hidden="1" customHeight="1">
      <c r="AK19" s="261"/>
      <c r="AS19" s="956">
        <v>0</v>
      </c>
    </row>
    <row r="20" spans="1:45" s="1154" customFormat="1" ht="22.5" hidden="1" customHeight="1">
      <c r="L20" s="1117"/>
      <c r="M20" s="1150"/>
      <c r="N20" s="1150"/>
      <c r="O20" s="1155" t="s">
        <v>501</v>
      </c>
      <c r="P20" s="1150"/>
      <c r="Q20" s="1159"/>
      <c r="R20" s="1159"/>
      <c r="S20" s="640"/>
      <c r="Z20" s="1155"/>
      <c r="AB20" s="1155"/>
      <c r="AH20" s="1155"/>
      <c r="AJ20" s="1155"/>
      <c r="AN20" s="444"/>
      <c r="AO20" s="444"/>
      <c r="AP20" s="444"/>
      <c r="AQ20" s="444"/>
      <c r="AR20" s="444"/>
      <c r="AS20" s="961">
        <v>0</v>
      </c>
    </row>
    <row r="21" spans="1:45" s="1154" customFormat="1" ht="14.25" hidden="1" customHeight="1">
      <c r="L21" s="1117"/>
      <c r="M21" s="1150"/>
      <c r="N21" s="1150"/>
      <c r="O21" s="1150"/>
      <c r="P21" s="1150"/>
      <c r="Q21" s="1159"/>
      <c r="R21" s="1159"/>
      <c r="S21" s="640"/>
      <c r="AN21" s="444"/>
      <c r="AO21" s="444"/>
      <c r="AP21" s="444"/>
      <c r="AQ21" s="444"/>
      <c r="AR21" s="444"/>
      <c r="AS21" s="961">
        <v>0</v>
      </c>
    </row>
    <row r="22" spans="1:45" s="1154" customFormat="1" ht="14.25" hidden="1" customHeight="1">
      <c r="L22" s="1117"/>
      <c r="M22" s="1150"/>
      <c r="N22" s="1150"/>
      <c r="O22" s="1152" t="s">
        <v>502</v>
      </c>
      <c r="P22" s="1150"/>
      <c r="Q22" s="1159"/>
      <c r="R22" s="1159"/>
      <c r="S22" s="640"/>
      <c r="T22" s="961" t="s">
        <v>503</v>
      </c>
      <c r="AA22" s="120" t="s">
        <v>504</v>
      </c>
      <c r="AC22" s="120" t="s">
        <v>505</v>
      </c>
      <c r="AD22" s="961" t="s">
        <v>503</v>
      </c>
      <c r="AI22" s="120" t="s">
        <v>506</v>
      </c>
      <c r="AK22" s="120" t="s">
        <v>505</v>
      </c>
      <c r="AN22" s="444"/>
      <c r="AO22" s="444"/>
      <c r="AP22" s="444"/>
      <c r="AQ22" s="444"/>
      <c r="AR22" s="444"/>
      <c r="AS22" s="961">
        <v>0</v>
      </c>
    </row>
    <row r="23" spans="1:45" ht="14.25" hidden="1" customHeight="1">
      <c r="O23" s="1152"/>
      <c r="AS23" s="956">
        <v>0</v>
      </c>
    </row>
    <row r="24" spans="1:45" ht="14.25" hidden="1" customHeight="1">
      <c r="O24" s="1152"/>
      <c r="AS24" s="956">
        <v>0</v>
      </c>
    </row>
    <row r="25" spans="1:45" ht="14.65" customHeight="1">
      <c r="Q25" s="309"/>
      <c r="R25" s="309"/>
      <c r="S25" s="1063"/>
      <c r="T25" s="296"/>
      <c r="U25" s="296"/>
      <c r="V25" s="442"/>
      <c r="W25" s="442"/>
      <c r="X25" s="442"/>
      <c r="Y25" s="442"/>
      <c r="Z25" s="442"/>
      <c r="AA25" s="442"/>
      <c r="AB25" s="442"/>
      <c r="AC25" s="442"/>
      <c r="AD25" s="442"/>
      <c r="AE25" s="442"/>
      <c r="AF25" s="442"/>
      <c r="AG25" s="442"/>
      <c r="AH25" s="442"/>
      <c r="AI25" s="442"/>
      <c r="AJ25" s="442"/>
      <c r="AK25" s="442"/>
      <c r="AS25" s="956">
        <v>14</v>
      </c>
    </row>
    <row r="26" spans="1:45" ht="54.75" customHeight="1">
      <c r="Q26" s="309"/>
      <c r="R26" s="309"/>
      <c r="S26" s="232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26"/>
      <c r="U26" s="2326"/>
      <c r="V26" s="2326"/>
      <c r="W26" s="2326"/>
      <c r="X26" s="2326"/>
      <c r="Y26" s="2326"/>
      <c r="Z26" s="2326"/>
      <c r="AA26" s="2326"/>
      <c r="AB26" s="2326"/>
      <c r="AC26" s="2326"/>
      <c r="AD26" s="2326"/>
      <c r="AE26" s="2326"/>
      <c r="AF26" s="2326"/>
      <c r="AG26" s="2326"/>
      <c r="AH26" s="2326"/>
      <c r="AI26" s="2326"/>
      <c r="AJ26" s="2326"/>
      <c r="AK26" s="1031"/>
      <c r="AS26" s="956">
        <v>52</v>
      </c>
    </row>
    <row r="27" spans="1:45" ht="14.65" customHeight="1">
      <c r="Q27" s="309"/>
      <c r="R27" s="309"/>
      <c r="S27" s="2349" t="str">
        <f>IF(org=0,"Не определено",org)</f>
        <v>ООО "Смоленскрегионтеплоэнерго"</v>
      </c>
      <c r="T27" s="2349"/>
      <c r="U27" s="2349"/>
      <c r="V27" s="2349"/>
      <c r="W27" s="2349"/>
      <c r="X27" s="2349"/>
      <c r="Y27" s="2349"/>
      <c r="Z27" s="2349"/>
      <c r="AA27" s="2349"/>
      <c r="AB27" s="2349"/>
      <c r="AC27" s="2349"/>
      <c r="AD27" s="2349"/>
      <c r="AE27" s="2349"/>
      <c r="AF27" s="2349"/>
      <c r="AG27" s="2349"/>
      <c r="AH27" s="2349"/>
      <c r="AI27" s="2349"/>
      <c r="AJ27" s="2349"/>
      <c r="AK27" s="1031"/>
      <c r="AS27" s="956">
        <v>14</v>
      </c>
    </row>
    <row r="28" spans="1:45" ht="14.25" hidden="1" customHeight="1">
      <c r="Q28" s="309"/>
      <c r="R28" s="309"/>
      <c r="S28" s="1063"/>
      <c r="T28" s="296"/>
      <c r="U28" s="296"/>
      <c r="V28" s="256"/>
      <c r="W28" s="256"/>
      <c r="X28" s="256"/>
      <c r="Y28" s="256"/>
      <c r="Z28" s="256"/>
      <c r="AA28" s="256"/>
      <c r="AB28" s="256"/>
      <c r="AC28" s="256"/>
      <c r="AD28" s="256"/>
      <c r="AE28" s="256"/>
      <c r="AF28" s="256"/>
      <c r="AG28" s="256"/>
      <c r="AH28" s="256"/>
      <c r="AI28" s="256"/>
      <c r="AJ28" s="256"/>
      <c r="AK28" s="256"/>
      <c r="AL28" s="442"/>
      <c r="AS28" s="956">
        <v>0</v>
      </c>
    </row>
    <row r="29" spans="1:45" s="1609" customFormat="1" ht="25.5" hidden="1" customHeight="1">
      <c r="A29" s="1156"/>
      <c r="B29" s="1156"/>
      <c r="C29" s="1156"/>
      <c r="D29" s="1156"/>
      <c r="E29" s="1156"/>
      <c r="F29" s="1156"/>
      <c r="G29" s="1156"/>
      <c r="H29" s="1156"/>
      <c r="I29" s="1156"/>
      <c r="J29" s="1156"/>
      <c r="K29" s="1156"/>
      <c r="L29" s="1157"/>
      <c r="M29" s="1156"/>
      <c r="N29" s="1156"/>
      <c r="O29" s="1156"/>
      <c r="S29" s="2386" t="s">
        <v>28</v>
      </c>
      <c r="T29" s="2386"/>
      <c r="U29" s="1160"/>
      <c r="V29" s="2388" t="str">
        <f>IF(TITLE_NAME_OR_PR_CHANGE="",IF(TITLE_NAME_OR_PR="","",TITLE_NAME_OR_PR),TITLE_NAME_OR_PR_CHANGE)</f>
        <v/>
      </c>
      <c r="W29" s="2388"/>
      <c r="X29" s="2388"/>
      <c r="Y29" s="2388"/>
      <c r="Z29" s="2388"/>
      <c r="AA29" s="2388"/>
      <c r="AB29" s="2388"/>
      <c r="AC29" s="260"/>
      <c r="AD29" s="2388" t="str">
        <f>IF(TITLE_NAME_OR_PR_CHANGE="",IF(TITLE_NAME_OR_PR="","",TITLE_NAME_OR_PR),TITLE_NAME_OR_PR_CHANGE)</f>
        <v/>
      </c>
      <c r="AE29" s="2388"/>
      <c r="AF29" s="2388"/>
      <c r="AG29" s="2388"/>
      <c r="AH29" s="2388"/>
      <c r="AI29" s="2388"/>
      <c r="AJ29" s="2388"/>
      <c r="AK29" s="260"/>
      <c r="AL29" s="260"/>
      <c r="AM29" s="214"/>
      <c r="AN29" s="301"/>
      <c r="AO29" s="301"/>
      <c r="AP29" s="301"/>
      <c r="AQ29" s="301"/>
      <c r="AR29" s="301"/>
      <c r="AS29" s="351">
        <v>0</v>
      </c>
    </row>
    <row r="30" spans="1:45" s="1609" customFormat="1" ht="18.75" hidden="1" customHeight="1">
      <c r="A30" s="1156"/>
      <c r="B30" s="1156"/>
      <c r="C30" s="1156"/>
      <c r="D30" s="1156"/>
      <c r="E30" s="1156"/>
      <c r="F30" s="1156"/>
      <c r="G30" s="1156"/>
      <c r="H30" s="1156"/>
      <c r="I30" s="1156"/>
      <c r="J30" s="1156"/>
      <c r="K30" s="1156"/>
      <c r="L30" s="1157"/>
      <c r="M30" s="1156"/>
      <c r="N30" s="1156"/>
      <c r="O30" s="1156"/>
      <c r="S30" s="2386" t="s">
        <v>507</v>
      </c>
      <c r="T30" s="2386"/>
      <c r="U30" s="1160"/>
      <c r="V30" s="2387" t="str">
        <f>IF(TITLE_DATE_PR_CHANGE="",IF(TITLE_DATE_PR="","",TITLE_DATE_PR),TITLE_DATE_PR_CHANGE)</f>
        <v/>
      </c>
      <c r="W30" s="2387"/>
      <c r="X30" s="2387"/>
      <c r="Y30" s="2387"/>
      <c r="Z30" s="2387"/>
      <c r="AA30" s="2387"/>
      <c r="AB30" s="2387"/>
      <c r="AC30" s="260"/>
      <c r="AD30" s="2387" t="str">
        <f>IF(TITLE_DATE_PR_CHANGE="",IF(TITLE_DATE_PR="","",TITLE_DATE_PR),TITLE_DATE_PR_CHANGE)</f>
        <v/>
      </c>
      <c r="AE30" s="2387"/>
      <c r="AF30" s="2387"/>
      <c r="AG30" s="2387"/>
      <c r="AH30" s="2387"/>
      <c r="AI30" s="2387"/>
      <c r="AJ30" s="2387"/>
      <c r="AK30" s="260"/>
      <c r="AL30" s="260"/>
      <c r="AM30" s="214"/>
      <c r="AN30" s="301"/>
      <c r="AO30" s="301"/>
      <c r="AP30" s="301"/>
      <c r="AQ30" s="301"/>
      <c r="AR30" s="301"/>
      <c r="AS30" s="351">
        <v>0</v>
      </c>
    </row>
    <row r="31" spans="1:45" s="1609" customFormat="1" ht="18.75" hidden="1" customHeight="1">
      <c r="A31" s="1156"/>
      <c r="B31" s="1156"/>
      <c r="C31" s="1156"/>
      <c r="D31" s="1156"/>
      <c r="E31" s="1156"/>
      <c r="F31" s="1156"/>
      <c r="G31" s="1156"/>
      <c r="H31" s="1156"/>
      <c r="I31" s="1156"/>
      <c r="J31" s="1156"/>
      <c r="K31" s="1156"/>
      <c r="L31" s="1157"/>
      <c r="M31" s="1156"/>
      <c r="N31" s="1156"/>
      <c r="O31" s="1156"/>
      <c r="S31" s="2386" t="s">
        <v>508</v>
      </c>
      <c r="T31" s="2386"/>
      <c r="U31" s="1160"/>
      <c r="V31" s="2388" t="str">
        <f>IF(TITLE_NUMBER_PR_CHANGE="",IF(TITLE_NUMBER_PR="","",TITLE_NUMBER_PR),TITLE_NUMBER_PR_CHANGE)</f>
        <v/>
      </c>
      <c r="W31" s="2388"/>
      <c r="X31" s="2388"/>
      <c r="Y31" s="2388"/>
      <c r="Z31" s="2388"/>
      <c r="AA31" s="2388"/>
      <c r="AB31" s="2388"/>
      <c r="AC31" s="260"/>
      <c r="AD31" s="2388" t="str">
        <f>IF(TITLE_NUMBER_PR_CHANGE="",IF(TITLE_NUMBER_PR="","",TITLE_NUMBER_PR),TITLE_NUMBER_PR_CHANGE)</f>
        <v/>
      </c>
      <c r="AE31" s="2388"/>
      <c r="AF31" s="2388"/>
      <c r="AG31" s="2388"/>
      <c r="AH31" s="2388"/>
      <c r="AI31" s="2388"/>
      <c r="AJ31" s="2388"/>
      <c r="AK31" s="260"/>
      <c r="AL31" s="260"/>
      <c r="AM31" s="214"/>
      <c r="AN31" s="301"/>
      <c r="AO31" s="301"/>
      <c r="AP31" s="301"/>
      <c r="AQ31" s="301"/>
      <c r="AR31" s="301"/>
      <c r="AS31" s="351">
        <v>0</v>
      </c>
    </row>
    <row r="32" spans="1:45" s="1609" customFormat="1" ht="18.75" hidden="1" customHeight="1">
      <c r="A32" s="1156"/>
      <c r="B32" s="1156"/>
      <c r="C32" s="1156"/>
      <c r="D32" s="1156"/>
      <c r="E32" s="1156"/>
      <c r="F32" s="1156"/>
      <c r="G32" s="1156"/>
      <c r="H32" s="1156"/>
      <c r="I32" s="1156"/>
      <c r="J32" s="1156"/>
      <c r="K32" s="1156"/>
      <c r="L32" s="1157"/>
      <c r="M32" s="1156"/>
      <c r="N32" s="1156"/>
      <c r="O32" s="1156"/>
      <c r="S32" s="2386" t="s">
        <v>29</v>
      </c>
      <c r="T32" s="2386"/>
      <c r="U32" s="1160"/>
      <c r="V32" s="2388" t="str">
        <f>IF(TITLE_IST_PUB_CHANGE="",IF(TITLE_IST_PUB="","",TITLE_IST_PUB),TITLE_IST_PUB_CHANGE)</f>
        <v/>
      </c>
      <c r="W32" s="2388"/>
      <c r="X32" s="2388"/>
      <c r="Y32" s="2388"/>
      <c r="Z32" s="2388"/>
      <c r="AA32" s="2388"/>
      <c r="AB32" s="2388"/>
      <c r="AC32" s="260"/>
      <c r="AD32" s="2388" t="str">
        <f>IF(TITLE_IST_PUB_CHANGE="",IF(TITLE_IST_PUB="","",TITLE_IST_PUB),TITLE_IST_PUB_CHANGE)</f>
        <v/>
      </c>
      <c r="AE32" s="2388"/>
      <c r="AF32" s="2388"/>
      <c r="AG32" s="2388"/>
      <c r="AH32" s="2388"/>
      <c r="AI32" s="2388"/>
      <c r="AJ32" s="2388"/>
      <c r="AK32" s="260"/>
      <c r="AL32" s="260"/>
      <c r="AM32" s="214"/>
      <c r="AN32" s="301"/>
      <c r="AO32" s="301"/>
      <c r="AP32" s="301"/>
      <c r="AQ32" s="301"/>
      <c r="AR32" s="301"/>
      <c r="AS32" s="351">
        <v>0</v>
      </c>
    </row>
    <row r="33" spans="1:45" ht="14.25" hidden="1" customHeight="1">
      <c r="Q33" s="309"/>
      <c r="R33" s="309"/>
      <c r="S33" s="1063"/>
      <c r="T33" s="296"/>
      <c r="U33" s="296"/>
      <c r="V33" s="256"/>
      <c r="W33" s="256"/>
      <c r="X33" s="256"/>
      <c r="Y33" s="256"/>
      <c r="Z33" s="256"/>
      <c r="AA33" s="256"/>
      <c r="AB33" s="256"/>
      <c r="AC33" s="256"/>
      <c r="AD33" s="256"/>
      <c r="AE33" s="256"/>
      <c r="AF33" s="256"/>
      <c r="AG33" s="256"/>
      <c r="AH33" s="256"/>
      <c r="AI33" s="256"/>
      <c r="AJ33" s="256"/>
      <c r="AK33" s="256"/>
      <c r="AL33" s="442"/>
      <c r="AS33" s="956">
        <v>0</v>
      </c>
    </row>
    <row r="34" spans="1:45" s="1609" customFormat="1" ht="18.75" hidden="1" customHeight="1">
      <c r="A34" s="1156"/>
      <c r="B34" s="1156"/>
      <c r="C34" s="1156"/>
      <c r="D34" s="1156"/>
      <c r="E34" s="1156"/>
      <c r="F34" s="1156"/>
      <c r="G34" s="1156"/>
      <c r="H34" s="1156"/>
      <c r="I34" s="1156"/>
      <c r="J34" s="1156"/>
      <c r="K34" s="1156"/>
      <c r="L34" s="1157"/>
      <c r="M34" s="1156"/>
      <c r="N34" s="1156"/>
      <c r="O34" s="1156"/>
      <c r="S34" s="2386" t="s">
        <v>509</v>
      </c>
      <c r="T34" s="2386"/>
      <c r="U34" s="1160"/>
      <c r="V34" s="2387" t="str">
        <f>IF(TITLE_DATE_PR_CHANGE="",IF(TITLE_DATE_PR="","",TITLE_DATE_PR),TITLE_DATE_PR_CHANGE)</f>
        <v/>
      </c>
      <c r="W34" s="2387"/>
      <c r="X34" s="2387"/>
      <c r="Y34" s="2387"/>
      <c r="Z34" s="2387"/>
      <c r="AA34" s="2387"/>
      <c r="AB34" s="2387"/>
      <c r="AC34" s="260"/>
      <c r="AD34" s="2387" t="str">
        <f>IF(TITLE_DATE_PR_CHANGE="",IF(TITLE_DATE_PR="","",TITLE_DATE_PR),TITLE_DATE_PR_CHANGE)</f>
        <v/>
      </c>
      <c r="AE34" s="2387"/>
      <c r="AF34" s="2387"/>
      <c r="AG34" s="2387"/>
      <c r="AH34" s="2387"/>
      <c r="AI34" s="2387"/>
      <c r="AJ34" s="2387"/>
      <c r="AK34" s="260"/>
      <c r="AL34" s="260"/>
      <c r="AM34" s="214"/>
      <c r="AN34" s="301"/>
      <c r="AO34" s="301"/>
      <c r="AP34" s="301"/>
      <c r="AQ34" s="301"/>
      <c r="AR34" s="301"/>
      <c r="AS34" s="351">
        <v>0</v>
      </c>
    </row>
    <row r="35" spans="1:45" s="1609" customFormat="1" ht="18.75" hidden="1" customHeight="1">
      <c r="A35" s="1156"/>
      <c r="B35" s="1156"/>
      <c r="C35" s="1156"/>
      <c r="D35" s="1156"/>
      <c r="E35" s="1156"/>
      <c r="F35" s="1156"/>
      <c r="G35" s="1156"/>
      <c r="H35" s="1156"/>
      <c r="I35" s="1156"/>
      <c r="J35" s="1156"/>
      <c r="K35" s="1156"/>
      <c r="L35" s="1157"/>
      <c r="M35" s="1156"/>
      <c r="N35" s="1156"/>
      <c r="O35" s="1156"/>
      <c r="S35" s="2386" t="s">
        <v>510</v>
      </c>
      <c r="T35" s="2386"/>
      <c r="U35" s="1160"/>
      <c r="V35" s="2388" t="str">
        <f>IF(TITLE_NUMBER_PR_CHANGE="",IF(TITLE_NUMBER_PR="","",TITLE_NUMBER_PR),TITLE_NUMBER_PR_CHANGE)</f>
        <v/>
      </c>
      <c r="W35" s="2388"/>
      <c r="X35" s="2388"/>
      <c r="Y35" s="2388"/>
      <c r="Z35" s="2388"/>
      <c r="AA35" s="2388"/>
      <c r="AB35" s="2388"/>
      <c r="AC35" s="260"/>
      <c r="AD35" s="2388" t="str">
        <f>IF(TITLE_NUMBER_PR_CHANGE="",IF(TITLE_NUMBER_PR="","",TITLE_NUMBER_PR),TITLE_NUMBER_PR_CHANGE)</f>
        <v/>
      </c>
      <c r="AE35" s="2388"/>
      <c r="AF35" s="2388"/>
      <c r="AG35" s="2388"/>
      <c r="AH35" s="2388"/>
      <c r="AI35" s="2388"/>
      <c r="AJ35" s="2388"/>
      <c r="AK35" s="260"/>
      <c r="AL35" s="260"/>
      <c r="AM35" s="214"/>
      <c r="AN35" s="301"/>
      <c r="AO35" s="301"/>
      <c r="AP35" s="301"/>
      <c r="AQ35" s="301"/>
      <c r="AR35" s="301"/>
      <c r="AS35" s="351">
        <v>0</v>
      </c>
    </row>
    <row r="36" spans="1:45" s="1609" customFormat="1" ht="0" hidden="1" customHeight="1">
      <c r="A36" s="1156"/>
      <c r="B36" s="1156"/>
      <c r="C36" s="1156"/>
      <c r="D36" s="1156"/>
      <c r="E36" s="1156"/>
      <c r="F36" s="1156"/>
      <c r="G36" s="1156"/>
      <c r="H36" s="1156"/>
      <c r="I36" s="1156"/>
      <c r="J36" s="1156"/>
      <c r="K36" s="1156"/>
      <c r="L36" s="1157"/>
      <c r="M36" s="1156"/>
      <c r="N36" s="1156"/>
      <c r="O36" s="1156"/>
      <c r="S36" s="257"/>
      <c r="T36" s="257"/>
      <c r="U36" s="1128"/>
      <c r="V36" s="260"/>
      <c r="W36" s="260"/>
      <c r="X36" s="260"/>
      <c r="Y36" s="260"/>
      <c r="Z36" s="260"/>
      <c r="AA36" s="260"/>
      <c r="AB36" s="260"/>
      <c r="AC36" s="212" t="s">
        <v>511</v>
      </c>
      <c r="AD36" s="260"/>
      <c r="AE36" s="260"/>
      <c r="AF36" s="260"/>
      <c r="AG36" s="260"/>
      <c r="AH36" s="260"/>
      <c r="AI36" s="260"/>
      <c r="AJ36" s="260"/>
      <c r="AK36" s="212" t="s">
        <v>511</v>
      </c>
      <c r="AN36" s="301"/>
      <c r="AO36" s="301"/>
      <c r="AP36" s="301"/>
      <c r="AQ36" s="301"/>
      <c r="AR36" s="301"/>
      <c r="AS36" s="351">
        <v>0</v>
      </c>
    </row>
    <row r="37" spans="1:45" ht="14.65" customHeight="1">
      <c r="Q37" s="309"/>
      <c r="R37" s="309"/>
      <c r="S37" s="1063"/>
      <c r="T37" s="296"/>
      <c r="U37" s="1032"/>
      <c r="V37" s="2407"/>
      <c r="W37" s="2407"/>
      <c r="X37" s="2407"/>
      <c r="Y37" s="2407"/>
      <c r="Z37" s="2407"/>
      <c r="AA37" s="2407"/>
      <c r="AB37" s="2407"/>
      <c r="AC37" s="2407"/>
      <c r="AD37" s="2407"/>
      <c r="AE37" s="2407"/>
      <c r="AF37" s="2407"/>
      <c r="AG37" s="2407"/>
      <c r="AH37" s="2407"/>
      <c r="AI37" s="2407"/>
      <c r="AJ37" s="2407"/>
      <c r="AK37" s="2407"/>
      <c r="AS37" s="956">
        <v>14</v>
      </c>
    </row>
    <row r="38" spans="1:45" ht="14.65" customHeight="1">
      <c r="Q38" s="309"/>
      <c r="R38" s="309"/>
      <c r="S38" s="2266" t="s">
        <v>384</v>
      </c>
      <c r="T38" s="2266"/>
      <c r="U38" s="2266"/>
      <c r="V38" s="2266"/>
      <c r="W38" s="2266"/>
      <c r="X38" s="2266"/>
      <c r="Y38" s="2266"/>
      <c r="Z38" s="2266"/>
      <c r="AA38" s="2266"/>
      <c r="AB38" s="2266"/>
      <c r="AC38" s="2266"/>
      <c r="AD38" s="2266"/>
      <c r="AE38" s="2266"/>
      <c r="AF38" s="2266"/>
      <c r="AG38" s="2266"/>
      <c r="AH38" s="2266"/>
      <c r="AI38" s="2266"/>
      <c r="AJ38" s="2266"/>
      <c r="AK38" s="2266"/>
      <c r="AL38" s="2266"/>
      <c r="AM38" s="2266" t="s">
        <v>385</v>
      </c>
      <c r="AS38" s="956">
        <v>14</v>
      </c>
    </row>
    <row r="39" spans="1:45" ht="14.65" customHeight="1">
      <c r="Q39" s="309"/>
      <c r="R39" s="309"/>
      <c r="S39" s="2408" t="s">
        <v>75</v>
      </c>
      <c r="T39" s="2357" t="s">
        <v>512</v>
      </c>
      <c r="U39" s="235"/>
      <c r="V39" s="2409" t="s">
        <v>513</v>
      </c>
      <c r="W39" s="2410"/>
      <c r="X39" s="2410"/>
      <c r="Y39" s="2410"/>
      <c r="Z39" s="2410"/>
      <c r="AA39" s="2410"/>
      <c r="AB39" s="2411"/>
      <c r="AC39" s="2412" t="s">
        <v>514</v>
      </c>
      <c r="AD39" s="2409" t="s">
        <v>513</v>
      </c>
      <c r="AE39" s="2410"/>
      <c r="AF39" s="2410"/>
      <c r="AG39" s="2410"/>
      <c r="AH39" s="2410"/>
      <c r="AI39" s="2410"/>
      <c r="AJ39" s="2411"/>
      <c r="AK39" s="2412" t="s">
        <v>515</v>
      </c>
      <c r="AL39" s="2415" t="s">
        <v>516</v>
      </c>
      <c r="AM39" s="2266"/>
      <c r="AS39" s="956">
        <v>14</v>
      </c>
    </row>
    <row r="40" spans="1:45" ht="35.65" customHeight="1">
      <c r="Q40" s="309"/>
      <c r="R40" s="309"/>
      <c r="S40" s="2408"/>
      <c r="T40" s="2357"/>
      <c r="U40" s="874"/>
      <c r="V40" s="2327" t="s">
        <v>517</v>
      </c>
      <c r="W40" s="2404"/>
      <c r="X40" s="2247" t="s">
        <v>519</v>
      </c>
      <c r="Y40" s="2246"/>
      <c r="Z40" s="2247" t="s">
        <v>520</v>
      </c>
      <c r="AA40" s="2252"/>
      <c r="AB40" s="2246"/>
      <c r="AC40" s="2413"/>
      <c r="AD40" s="2327" t="s">
        <v>534</v>
      </c>
      <c r="AE40" s="2404"/>
      <c r="AF40" s="2247" t="s">
        <v>519</v>
      </c>
      <c r="AG40" s="2246"/>
      <c r="AH40" s="2247" t="s">
        <v>520</v>
      </c>
      <c r="AI40" s="2252"/>
      <c r="AJ40" s="2246"/>
      <c r="AK40" s="2413"/>
      <c r="AL40" s="2416"/>
      <c r="AM40" s="2266"/>
      <c r="AS40" s="956">
        <v>34</v>
      </c>
    </row>
    <row r="41" spans="1:45" ht="35.65" customHeight="1">
      <c r="A41" s="1158"/>
      <c r="B41" s="1158" t="s">
        <v>226</v>
      </c>
      <c r="C41" s="1158" t="s">
        <v>227</v>
      </c>
      <c r="D41" s="1158" t="s">
        <v>228</v>
      </c>
      <c r="E41" s="1152" t="s">
        <v>521</v>
      </c>
      <c r="F41" s="1152" t="s">
        <v>522</v>
      </c>
      <c r="G41" s="1152" t="s">
        <v>523</v>
      </c>
      <c r="H41" s="1152" t="s">
        <v>524</v>
      </c>
      <c r="I41" s="1152" t="s">
        <v>525</v>
      </c>
      <c r="J41" s="1152" t="s">
        <v>526</v>
      </c>
      <c r="K41" s="1152" t="s">
        <v>527</v>
      </c>
      <c r="L41" s="1152" t="s">
        <v>502</v>
      </c>
      <c r="Q41" s="309"/>
      <c r="R41" s="309"/>
      <c r="S41" s="2408"/>
      <c r="T41" s="2357"/>
      <c r="U41" s="236"/>
      <c r="V41" s="2381"/>
      <c r="W41" s="2405"/>
      <c r="X41" s="1010" t="s">
        <v>528</v>
      </c>
      <c r="Y41" s="1010" t="s">
        <v>529</v>
      </c>
      <c r="Z41" s="1126" t="s">
        <v>530</v>
      </c>
      <c r="AA41" s="2362" t="s">
        <v>531</v>
      </c>
      <c r="AB41" s="2375"/>
      <c r="AC41" s="2414"/>
      <c r="AD41" s="2381"/>
      <c r="AE41" s="2405"/>
      <c r="AF41" s="1010" t="s">
        <v>528</v>
      </c>
      <c r="AG41" s="1010" t="s">
        <v>529</v>
      </c>
      <c r="AH41" s="1126" t="s">
        <v>530</v>
      </c>
      <c r="AI41" s="2362" t="s">
        <v>531</v>
      </c>
      <c r="AJ41" s="2375"/>
      <c r="AK41" s="2414"/>
      <c r="AL41" s="2417"/>
      <c r="AM41" s="2266"/>
      <c r="AS41" s="956">
        <v>34</v>
      </c>
    </row>
    <row r="42" spans="1:45" s="1429" customFormat="1" ht="11.25" hidden="1" customHeight="1">
      <c r="A42" s="1158"/>
      <c r="B42" s="1158"/>
      <c r="C42" s="1158"/>
      <c r="D42" s="1158"/>
      <c r="E42" s="1158"/>
      <c r="F42" s="1158"/>
      <c r="G42" s="1158"/>
      <c r="H42" s="1158"/>
      <c r="I42" s="1158"/>
      <c r="J42" s="1158"/>
      <c r="K42" s="1158"/>
      <c r="L42" s="1152"/>
      <c r="M42" s="1150"/>
      <c r="N42" s="1150"/>
      <c r="O42" s="1150"/>
      <c r="P42" s="1034"/>
      <c r="Q42" s="1035"/>
      <c r="R42" s="1042">
        <v>1</v>
      </c>
      <c r="S42" s="1065" t="s">
        <v>161</v>
      </c>
      <c r="T42" s="1043" t="s">
        <v>89</v>
      </c>
      <c r="U42" s="1033" t="str">
        <f ca="1">OFFSET(U42,0,-1)</f>
        <v>2</v>
      </c>
      <c r="V42" s="1123">
        <f ca="1">OFFSET(V42,0,-1)+1</f>
        <v>3</v>
      </c>
      <c r="W42" s="1123"/>
      <c r="X42" s="1123">
        <f ca="1">OFFSET(X42,0,-1)+1</f>
        <v>1</v>
      </c>
      <c r="Y42" s="1123">
        <f ca="1">OFFSET(Y42,0,-1)+1</f>
        <v>2</v>
      </c>
      <c r="Z42" s="1123">
        <f ca="1">OFFSET(Z42,0,-1)+1</f>
        <v>3</v>
      </c>
      <c r="AA42" s="2406">
        <f ca="1">OFFSET(AA42,0,-1)+1</f>
        <v>4</v>
      </c>
      <c r="AB42" s="2406"/>
      <c r="AC42" s="1123">
        <f ca="1">OFFSET(AC42,0,-2)+1</f>
        <v>5</v>
      </c>
      <c r="AD42" s="1123">
        <f ca="1">OFFSET(AD42,0,-1)+1</f>
        <v>6</v>
      </c>
      <c r="AE42" s="1123"/>
      <c r="AF42" s="1123">
        <f ca="1">OFFSET(AF42,0,-1)+1</f>
        <v>1</v>
      </c>
      <c r="AG42" s="1123">
        <f ca="1">OFFSET(AG42,0,-1)+1</f>
        <v>2</v>
      </c>
      <c r="AH42" s="1123">
        <f ca="1">OFFSET(AH42,0,-1)+1</f>
        <v>3</v>
      </c>
      <c r="AI42" s="2406">
        <f ca="1">OFFSET(AI42,0,-1)+1</f>
        <v>4</v>
      </c>
      <c r="AJ42" s="2406"/>
      <c r="AK42" s="1123">
        <f ca="1">OFFSET(AK42,0,-2)+1</f>
        <v>5</v>
      </c>
      <c r="AL42" s="1033">
        <f ca="1">OFFSET(AL42,0,-1)</f>
        <v>5</v>
      </c>
      <c r="AM42" s="1123">
        <f ca="1">OFFSET(AM42,0,-1)+1</f>
        <v>6</v>
      </c>
      <c r="AN42" s="444"/>
      <c r="AO42" s="444"/>
      <c r="AP42" s="444"/>
      <c r="AQ42" s="444"/>
      <c r="AR42" s="444"/>
      <c r="AS42" s="429">
        <v>0</v>
      </c>
    </row>
    <row r="43" spans="1:45" ht="21.95" customHeight="1">
      <c r="A43" s="1151" t="s">
        <v>266</v>
      </c>
      <c r="B43" s="1151"/>
      <c r="C43" s="1151"/>
      <c r="D43" s="1151"/>
      <c r="E43" s="2395">
        <v>1</v>
      </c>
      <c r="F43" s="1151"/>
      <c r="G43" s="1151"/>
      <c r="H43" s="1151"/>
      <c r="I43" s="1151"/>
      <c r="J43" s="1151"/>
      <c r="K43" s="1151"/>
      <c r="L43" s="1152"/>
      <c r="M43" s="1153"/>
      <c r="N43" s="1153"/>
      <c r="O43" s="1153"/>
      <c r="P43" s="294"/>
      <c r="Q43" s="293"/>
      <c r="R43" s="288"/>
      <c r="S43" s="1124">
        <f>INDEX(PT_DIFFERENTIATION_NUM_NTAR,MATCH(A43,PT_DIFFERENTIATION_NTAR_ID,0))</f>
        <v>0</v>
      </c>
      <c r="T43" s="232" t="s">
        <v>214</v>
      </c>
      <c r="U43" s="234"/>
      <c r="V43" s="2389"/>
      <c r="W43" s="2390"/>
      <c r="X43" s="2390"/>
      <c r="Y43" s="2390"/>
      <c r="Z43" s="2390"/>
      <c r="AA43" s="2390"/>
      <c r="AB43" s="2390"/>
      <c r="AC43" s="2391"/>
      <c r="AD43" s="2389" t="str">
        <f>INDEX(PT_DIFFERENTIATION_NTAR,MATCH(A43,PT_DIFFERENTIATION_NTAR_ID,0))</f>
        <v/>
      </c>
      <c r="AE43" s="2390"/>
      <c r="AF43" s="2390"/>
      <c r="AG43" s="2390"/>
      <c r="AH43" s="2390"/>
      <c r="AI43" s="2390"/>
      <c r="AJ43" s="2390"/>
      <c r="AK43" s="2390"/>
      <c r="AL43" s="2391"/>
      <c r="AM43" s="104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956">
        <v>21</v>
      </c>
    </row>
    <row r="44" spans="1:45" ht="21.95" customHeight="1">
      <c r="A44" s="1151" t="s">
        <v>266</v>
      </c>
      <c r="B44" s="1151" t="s">
        <v>267</v>
      </c>
      <c r="C44" s="1151"/>
      <c r="D44" s="1151"/>
      <c r="E44" s="2396"/>
      <c r="F44" s="2395">
        <v>1</v>
      </c>
      <c r="G44" s="1151"/>
      <c r="H44" s="1151"/>
      <c r="I44" s="1151"/>
      <c r="J44" s="1151"/>
      <c r="K44" s="1151"/>
      <c r="L44" s="1152"/>
      <c r="M44" s="1153"/>
      <c r="N44" s="1153"/>
      <c r="O44" s="1153"/>
      <c r="P44" s="1120"/>
      <c r="Q44" s="285"/>
      <c r="R44" s="286"/>
      <c r="S44" s="1124" t="str">
        <f>INDEX(PT_DIFFERENTIATION_NUM_TER,MATCH(B44,PT_DIFFERENTIATION_TER_ID,0))</f>
        <v>.</v>
      </c>
      <c r="T44" s="242" t="s">
        <v>481</v>
      </c>
      <c r="U44" s="234"/>
      <c r="V44" s="2389"/>
      <c r="W44" s="2390"/>
      <c r="X44" s="2390"/>
      <c r="Y44" s="2390"/>
      <c r="Z44" s="2390"/>
      <c r="AA44" s="2390"/>
      <c r="AB44" s="2390"/>
      <c r="AC44" s="2391"/>
      <c r="AD44" s="2389" t="str">
        <f>INDEX(PT_DIFFERENTIATION_TER,MATCH(B44,PT_DIFFERENTIATION_TER_ID,0))</f>
        <v/>
      </c>
      <c r="AE44" s="2390"/>
      <c r="AF44" s="2390"/>
      <c r="AG44" s="2390"/>
      <c r="AH44" s="2390"/>
      <c r="AI44" s="2390"/>
      <c r="AJ44" s="2390"/>
      <c r="AK44" s="2390"/>
      <c r="AL44" s="2391"/>
      <c r="AM44" s="1046" t="s">
        <v>482</v>
      </c>
      <c r="AO44" s="433"/>
      <c r="AP44" s="433" t="str">
        <f t="shared" si="1"/>
        <v>Территория действия тарифа</v>
      </c>
      <c r="AQ44" s="433"/>
      <c r="AR44" s="433"/>
      <c r="AS44" s="956">
        <v>21</v>
      </c>
    </row>
    <row r="45" spans="1:45" ht="24" customHeight="1">
      <c r="A45" s="1151" t="s">
        <v>266</v>
      </c>
      <c r="B45" s="1151" t="s">
        <v>267</v>
      </c>
      <c r="C45" s="1151" t="s">
        <v>268</v>
      </c>
      <c r="D45" s="1151"/>
      <c r="E45" s="2396"/>
      <c r="F45" s="2396"/>
      <c r="G45" s="2395">
        <v>1</v>
      </c>
      <c r="H45" s="1151"/>
      <c r="I45" s="1151"/>
      <c r="J45" s="1151"/>
      <c r="K45" s="1151"/>
      <c r="L45" s="1152"/>
      <c r="M45" s="1153"/>
      <c r="N45" s="1153"/>
      <c r="O45" s="1153"/>
      <c r="P45" s="287"/>
      <c r="Q45" s="285"/>
      <c r="R45" s="286"/>
      <c r="S45" s="1124" t="str">
        <f>INDEX(PT_DIFFERENTIATION_NUM_CS,MATCH(C45,PT_DIFFERENTIATION_CS_ID,0))</f>
        <v>..</v>
      </c>
      <c r="T45" s="243" t="s">
        <v>483</v>
      </c>
      <c r="U45" s="234"/>
      <c r="V45" s="2389"/>
      <c r="W45" s="2390"/>
      <c r="X45" s="2390"/>
      <c r="Y45" s="2390"/>
      <c r="Z45" s="2390"/>
      <c r="AA45" s="2390"/>
      <c r="AB45" s="2390"/>
      <c r="AC45" s="2391"/>
      <c r="AD45" s="2389" t="str">
        <f>INDEX(PT_DIFFERENTIATION_CS,MATCH(C45,PT_DIFFERENTIATION_CS_ID,0))</f>
        <v/>
      </c>
      <c r="AE45" s="2390"/>
      <c r="AF45" s="2390"/>
      <c r="AG45" s="2390"/>
      <c r="AH45" s="2390"/>
      <c r="AI45" s="2390"/>
      <c r="AJ45" s="2390"/>
      <c r="AK45" s="2390"/>
      <c r="AL45" s="2391"/>
      <c r="AM45" s="1046" t="s">
        <v>484</v>
      </c>
      <c r="AO45" s="433"/>
      <c r="AP45" s="433" t="str">
        <f t="shared" si="1"/>
        <v xml:space="preserve">Наименование системы теплоснабжения </v>
      </c>
      <c r="AQ45" s="433"/>
      <c r="AR45" s="433"/>
      <c r="AS45" s="956">
        <v>23</v>
      </c>
    </row>
    <row r="46" spans="1:45" ht="21.95" customHeight="1">
      <c r="A46" s="1151" t="s">
        <v>266</v>
      </c>
      <c r="B46" s="1151" t="s">
        <v>267</v>
      </c>
      <c r="C46" s="1151" t="s">
        <v>268</v>
      </c>
      <c r="D46" s="1151" t="s">
        <v>269</v>
      </c>
      <c r="E46" s="2396"/>
      <c r="F46" s="2396"/>
      <c r="G46" s="2396"/>
      <c r="H46" s="2395">
        <v>1</v>
      </c>
      <c r="I46" s="1151"/>
      <c r="J46" s="1151"/>
      <c r="K46" s="1151"/>
      <c r="L46" s="1152"/>
      <c r="M46" s="1153"/>
      <c r="N46" s="1153"/>
      <c r="O46" s="1153"/>
      <c r="P46" s="287"/>
      <c r="Q46" s="285"/>
      <c r="R46" s="286"/>
      <c r="S46" s="1124" t="str">
        <f>INDEX(PT_DIFFERENTIATION_NUM_IST_TE,MATCH(D46,PT_DIFFERENTIATION_IST_TE_ID,0))</f>
        <v>...</v>
      </c>
      <c r="T46" s="244" t="s">
        <v>485</v>
      </c>
      <c r="U46" s="234"/>
      <c r="V46" s="2389"/>
      <c r="W46" s="2390"/>
      <c r="X46" s="2390"/>
      <c r="Y46" s="2390"/>
      <c r="Z46" s="2390"/>
      <c r="AA46" s="2390"/>
      <c r="AB46" s="2390"/>
      <c r="AC46" s="2391"/>
      <c r="AD46" s="2389" t="str">
        <f>INDEX(PT_DIFFERENTIATION_IST_TE,MATCH(D46,PT_DIFFERENTIATION_IST_TE_ID,0))</f>
        <v/>
      </c>
      <c r="AE46" s="2390"/>
      <c r="AF46" s="2390"/>
      <c r="AG46" s="2390"/>
      <c r="AH46" s="2390"/>
      <c r="AI46" s="2390"/>
      <c r="AJ46" s="2390"/>
      <c r="AK46" s="2390"/>
      <c r="AL46" s="2391"/>
      <c r="AM46" s="1046" t="s">
        <v>486</v>
      </c>
      <c r="AO46" s="433"/>
      <c r="AP46" s="433" t="str">
        <f t="shared" si="1"/>
        <v xml:space="preserve">Источник тепловой энергии  </v>
      </c>
      <c r="AQ46" s="433"/>
      <c r="AR46" s="433"/>
      <c r="AS46" s="956">
        <v>21</v>
      </c>
    </row>
    <row r="47" spans="1:45" s="1430" customFormat="1" ht="0" hidden="1" customHeight="1">
      <c r="A47" s="1131" t="s">
        <v>266</v>
      </c>
      <c r="B47" s="1131" t="s">
        <v>267</v>
      </c>
      <c r="C47" s="1131" t="s">
        <v>268</v>
      </c>
      <c r="D47" s="1131" t="s">
        <v>269</v>
      </c>
      <c r="E47" s="2396"/>
      <c r="F47" s="2396"/>
      <c r="G47" s="2396"/>
      <c r="H47" s="2396"/>
      <c r="I47" s="2397" t="str">
        <f>S46&amp;".1"</f>
        <v>....1</v>
      </c>
      <c r="J47" s="1131"/>
      <c r="K47" s="1131"/>
      <c r="L47" s="1134" t="s">
        <v>487</v>
      </c>
      <c r="M47" s="443"/>
      <c r="N47" s="443"/>
      <c r="O47" s="443"/>
      <c r="P47" s="2399">
        <v>1</v>
      </c>
      <c r="Q47" s="1119"/>
      <c r="R47" s="289"/>
      <c r="S47" s="881"/>
      <c r="T47" s="1171"/>
      <c r="U47" s="1172"/>
      <c r="V47" s="2426"/>
      <c r="W47" s="2427"/>
      <c r="X47" s="2427"/>
      <c r="Y47" s="2427"/>
      <c r="Z47" s="2427"/>
      <c r="AA47" s="2427"/>
      <c r="AB47" s="2427"/>
      <c r="AC47" s="2428"/>
      <c r="AD47" s="2426"/>
      <c r="AE47" s="2427"/>
      <c r="AF47" s="2427"/>
      <c r="AG47" s="2427"/>
      <c r="AH47" s="2427"/>
      <c r="AI47" s="2427"/>
      <c r="AJ47" s="2427"/>
      <c r="AK47" s="2427"/>
      <c r="AL47" s="2428"/>
      <c r="AM47" s="1173"/>
      <c r="AO47" s="433"/>
      <c r="AP47" s="433" t="str">
        <f t="shared" si="1"/>
        <v/>
      </c>
      <c r="AQ47" s="433"/>
      <c r="AR47" s="433"/>
      <c r="AS47" s="444">
        <v>0</v>
      </c>
    </row>
    <row r="48" spans="1:45" ht="21.95" customHeight="1">
      <c r="A48" s="1151" t="s">
        <v>266</v>
      </c>
      <c r="B48" s="1151" t="s">
        <v>267</v>
      </c>
      <c r="C48" s="1151" t="s">
        <v>268</v>
      </c>
      <c r="D48" s="1151" t="s">
        <v>269</v>
      </c>
      <c r="E48" s="2396"/>
      <c r="F48" s="2396"/>
      <c r="G48" s="2396"/>
      <c r="H48" s="2396"/>
      <c r="I48" s="2398"/>
      <c r="J48" s="2397" t="str">
        <f>S46&amp;".1"</f>
        <v>....1</v>
      </c>
      <c r="K48" s="1151"/>
      <c r="L48" s="1152" t="s">
        <v>490</v>
      </c>
      <c r="P48" s="2399"/>
      <c r="Q48" s="2399">
        <v>1</v>
      </c>
      <c r="R48" s="290"/>
      <c r="S48" s="1124" t="str">
        <f>$J48</f>
        <v>....1</v>
      </c>
      <c r="T48" s="220" t="s">
        <v>491</v>
      </c>
      <c r="U48" s="234"/>
      <c r="V48" s="2383"/>
      <c r="W48" s="2384"/>
      <c r="X48" s="2384"/>
      <c r="Y48" s="2384"/>
      <c r="Z48" s="2384"/>
      <c r="AA48" s="2384"/>
      <c r="AB48" s="2384"/>
      <c r="AC48" s="2385"/>
      <c r="AD48" s="2383"/>
      <c r="AE48" s="2384"/>
      <c r="AF48" s="2384"/>
      <c r="AG48" s="2384"/>
      <c r="AH48" s="2384"/>
      <c r="AI48" s="2384"/>
      <c r="AJ48" s="2384"/>
      <c r="AK48" s="2384"/>
      <c r="AL48" s="2385"/>
      <c r="AM48" s="1046" t="s">
        <v>492</v>
      </c>
      <c r="AO48" s="433"/>
      <c r="AP48" s="433" t="str">
        <f t="shared" si="1"/>
        <v>Группа потребителей</v>
      </c>
      <c r="AQ48" s="433"/>
      <c r="AR48" s="433"/>
      <c r="AS48" s="956">
        <v>21</v>
      </c>
    </row>
    <row r="49" spans="1:45" ht="21.95" customHeight="1">
      <c r="A49" s="1151" t="s">
        <v>266</v>
      </c>
      <c r="B49" s="1151" t="s">
        <v>267</v>
      </c>
      <c r="C49" s="1151" t="s">
        <v>268</v>
      </c>
      <c r="D49" s="1151" t="s">
        <v>269</v>
      </c>
      <c r="E49" s="2396"/>
      <c r="F49" s="2396"/>
      <c r="G49" s="2396"/>
      <c r="H49" s="2396"/>
      <c r="I49" s="2398"/>
      <c r="J49" s="2398"/>
      <c r="K49" s="2397" t="str">
        <f>J48&amp;".1"</f>
        <v>....1.1</v>
      </c>
      <c r="L49" s="1152" t="s">
        <v>493</v>
      </c>
      <c r="P49" s="2399"/>
      <c r="Q49" s="2399"/>
      <c r="R49" s="290">
        <v>1</v>
      </c>
      <c r="S49" s="1124" t="str">
        <f>$K49</f>
        <v>....1.1</v>
      </c>
      <c r="T49" s="1135"/>
      <c r="U49" s="234"/>
      <c r="V49" s="658"/>
      <c r="W49" s="259"/>
      <c r="X49" s="658"/>
      <c r="Y49" s="1045"/>
      <c r="Z49" s="2400"/>
      <c r="AA49" s="2276" t="s">
        <v>52</v>
      </c>
      <c r="AB49" s="2400"/>
      <c r="AC49" s="2276" t="s">
        <v>52</v>
      </c>
      <c r="AD49" s="658"/>
      <c r="AE49" s="259"/>
      <c r="AF49" s="658"/>
      <c r="AG49" s="1045"/>
      <c r="AH49" s="2400"/>
      <c r="AI49" s="2276" t="s">
        <v>52</v>
      </c>
      <c r="AJ49" s="2402"/>
      <c r="AK49" s="2276" t="s">
        <v>52</v>
      </c>
      <c r="AL49" s="1136"/>
      <c r="AM49" s="2418" t="s">
        <v>535</v>
      </c>
      <c r="AN49" s="444" t="e">
        <f ca="1">STRCHECKDATE(V50:AL50)</f>
        <v>#NAME?</v>
      </c>
      <c r="AO49" s="433"/>
      <c r="AP49" s="433" t="str">
        <f t="shared" si="1"/>
        <v/>
      </c>
      <c r="AQ49" s="433"/>
      <c r="AR49" s="433"/>
      <c r="AS49" s="956">
        <v>21</v>
      </c>
    </row>
    <row r="50" spans="1:45" ht="1.1499999999999999" customHeight="1">
      <c r="A50" s="1151" t="s">
        <v>266</v>
      </c>
      <c r="B50" s="1151" t="s">
        <v>267</v>
      </c>
      <c r="C50" s="1151" t="s">
        <v>268</v>
      </c>
      <c r="D50" s="1151" t="s">
        <v>269</v>
      </c>
      <c r="E50" s="2396"/>
      <c r="F50" s="2396"/>
      <c r="G50" s="2396"/>
      <c r="H50" s="2396"/>
      <c r="I50" s="2398"/>
      <c r="J50" s="2398"/>
      <c r="K50" s="2397"/>
      <c r="L50" s="1152"/>
      <c r="P50" s="2399"/>
      <c r="Q50" s="2399"/>
      <c r="R50" s="290"/>
      <c r="S50" s="1130"/>
      <c r="T50" s="234"/>
      <c r="U50" s="234"/>
      <c r="V50" s="259"/>
      <c r="W50" s="259"/>
      <c r="X50" s="259"/>
      <c r="Y50" s="262" t="str">
        <f>Z49&amp;"-"&amp;AB49</f>
        <v>-</v>
      </c>
      <c r="Z50" s="2401"/>
      <c r="AA50" s="2276"/>
      <c r="AB50" s="2401"/>
      <c r="AC50" s="2276"/>
      <c r="AD50" s="259"/>
      <c r="AE50" s="259"/>
      <c r="AF50" s="259"/>
      <c r="AG50" s="262" t="str">
        <f>AH49&amp;"-"&amp;AJ49</f>
        <v>-</v>
      </c>
      <c r="AH50" s="2401"/>
      <c r="AI50" s="2276"/>
      <c r="AJ50" s="2403"/>
      <c r="AK50" s="2276"/>
      <c r="AL50" s="1137"/>
      <c r="AM50" s="2419"/>
      <c r="AO50" s="433"/>
      <c r="AP50" s="433" t="str">
        <f t="shared" si="1"/>
        <v/>
      </c>
      <c r="AQ50" s="433"/>
      <c r="AR50" s="433"/>
      <c r="AS50" s="956">
        <v>1</v>
      </c>
    </row>
    <row r="51" spans="1:45" ht="11.45" customHeight="1">
      <c r="A51" s="1151" t="s">
        <v>266</v>
      </c>
      <c r="B51" s="1151" t="s">
        <v>267</v>
      </c>
      <c r="C51" s="1151" t="s">
        <v>268</v>
      </c>
      <c r="D51" s="1151" t="s">
        <v>269</v>
      </c>
      <c r="E51" s="2396"/>
      <c r="F51" s="2396"/>
      <c r="G51" s="2396"/>
      <c r="H51" s="2396"/>
      <c r="I51" s="2398"/>
      <c r="J51" s="2397"/>
      <c r="K51" s="1151"/>
      <c r="L51" s="1152"/>
      <c r="P51" s="2399"/>
      <c r="Q51" s="2399"/>
      <c r="R51" s="289"/>
      <c r="S51" s="1066"/>
      <c r="T51" s="221" t="s">
        <v>495</v>
      </c>
      <c r="U51" s="300"/>
      <c r="V51" s="300"/>
      <c r="W51" s="300"/>
      <c r="X51" s="300"/>
      <c r="Y51" s="300"/>
      <c r="Z51" s="300"/>
      <c r="AA51" s="300"/>
      <c r="AB51" s="300"/>
      <c r="AC51" s="300"/>
      <c r="AD51" s="300"/>
      <c r="AE51" s="300"/>
      <c r="AF51" s="300"/>
      <c r="AG51" s="300"/>
      <c r="AH51" s="300"/>
      <c r="AI51" s="300"/>
      <c r="AJ51" s="300"/>
      <c r="AK51" s="300"/>
      <c r="AL51" s="258"/>
      <c r="AM51" s="2420"/>
      <c r="AO51" s="433"/>
      <c r="AP51" s="433" t="str">
        <f t="shared" si="1"/>
        <v>Добавить вид теплоносителя (параметры теплоносителя)</v>
      </c>
      <c r="AQ51" s="433"/>
      <c r="AR51" s="433"/>
      <c r="AS51" s="956">
        <v>11</v>
      </c>
    </row>
    <row r="52" spans="1:45" ht="11.45" customHeight="1">
      <c r="A52" s="1151" t="s">
        <v>266</v>
      </c>
      <c r="B52" s="1151" t="s">
        <v>267</v>
      </c>
      <c r="C52" s="1151" t="s">
        <v>268</v>
      </c>
      <c r="D52" s="1151" t="s">
        <v>269</v>
      </c>
      <c r="E52" s="2396"/>
      <c r="F52" s="2396"/>
      <c r="G52" s="2396"/>
      <c r="H52" s="2396"/>
      <c r="I52" s="2397"/>
      <c r="J52" s="1151"/>
      <c r="K52" s="1151"/>
      <c r="L52" s="1152"/>
      <c r="P52" s="2399"/>
      <c r="Q52" s="1119"/>
      <c r="R52" s="289"/>
      <c r="S52" s="1066"/>
      <c r="T52" s="298" t="s">
        <v>496</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956">
        <v>11</v>
      </c>
    </row>
    <row r="53" spans="1:45" ht="0" hidden="1" customHeight="1">
      <c r="A53" s="1151" t="s">
        <v>266</v>
      </c>
      <c r="B53" s="1151" t="s">
        <v>267</v>
      </c>
      <c r="C53" s="1151" t="s">
        <v>268</v>
      </c>
      <c r="D53" s="1151" t="s">
        <v>269</v>
      </c>
      <c r="E53" s="2396"/>
      <c r="F53" s="2396"/>
      <c r="G53" s="2396"/>
      <c r="H53" s="2395"/>
      <c r="I53" s="1151"/>
      <c r="J53" s="1151"/>
      <c r="K53" s="1151"/>
      <c r="L53" s="1152"/>
      <c r="M53" s="1153"/>
      <c r="N53" s="1153"/>
      <c r="O53" s="469"/>
      <c r="P53" s="293"/>
      <c r="Q53" s="308"/>
      <c r="R53" s="288"/>
      <c r="S53" s="1174"/>
      <c r="T53" s="1175"/>
      <c r="U53" s="1176"/>
      <c r="V53" s="1176"/>
      <c r="W53" s="1176"/>
      <c r="X53" s="1176"/>
      <c r="Y53" s="1176"/>
      <c r="Z53" s="1176"/>
      <c r="AA53" s="1176"/>
      <c r="AB53" s="1176"/>
      <c r="AC53" s="1176"/>
      <c r="AD53" s="1176"/>
      <c r="AE53" s="1176"/>
      <c r="AF53" s="1176"/>
      <c r="AG53" s="1176"/>
      <c r="AH53" s="1176"/>
      <c r="AI53" s="1176"/>
      <c r="AJ53" s="1176"/>
      <c r="AK53" s="1176"/>
      <c r="AL53" s="1176"/>
      <c r="AM53" s="1177"/>
      <c r="AO53" s="433"/>
      <c r="AP53" s="433" t="str">
        <f t="shared" si="1"/>
        <v/>
      </c>
      <c r="AQ53" s="433"/>
      <c r="AR53" s="433"/>
      <c r="AS53" s="956">
        <v>0</v>
      </c>
    </row>
    <row r="54" spans="1:45" s="1430" customFormat="1" ht="1.1499999999999999" customHeight="1">
      <c r="A54" s="1131" t="s">
        <v>266</v>
      </c>
      <c r="B54" s="1131" t="s">
        <v>267</v>
      </c>
      <c r="C54" s="1131" t="s">
        <v>268</v>
      </c>
      <c r="D54" s="1102"/>
      <c r="E54" s="2396"/>
      <c r="F54" s="2396"/>
      <c r="G54" s="2395"/>
      <c r="H54" s="1102"/>
      <c r="I54" s="1102"/>
      <c r="J54" s="1102"/>
      <c r="K54" s="1102"/>
      <c r="L54" s="1127"/>
      <c r="M54" s="1103"/>
      <c r="N54" s="1103"/>
      <c r="P54" s="1104"/>
      <c r="Q54" s="1105"/>
      <c r="R54" s="1104"/>
      <c r="S54" s="1110"/>
      <c r="T54" s="1113" t="s">
        <v>498</v>
      </c>
      <c r="U54" s="1112"/>
      <c r="V54" s="1112"/>
      <c r="W54" s="1112"/>
      <c r="X54" s="1112"/>
      <c r="Y54" s="1112"/>
      <c r="Z54" s="1112"/>
      <c r="AA54" s="1112"/>
      <c r="AB54" s="1112"/>
      <c r="AC54" s="1112"/>
      <c r="AD54" s="1112"/>
      <c r="AE54" s="1112"/>
      <c r="AF54" s="1112"/>
      <c r="AG54" s="1112"/>
      <c r="AH54" s="1112"/>
      <c r="AI54" s="1112"/>
      <c r="AJ54" s="1112"/>
      <c r="AK54" s="1112"/>
      <c r="AL54" s="1112"/>
      <c r="AM54" s="1112"/>
      <c r="AO54" s="688"/>
      <c r="AP54" s="688" t="str">
        <f t="shared" si="1"/>
        <v>Добавить источник для дифференциации</v>
      </c>
      <c r="AQ54" s="688"/>
      <c r="AR54" s="688"/>
      <c r="AS54" s="451">
        <v>1</v>
      </c>
    </row>
    <row r="55" spans="1:45" s="1430" customFormat="1" ht="1.1499999999999999" customHeight="1">
      <c r="A55" s="1131" t="s">
        <v>266</v>
      </c>
      <c r="B55" s="1131" t="s">
        <v>267</v>
      </c>
      <c r="C55" s="1102"/>
      <c r="D55" s="1102"/>
      <c r="E55" s="2396"/>
      <c r="F55" s="2395"/>
      <c r="G55" s="1102"/>
      <c r="H55" s="1102"/>
      <c r="I55" s="1102"/>
      <c r="J55" s="1102"/>
      <c r="K55" s="1102"/>
      <c r="L55" s="1127"/>
      <c r="M55" s="1109"/>
      <c r="N55" s="1109"/>
      <c r="P55" s="1104"/>
      <c r="Q55" s="1105"/>
      <c r="R55" s="1104"/>
      <c r="S55" s="1110"/>
      <c r="T55" s="1113" t="s">
        <v>499</v>
      </c>
      <c r="U55" s="1112"/>
      <c r="V55" s="1112"/>
      <c r="W55" s="1112"/>
      <c r="X55" s="1112"/>
      <c r="Y55" s="1112"/>
      <c r="Z55" s="1112"/>
      <c r="AA55" s="1112"/>
      <c r="AB55" s="1112"/>
      <c r="AC55" s="1112"/>
      <c r="AD55" s="1112"/>
      <c r="AE55" s="1112"/>
      <c r="AF55" s="1112"/>
      <c r="AG55" s="1112"/>
      <c r="AH55" s="1112"/>
      <c r="AI55" s="1112"/>
      <c r="AJ55" s="1112"/>
      <c r="AK55" s="1112"/>
      <c r="AL55" s="1112"/>
      <c r="AM55" s="1112"/>
      <c r="AO55" s="688"/>
      <c r="AP55" s="688" t="str">
        <f t="shared" si="1"/>
        <v>Добавить централизованную систему для дифференциации</v>
      </c>
      <c r="AQ55" s="688"/>
      <c r="AR55" s="688"/>
      <c r="AS55" s="451">
        <v>1</v>
      </c>
    </row>
    <row r="56" spans="1:45" s="1430" customFormat="1" ht="1.1499999999999999" customHeight="1">
      <c r="A56" s="1131" t="s">
        <v>266</v>
      </c>
      <c r="B56" s="1131"/>
      <c r="C56" s="1131"/>
      <c r="D56" s="1131"/>
      <c r="E56" s="2395"/>
      <c r="F56" s="1131"/>
      <c r="G56" s="1131"/>
      <c r="H56" s="1131"/>
      <c r="I56" s="1131"/>
      <c r="J56" s="1131"/>
      <c r="K56" s="1131"/>
      <c r="L56" s="1134"/>
      <c r="M56" s="1109"/>
      <c r="N56" s="1109"/>
      <c r="O56" s="451"/>
      <c r="P56" s="313"/>
      <c r="Q56" s="1132"/>
      <c r="R56" s="313"/>
      <c r="S56" s="1110"/>
      <c r="T56" s="1113" t="s">
        <v>500</v>
      </c>
      <c r="U56" s="1112"/>
      <c r="V56" s="1112"/>
      <c r="W56" s="1112"/>
      <c r="X56" s="1112"/>
      <c r="Y56" s="1112"/>
      <c r="Z56" s="1112"/>
      <c r="AA56" s="1112"/>
      <c r="AB56" s="1112"/>
      <c r="AC56" s="1112"/>
      <c r="AD56" s="1112"/>
      <c r="AE56" s="1112"/>
      <c r="AF56" s="1112"/>
      <c r="AG56" s="1112"/>
      <c r="AH56" s="1112"/>
      <c r="AI56" s="1112"/>
      <c r="AJ56" s="1112"/>
      <c r="AK56" s="1112"/>
      <c r="AL56" s="1112"/>
      <c r="AM56" s="1112"/>
      <c r="AO56" s="433"/>
      <c r="AP56" s="433" t="str">
        <f t="shared" si="1"/>
        <v>Добавить территорию для дифференциации</v>
      </c>
      <c r="AQ56" s="433"/>
      <c r="AR56" s="433"/>
      <c r="AS56" s="444">
        <v>1</v>
      </c>
    </row>
    <row r="57" spans="1:45" s="1430" customFormat="1" ht="1.1499999999999999" customHeight="1">
      <c r="A57" s="1102"/>
      <c r="B57" s="1102"/>
      <c r="C57" s="1102"/>
      <c r="D57" s="1102"/>
      <c r="E57" s="1131"/>
      <c r="F57" s="1102"/>
      <c r="G57" s="1102"/>
      <c r="H57" s="1102"/>
      <c r="I57" s="1102"/>
      <c r="J57" s="1102"/>
      <c r="K57" s="1102"/>
      <c r="L57" s="1127"/>
      <c r="M57" s="1109"/>
      <c r="N57" s="1109"/>
      <c r="P57" s="1104"/>
      <c r="Q57" s="1105"/>
      <c r="R57" s="1104"/>
      <c r="S57" s="1110"/>
      <c r="T57" s="1113" t="s">
        <v>532</v>
      </c>
      <c r="U57" s="1112"/>
      <c r="V57" s="1112"/>
      <c r="W57" s="1112"/>
      <c r="X57" s="1112"/>
      <c r="Y57" s="1112"/>
      <c r="Z57" s="1112"/>
      <c r="AA57" s="1112"/>
      <c r="AB57" s="1112"/>
      <c r="AC57" s="1112"/>
      <c r="AD57" s="1112"/>
      <c r="AE57" s="1112"/>
      <c r="AF57" s="1112"/>
      <c r="AG57" s="1112"/>
      <c r="AH57" s="1112"/>
      <c r="AI57" s="1112"/>
      <c r="AJ57" s="1112"/>
      <c r="AK57" s="1112"/>
      <c r="AL57" s="1112"/>
      <c r="AM57" s="1112"/>
      <c r="AO57" s="688"/>
      <c r="AP57" s="688" t="str">
        <f t="shared" si="1"/>
        <v>Добавить наименование тарифа</v>
      </c>
      <c r="AQ57" s="688"/>
      <c r="AR57" s="688"/>
      <c r="AS57" s="451">
        <v>1</v>
      </c>
    </row>
    <row r="58" spans="1:45" ht="11.45" customHeight="1">
      <c r="M58" s="961"/>
      <c r="N58" s="961"/>
      <c r="O58" s="469"/>
      <c r="P58" s="956"/>
      <c r="Q58" s="956"/>
      <c r="R58" s="956"/>
      <c r="S58" s="956"/>
      <c r="AN58" s="956"/>
      <c r="AO58" s="956"/>
      <c r="AP58" s="956"/>
      <c r="AQ58" s="956"/>
      <c r="AR58" s="956"/>
      <c r="AS58" s="956">
        <v>11</v>
      </c>
    </row>
    <row r="59" spans="1:45" ht="23.25" customHeight="1">
      <c r="O59" s="469"/>
      <c r="S59" s="1041"/>
      <c r="T59" s="2394"/>
      <c r="U59" s="2394"/>
      <c r="V59" s="2394"/>
      <c r="W59" s="2394"/>
      <c r="X59" s="2394"/>
      <c r="Y59" s="2394"/>
      <c r="Z59" s="2394"/>
      <c r="AA59" s="2394"/>
      <c r="AB59" s="2394"/>
      <c r="AC59" s="2394"/>
      <c r="AD59" s="2394"/>
      <c r="AE59" s="2394"/>
      <c r="AF59" s="2394"/>
      <c r="AG59" s="2394"/>
      <c r="AH59" s="2394"/>
      <c r="AI59" s="2394"/>
      <c r="AJ59" s="2394"/>
      <c r="AK59" s="2394"/>
      <c r="AL59" s="2394"/>
      <c r="AM59" s="2394"/>
      <c r="AS59" s="956">
        <v>22</v>
      </c>
    </row>
    <row r="60" spans="1:45" ht="30.4" customHeight="1">
      <c r="O60" s="469"/>
      <c r="T60" s="2394"/>
      <c r="U60" s="2394"/>
      <c r="V60" s="2394"/>
      <c r="W60" s="2394"/>
      <c r="X60" s="2394"/>
      <c r="Y60" s="2394"/>
      <c r="Z60" s="2394"/>
      <c r="AA60" s="2394"/>
      <c r="AB60" s="2394"/>
      <c r="AC60" s="2394"/>
      <c r="AD60" s="2394"/>
      <c r="AE60" s="2394"/>
      <c r="AF60" s="2394"/>
      <c r="AG60" s="2394"/>
      <c r="AH60" s="2394"/>
      <c r="AI60" s="2394"/>
      <c r="AJ60" s="2394"/>
      <c r="AK60" s="2394"/>
      <c r="AL60" s="2394"/>
      <c r="AM60" s="2394"/>
      <c r="AS60" s="956">
        <v>29</v>
      </c>
    </row>
    <row r="61" spans="1:45" ht="42" customHeight="1">
      <c r="O61" s="469"/>
      <c r="T61" s="2394"/>
      <c r="U61" s="2394"/>
      <c r="V61" s="2394"/>
      <c r="W61" s="2394"/>
      <c r="X61" s="2394"/>
      <c r="Y61" s="2394"/>
      <c r="Z61" s="2394"/>
      <c r="AA61" s="2394"/>
      <c r="AB61" s="2394"/>
      <c r="AC61" s="2394"/>
      <c r="AD61" s="2394"/>
      <c r="AE61" s="2394"/>
      <c r="AF61" s="2394"/>
      <c r="AG61" s="2394"/>
      <c r="AH61" s="2394"/>
      <c r="AI61" s="2394"/>
      <c r="AJ61" s="2394"/>
      <c r="AK61" s="2394"/>
      <c r="AL61" s="2394"/>
      <c r="AM61" s="2394"/>
      <c r="AS61" s="956">
        <v>40</v>
      </c>
    </row>
    <row r="62" spans="1:45" ht="14.65" customHeight="1">
      <c r="O62" s="469"/>
      <c r="AS62" s="956">
        <v>14</v>
      </c>
    </row>
    <row r="63" spans="1:45" ht="21" customHeight="1">
      <c r="O63" s="469"/>
      <c r="S63" s="1041"/>
      <c r="T63" s="2308"/>
      <c r="U63" s="2394"/>
      <c r="V63" s="2394"/>
      <c r="W63" s="2394"/>
      <c r="X63" s="2394"/>
      <c r="Y63" s="2394"/>
      <c r="Z63" s="2394"/>
      <c r="AA63" s="2394"/>
      <c r="AB63" s="2394"/>
      <c r="AC63" s="2394"/>
      <c r="AD63" s="2394"/>
      <c r="AE63" s="2394"/>
      <c r="AF63" s="2394"/>
      <c r="AG63" s="2394"/>
      <c r="AH63" s="2394"/>
      <c r="AI63" s="2394"/>
      <c r="AJ63" s="2394"/>
      <c r="AK63" s="2394"/>
      <c r="AL63" s="2394"/>
      <c r="AM63" s="2394"/>
      <c r="AS63" s="956">
        <v>20</v>
      </c>
    </row>
    <row r="64" spans="1:45" ht="29.25" customHeight="1">
      <c r="O64" s="469"/>
      <c r="T64" s="2394"/>
      <c r="U64" s="2394"/>
      <c r="V64" s="2394"/>
      <c r="W64" s="2394"/>
      <c r="X64" s="2394"/>
      <c r="Y64" s="2394"/>
      <c r="Z64" s="2394"/>
      <c r="AA64" s="2394"/>
      <c r="AB64" s="2394"/>
      <c r="AC64" s="2394"/>
      <c r="AD64" s="2394"/>
      <c r="AE64" s="2394"/>
      <c r="AF64" s="2394"/>
      <c r="AG64" s="2394"/>
      <c r="AH64" s="2394"/>
      <c r="AI64" s="2394"/>
      <c r="AJ64" s="2394"/>
      <c r="AK64" s="2394"/>
      <c r="AL64" s="2394"/>
      <c r="AM64" s="2394"/>
      <c r="AS64" s="956">
        <v>28</v>
      </c>
    </row>
    <row r="65" spans="1:45" ht="35.65" customHeight="1">
      <c r="T65" s="2394"/>
      <c r="U65" s="2394"/>
      <c r="V65" s="2394"/>
      <c r="W65" s="2394"/>
      <c r="X65" s="2394"/>
      <c r="Y65" s="2394"/>
      <c r="Z65" s="2394"/>
      <c r="AA65" s="2394"/>
      <c r="AB65" s="2394"/>
      <c r="AC65" s="2394"/>
      <c r="AD65" s="2394"/>
      <c r="AE65" s="2394"/>
      <c r="AF65" s="2394"/>
      <c r="AG65" s="2394"/>
      <c r="AH65" s="2394"/>
      <c r="AI65" s="2394"/>
      <c r="AJ65" s="2394"/>
      <c r="AK65" s="2394"/>
      <c r="AL65" s="2394"/>
      <c r="AM65" s="2394"/>
      <c r="AS65" s="956">
        <v>34</v>
      </c>
    </row>
    <row r="66" spans="1:45" ht="22.5" hidden="1" customHeight="1">
      <c r="A66" s="961" t="s">
        <v>69</v>
      </c>
      <c r="B66" s="961">
        <v>0</v>
      </c>
      <c r="C66" s="961">
        <v>0</v>
      </c>
      <c r="D66" s="961">
        <v>0</v>
      </c>
      <c r="E66" s="961">
        <v>0</v>
      </c>
      <c r="F66" s="961">
        <v>0</v>
      </c>
      <c r="G66" s="961">
        <v>0</v>
      </c>
      <c r="H66" s="961">
        <v>0</v>
      </c>
      <c r="I66" s="961">
        <v>0</v>
      </c>
      <c r="J66" s="961">
        <v>0</v>
      </c>
      <c r="K66" s="961">
        <v>0</v>
      </c>
      <c r="L66" s="1117">
        <v>0</v>
      </c>
      <c r="M66" s="1150">
        <v>0</v>
      </c>
      <c r="N66" s="1150">
        <v>0</v>
      </c>
      <c r="O66" s="1150">
        <v>0</v>
      </c>
      <c r="P66" s="1116">
        <v>0</v>
      </c>
      <c r="Q66" s="278">
        <v>3</v>
      </c>
      <c r="R66" s="278">
        <v>3</v>
      </c>
      <c r="S66" s="512">
        <v>12</v>
      </c>
      <c r="T66" s="956">
        <v>31</v>
      </c>
      <c r="U66" s="956">
        <v>0</v>
      </c>
      <c r="V66" s="956">
        <v>0</v>
      </c>
      <c r="W66" s="956">
        <v>0</v>
      </c>
      <c r="X66" s="956">
        <v>0</v>
      </c>
      <c r="Y66" s="956">
        <v>0</v>
      </c>
      <c r="Z66" s="956">
        <v>0</v>
      </c>
      <c r="AA66" s="956">
        <v>0</v>
      </c>
      <c r="AB66" s="956">
        <v>0</v>
      </c>
      <c r="AC66" s="956">
        <v>0</v>
      </c>
      <c r="AD66" s="956">
        <v>24</v>
      </c>
      <c r="AE66" s="956">
        <v>0</v>
      </c>
      <c r="AF66" s="956">
        <v>24</v>
      </c>
      <c r="AG66" s="956">
        <v>24</v>
      </c>
      <c r="AH66" s="956">
        <v>11</v>
      </c>
      <c r="AI66" s="956">
        <v>3</v>
      </c>
      <c r="AJ66" s="956">
        <v>11</v>
      </c>
      <c r="AK66" s="956">
        <v>0</v>
      </c>
      <c r="AL66" s="956">
        <v>4</v>
      </c>
      <c r="AM66" s="956">
        <v>115</v>
      </c>
      <c r="AN66" s="444">
        <v>10</v>
      </c>
      <c r="AO66" s="444">
        <v>10</v>
      </c>
      <c r="AP66" s="444">
        <v>10</v>
      </c>
      <c r="AQ66" s="444">
        <v>10</v>
      </c>
      <c r="AR66" s="444">
        <v>10</v>
      </c>
      <c r="AS66" s="956">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54" hidden="1"/>
    <col min="2" max="2" width="11" style="1154" hidden="1" customWidth="1"/>
    <col min="3" max="3" width="10.5703125" style="1154" hidden="1"/>
    <col min="4" max="4" width="11.85546875" style="1154" hidden="1" customWidth="1"/>
    <col min="5" max="5" width="10" style="1154" hidden="1" customWidth="1"/>
    <col min="6" max="6" width="8.7109375" style="1154" hidden="1" customWidth="1"/>
    <col min="7" max="7" width="7.5703125" style="1154" hidden="1" customWidth="1"/>
    <col min="8" max="8" width="11.42578125" style="1154" hidden="1" customWidth="1"/>
    <col min="9" max="9" width="12" style="1154" hidden="1" customWidth="1"/>
    <col min="10" max="10" width="9.85546875" style="1154" hidden="1" customWidth="1"/>
    <col min="11" max="11" width="11.42578125" style="1154" hidden="1" customWidth="1"/>
    <col min="12" max="12" width="19.140625" style="1866" hidden="1" customWidth="1"/>
    <col min="13" max="14" width="12.28515625" style="1535" hidden="1" customWidth="1"/>
    <col min="15" max="15" width="23.42578125" style="1535" hidden="1" customWidth="1"/>
    <col min="16" max="16" width="3.7109375" style="1857" hidden="1" customWidth="1"/>
    <col min="17" max="18" width="3" style="278" customWidth="1"/>
    <col min="19" max="19" width="12" style="1858" customWidth="1"/>
    <col min="20" max="20" width="31" style="1423" customWidth="1"/>
    <col min="21" max="21" width="0.140625" style="1423" customWidth="1"/>
    <col min="22" max="22" width="24.7109375" style="1423" hidden="1" customWidth="1"/>
    <col min="23" max="23" width="0.140625" style="1423" hidden="1" customWidth="1"/>
    <col min="24" max="25" width="24.7109375" style="1423" hidden="1" customWidth="1"/>
    <col min="26" max="26" width="11.7109375" style="1423" hidden="1" customWidth="1"/>
    <col min="27" max="27" width="3.7109375" style="1423" hidden="1" customWidth="1"/>
    <col min="28" max="28" width="11.7109375" style="1423" hidden="1" customWidth="1"/>
    <col min="29" max="29" width="8.5703125" style="1423" hidden="1" customWidth="1"/>
    <col min="30" max="30" width="24.7109375" style="1423" customWidth="1"/>
    <col min="31" max="31" width="0.140625" style="1423" customWidth="1"/>
    <col min="32" max="33" width="24" style="1423" customWidth="1"/>
    <col min="34" max="34" width="11" style="1423" customWidth="1"/>
    <col min="35" max="35" width="3.7109375" style="1423" customWidth="1"/>
    <col min="36" max="36" width="11" style="1423" customWidth="1"/>
    <col min="37" max="37" width="8.5703125" style="1423" hidden="1" customWidth="1"/>
    <col min="38" max="38" width="4" style="1423" customWidth="1"/>
    <col min="39" max="39" width="115" style="1423" customWidth="1"/>
    <col min="40" max="44" width="10" style="1430" customWidth="1"/>
    <col min="45" max="45" width="10.5703125" style="1423" hidden="1"/>
  </cols>
  <sheetData>
    <row r="1" spans="1:45" ht="22.5" hidden="1" customHeight="1">
      <c r="Y1" s="261"/>
      <c r="Z1" s="261"/>
      <c r="AG1" s="261"/>
      <c r="AH1" s="261"/>
      <c r="AS1" s="956" t="s">
        <v>1</v>
      </c>
    </row>
    <row r="2" spans="1:45" ht="21" hidden="1" customHeight="1">
      <c r="A2" s="1151"/>
      <c r="B2" s="1151"/>
      <c r="C2" s="1151"/>
      <c r="D2" s="1151"/>
      <c r="E2" s="2395">
        <v>1</v>
      </c>
      <c r="F2" s="1151"/>
      <c r="G2" s="1151"/>
      <c r="H2" s="1151"/>
      <c r="I2" s="1151"/>
      <c r="J2" s="1151"/>
      <c r="K2" s="1151"/>
      <c r="L2" s="1152"/>
      <c r="M2" s="1153"/>
      <c r="N2" s="1153"/>
      <c r="O2" s="1153"/>
      <c r="P2" s="294"/>
      <c r="Q2" s="293"/>
      <c r="R2" s="288"/>
      <c r="S2" s="1124" t="e">
        <f>INDEX(PT_DIFFERENTIATION_NUM_NTAR,MATCH(A2,PT_DIFFERENTIATION_NTAR_ID,0))</f>
        <v>#N/A</v>
      </c>
      <c r="T2" s="232" t="s">
        <v>214</v>
      </c>
      <c r="U2" s="234"/>
      <c r="V2" s="2389"/>
      <c r="W2" s="2390"/>
      <c r="X2" s="2390"/>
      <c r="Y2" s="2390"/>
      <c r="Z2" s="2390"/>
      <c r="AA2" s="2390"/>
      <c r="AB2" s="2390"/>
      <c r="AC2" s="2391"/>
      <c r="AD2" s="2389" t="e">
        <f>INDEX(PT_DIFFERENTIATION_NTAR,MATCH(A2,PT_DIFFERENTIATION_NTAR_ID,0))</f>
        <v>#N/A</v>
      </c>
      <c r="AE2" s="2390"/>
      <c r="AF2" s="2390"/>
      <c r="AG2" s="2390"/>
      <c r="AH2" s="2390"/>
      <c r="AI2" s="2390"/>
      <c r="AJ2" s="2390"/>
      <c r="AK2" s="2390"/>
      <c r="AL2" s="2391"/>
      <c r="AM2" s="1046" t="s">
        <v>480</v>
      </c>
      <c r="AO2" s="433"/>
      <c r="AP2" s="433" t="str">
        <f t="shared" ref="AP2:AP15" si="0">IF(T2="","",T2)</f>
        <v>Наименование тарифа</v>
      </c>
      <c r="AQ2" s="433"/>
      <c r="AR2" s="433"/>
      <c r="AS2" s="956">
        <v>0</v>
      </c>
    </row>
    <row r="3" spans="1:45" ht="21" hidden="1" customHeight="1">
      <c r="A3" s="1151"/>
      <c r="B3" s="1151"/>
      <c r="C3" s="1151"/>
      <c r="D3" s="1151"/>
      <c r="E3" s="2396"/>
      <c r="F3" s="2395">
        <v>1</v>
      </c>
      <c r="G3" s="1151"/>
      <c r="H3" s="1151"/>
      <c r="I3" s="1151"/>
      <c r="J3" s="1151"/>
      <c r="K3" s="1151"/>
      <c r="L3" s="1152"/>
      <c r="M3" s="1153"/>
      <c r="N3" s="1153"/>
      <c r="O3" s="1153"/>
      <c r="P3" s="1120"/>
      <c r="Q3" s="285"/>
      <c r="R3" s="286"/>
      <c r="S3" s="1124" t="e">
        <f>INDEX(PT_DIFFERENTIATION_NUM_TER,MATCH(B3,PT_DIFFERENTIATION_TER_ID,0))</f>
        <v>#N/A</v>
      </c>
      <c r="T3" s="242" t="s">
        <v>481</v>
      </c>
      <c r="U3" s="234"/>
      <c r="V3" s="2389"/>
      <c r="W3" s="2390"/>
      <c r="X3" s="2390"/>
      <c r="Y3" s="2390"/>
      <c r="Z3" s="2390"/>
      <c r="AA3" s="2390"/>
      <c r="AB3" s="2390"/>
      <c r="AC3" s="2391"/>
      <c r="AD3" s="2389" t="e">
        <f>INDEX(PT_DIFFERENTIATION_TER,MATCH(B3,PT_DIFFERENTIATION_TER_ID,0))</f>
        <v>#N/A</v>
      </c>
      <c r="AE3" s="2390"/>
      <c r="AF3" s="2390"/>
      <c r="AG3" s="2390"/>
      <c r="AH3" s="2390"/>
      <c r="AI3" s="2390"/>
      <c r="AJ3" s="2390"/>
      <c r="AK3" s="2390"/>
      <c r="AL3" s="2391"/>
      <c r="AM3" s="1046" t="s">
        <v>482</v>
      </c>
      <c r="AO3" s="433"/>
      <c r="AP3" s="433" t="str">
        <f t="shared" si="0"/>
        <v>Территория действия тарифа</v>
      </c>
      <c r="AQ3" s="433"/>
      <c r="AR3" s="433"/>
      <c r="AS3" s="956">
        <v>0</v>
      </c>
    </row>
    <row r="4" spans="1:45" ht="23.25" hidden="1" customHeight="1">
      <c r="A4" s="1151"/>
      <c r="B4" s="1151"/>
      <c r="C4" s="1151"/>
      <c r="D4" s="1151"/>
      <c r="E4" s="2396"/>
      <c r="F4" s="2396"/>
      <c r="G4" s="2395">
        <v>1</v>
      </c>
      <c r="H4" s="1151"/>
      <c r="I4" s="1151"/>
      <c r="J4" s="1151"/>
      <c r="K4" s="1151"/>
      <c r="L4" s="1152"/>
      <c r="M4" s="1153"/>
      <c r="N4" s="1153"/>
      <c r="O4" s="1153"/>
      <c r="P4" s="287"/>
      <c r="Q4" s="285"/>
      <c r="R4" s="286"/>
      <c r="S4" s="1124" t="e">
        <f>INDEX(PT_DIFFERENTIATION_NUM_CS,MATCH(C4,PT_DIFFERENTIATION_CS_ID,0))</f>
        <v>#N/A</v>
      </c>
      <c r="T4" s="243" t="s">
        <v>483</v>
      </c>
      <c r="U4" s="234"/>
      <c r="V4" s="2389"/>
      <c r="W4" s="2390"/>
      <c r="X4" s="2390"/>
      <c r="Y4" s="2390"/>
      <c r="Z4" s="2390"/>
      <c r="AA4" s="2390"/>
      <c r="AB4" s="2390"/>
      <c r="AC4" s="2391"/>
      <c r="AD4" s="2389" t="e">
        <f>INDEX(PT_DIFFERENTIATION_CS,MATCH(C4,PT_DIFFERENTIATION_CS_ID,0))</f>
        <v>#N/A</v>
      </c>
      <c r="AE4" s="2390"/>
      <c r="AF4" s="2390"/>
      <c r="AG4" s="2390"/>
      <c r="AH4" s="2390"/>
      <c r="AI4" s="2390"/>
      <c r="AJ4" s="2390"/>
      <c r="AK4" s="2390"/>
      <c r="AL4" s="2391"/>
      <c r="AM4" s="1046" t="s">
        <v>484</v>
      </c>
      <c r="AO4" s="433"/>
      <c r="AP4" s="433" t="str">
        <f t="shared" si="0"/>
        <v xml:space="preserve">Наименование системы теплоснабжения </v>
      </c>
      <c r="AQ4" s="433"/>
      <c r="AR4" s="433"/>
      <c r="AS4" s="956">
        <v>0</v>
      </c>
    </row>
    <row r="5" spans="1:45" ht="21" hidden="1" customHeight="1">
      <c r="A5" s="1151"/>
      <c r="B5" s="1151"/>
      <c r="C5" s="1151"/>
      <c r="D5" s="1151"/>
      <c r="E5" s="2396"/>
      <c r="F5" s="2396"/>
      <c r="G5" s="2396"/>
      <c r="H5" s="2395">
        <v>1</v>
      </c>
      <c r="I5" s="1151"/>
      <c r="J5" s="1151"/>
      <c r="K5" s="1151"/>
      <c r="L5" s="1152"/>
      <c r="M5" s="1153"/>
      <c r="N5" s="1153"/>
      <c r="O5" s="1153"/>
      <c r="P5" s="287"/>
      <c r="Q5" s="285"/>
      <c r="R5" s="286"/>
      <c r="S5" s="1124" t="e">
        <f>INDEX(PT_DIFFERENTIATION_NUM_IST_TE,MATCH(D5,PT_DIFFERENTIATION_IST_TE_ID,0))</f>
        <v>#N/A</v>
      </c>
      <c r="T5" s="244" t="s">
        <v>485</v>
      </c>
      <c r="U5" s="234"/>
      <c r="V5" s="2389"/>
      <c r="W5" s="2390"/>
      <c r="X5" s="2390"/>
      <c r="Y5" s="2390"/>
      <c r="Z5" s="2390"/>
      <c r="AA5" s="2390"/>
      <c r="AB5" s="2390"/>
      <c r="AC5" s="2391"/>
      <c r="AD5" s="2389" t="e">
        <f>INDEX(PT_DIFFERENTIATION_IST_TE,MATCH(D5,PT_DIFFERENTIATION_IST_TE_ID,0))</f>
        <v>#N/A</v>
      </c>
      <c r="AE5" s="2390"/>
      <c r="AF5" s="2390"/>
      <c r="AG5" s="2390"/>
      <c r="AH5" s="2390"/>
      <c r="AI5" s="2390"/>
      <c r="AJ5" s="2390"/>
      <c r="AK5" s="2390"/>
      <c r="AL5" s="2391"/>
      <c r="AM5" s="1046" t="s">
        <v>486</v>
      </c>
      <c r="AO5" s="433"/>
      <c r="AP5" s="433" t="str">
        <f t="shared" si="0"/>
        <v xml:space="preserve">Источник тепловой энергии  </v>
      </c>
      <c r="AQ5" s="433"/>
      <c r="AR5" s="433"/>
      <c r="AS5" s="956">
        <v>0</v>
      </c>
    </row>
    <row r="6" spans="1:45" ht="14.25" hidden="1" customHeight="1">
      <c r="A6" s="1151"/>
      <c r="B6" s="1151"/>
      <c r="C6" s="1151"/>
      <c r="D6" s="1151"/>
      <c r="E6" s="2396"/>
      <c r="F6" s="2396"/>
      <c r="G6" s="2396"/>
      <c r="H6" s="2396"/>
      <c r="I6" s="2397" t="e">
        <f>S5&amp;".1"</f>
        <v>#N/A</v>
      </c>
      <c r="J6" s="1151"/>
      <c r="K6" s="1151"/>
      <c r="L6" s="1152" t="s">
        <v>487</v>
      </c>
      <c r="M6" s="469"/>
      <c r="P6" s="2399">
        <v>1</v>
      </c>
      <c r="Q6" s="1119"/>
      <c r="R6" s="289"/>
      <c r="S6" s="881"/>
      <c r="T6" s="1171"/>
      <c r="U6" s="1172"/>
      <c r="V6" s="2426"/>
      <c r="W6" s="2427"/>
      <c r="X6" s="2427"/>
      <c r="Y6" s="2427"/>
      <c r="Z6" s="2427"/>
      <c r="AA6" s="2427"/>
      <c r="AB6" s="2427"/>
      <c r="AC6" s="2428"/>
      <c r="AD6" s="2426"/>
      <c r="AE6" s="2427"/>
      <c r="AF6" s="2427"/>
      <c r="AG6" s="2427"/>
      <c r="AH6" s="2427"/>
      <c r="AI6" s="2427"/>
      <c r="AJ6" s="2427"/>
      <c r="AK6" s="2427"/>
      <c r="AL6" s="2428"/>
      <c r="AM6" s="1173"/>
      <c r="AO6" s="433"/>
      <c r="AP6" s="433" t="str">
        <f t="shared" si="0"/>
        <v/>
      </c>
      <c r="AQ6" s="433"/>
      <c r="AR6" s="433"/>
      <c r="AS6" s="956">
        <v>0</v>
      </c>
    </row>
    <row r="7" spans="1:45" ht="21" hidden="1" customHeight="1">
      <c r="A7" s="1151"/>
      <c r="B7" s="1151"/>
      <c r="C7" s="1151"/>
      <c r="D7" s="1151"/>
      <c r="E7" s="2396"/>
      <c r="F7" s="2396"/>
      <c r="G7" s="2396"/>
      <c r="H7" s="2396"/>
      <c r="I7" s="2398"/>
      <c r="J7" s="2397" t="e">
        <f>I6&amp;".1"</f>
        <v>#N/A</v>
      </c>
      <c r="K7" s="1151"/>
      <c r="L7" s="1152" t="s">
        <v>490</v>
      </c>
      <c r="M7" s="469"/>
      <c r="N7" s="1154"/>
      <c r="P7" s="2399"/>
      <c r="Q7" s="2399">
        <v>1</v>
      </c>
      <c r="R7" s="290"/>
      <c r="S7" s="1124" t="e">
        <f>$J7</f>
        <v>#N/A</v>
      </c>
      <c r="T7" s="220" t="s">
        <v>491</v>
      </c>
      <c r="U7" s="234"/>
      <c r="V7" s="2383"/>
      <c r="W7" s="2384"/>
      <c r="X7" s="2384"/>
      <c r="Y7" s="2384"/>
      <c r="Z7" s="2384"/>
      <c r="AA7" s="2384"/>
      <c r="AB7" s="2384"/>
      <c r="AC7" s="2385"/>
      <c r="AD7" s="2383"/>
      <c r="AE7" s="2384"/>
      <c r="AF7" s="2384"/>
      <c r="AG7" s="2384"/>
      <c r="AH7" s="2384"/>
      <c r="AI7" s="2384"/>
      <c r="AJ7" s="2384"/>
      <c r="AK7" s="2384"/>
      <c r="AL7" s="2385"/>
      <c r="AM7" s="1046" t="s">
        <v>492</v>
      </c>
      <c r="AO7" s="433"/>
      <c r="AP7" s="433" t="str">
        <f t="shared" si="0"/>
        <v>Группа потребителей</v>
      </c>
      <c r="AQ7" s="433"/>
      <c r="AR7" s="433"/>
      <c r="AS7" s="956">
        <v>0</v>
      </c>
    </row>
    <row r="8" spans="1:45" ht="21" hidden="1" customHeight="1">
      <c r="A8" s="1151"/>
      <c r="B8" s="1151"/>
      <c r="C8" s="1151"/>
      <c r="D8" s="1151"/>
      <c r="E8" s="2396"/>
      <c r="F8" s="2396"/>
      <c r="G8" s="2396"/>
      <c r="H8" s="2396"/>
      <c r="I8" s="2398"/>
      <c r="J8" s="2398"/>
      <c r="K8" s="2397" t="e">
        <f>J7&amp;".1"</f>
        <v>#N/A</v>
      </c>
      <c r="L8" s="1152" t="s">
        <v>493</v>
      </c>
      <c r="M8" s="469"/>
      <c r="N8" s="1154"/>
      <c r="O8" s="1154"/>
      <c r="P8" s="2399"/>
      <c r="Q8" s="2399"/>
      <c r="R8" s="290">
        <v>1</v>
      </c>
      <c r="S8" s="1124" t="e">
        <f>$K8</f>
        <v>#N/A</v>
      </c>
      <c r="T8" s="1135"/>
      <c r="U8" s="234"/>
      <c r="V8" s="658"/>
      <c r="W8" s="259"/>
      <c r="X8" s="658"/>
      <c r="Y8" s="1045"/>
      <c r="Z8" s="2400"/>
      <c r="AA8" s="2276" t="s">
        <v>52</v>
      </c>
      <c r="AB8" s="2400"/>
      <c r="AC8" s="2276" t="s">
        <v>52</v>
      </c>
      <c r="AD8" s="658"/>
      <c r="AE8" s="259"/>
      <c r="AF8" s="658"/>
      <c r="AG8" s="1045"/>
      <c r="AH8" s="2400"/>
      <c r="AI8" s="2276" t="s">
        <v>52</v>
      </c>
      <c r="AJ8" s="2400"/>
      <c r="AK8" s="2276" t="s">
        <v>52</v>
      </c>
      <c r="AL8" s="259"/>
      <c r="AM8" s="2418" t="s">
        <v>494</v>
      </c>
      <c r="AN8" s="444" t="e">
        <f ca="1">STRCHECKDATE(V9:AL9)</f>
        <v>#NAME?</v>
      </c>
      <c r="AO8" s="433"/>
      <c r="AP8" s="433" t="str">
        <f t="shared" si="0"/>
        <v/>
      </c>
      <c r="AQ8" s="433"/>
      <c r="AR8" s="433"/>
      <c r="AS8" s="956">
        <v>0</v>
      </c>
    </row>
    <row r="9" spans="1:45" ht="14.25" hidden="1" customHeight="1">
      <c r="A9" s="1151"/>
      <c r="B9" s="1151"/>
      <c r="C9" s="1151"/>
      <c r="D9" s="1151"/>
      <c r="E9" s="2396"/>
      <c r="F9" s="2396"/>
      <c r="G9" s="2396"/>
      <c r="H9" s="2396"/>
      <c r="I9" s="2398"/>
      <c r="J9" s="2398"/>
      <c r="K9" s="2397"/>
      <c r="L9" s="1152"/>
      <c r="M9" s="469"/>
      <c r="N9" s="1154"/>
      <c r="O9" s="1154"/>
      <c r="P9" s="2399"/>
      <c r="Q9" s="2399"/>
      <c r="R9" s="290"/>
      <c r="S9" s="1130"/>
      <c r="T9" s="234"/>
      <c r="U9" s="234"/>
      <c r="V9" s="259"/>
      <c r="W9" s="259"/>
      <c r="X9" s="259"/>
      <c r="Y9" s="262" t="str">
        <f>Z8&amp;"-"&amp;AB8</f>
        <v>-</v>
      </c>
      <c r="Z9" s="2401"/>
      <c r="AA9" s="2276"/>
      <c r="AB9" s="2401"/>
      <c r="AC9" s="2276"/>
      <c r="AD9" s="259"/>
      <c r="AE9" s="259"/>
      <c r="AF9" s="259"/>
      <c r="AG9" s="262" t="str">
        <f>AH8&amp;"-"&amp;AJ8</f>
        <v>-</v>
      </c>
      <c r="AH9" s="2401"/>
      <c r="AI9" s="2276"/>
      <c r="AJ9" s="2401"/>
      <c r="AK9" s="2276"/>
      <c r="AL9" s="259"/>
      <c r="AM9" s="2419"/>
      <c r="AO9" s="433"/>
      <c r="AP9" s="433" t="str">
        <f t="shared" si="0"/>
        <v/>
      </c>
      <c r="AQ9" s="433"/>
      <c r="AR9" s="433"/>
      <c r="AS9" s="956">
        <v>0</v>
      </c>
    </row>
    <row r="10" spans="1:45" ht="15" hidden="1" customHeight="1">
      <c r="A10" s="1151"/>
      <c r="B10" s="1151"/>
      <c r="C10" s="1151"/>
      <c r="D10" s="1151"/>
      <c r="E10" s="2396"/>
      <c r="F10" s="2396"/>
      <c r="G10" s="2396"/>
      <c r="H10" s="2396"/>
      <c r="I10" s="2398"/>
      <c r="J10" s="2397"/>
      <c r="K10" s="1151"/>
      <c r="L10" s="1152"/>
      <c r="M10" s="469"/>
      <c r="N10" s="1154"/>
      <c r="P10" s="2399"/>
      <c r="Q10" s="2399"/>
      <c r="R10" s="289"/>
      <c r="S10" s="1066"/>
      <c r="T10" s="221" t="s">
        <v>495</v>
      </c>
      <c r="U10" s="300"/>
      <c r="V10" s="300"/>
      <c r="W10" s="300"/>
      <c r="X10" s="300"/>
      <c r="Y10" s="300"/>
      <c r="Z10" s="300"/>
      <c r="AA10" s="300"/>
      <c r="AB10" s="300"/>
      <c r="AC10" s="300"/>
      <c r="AD10" s="300"/>
      <c r="AE10" s="300"/>
      <c r="AF10" s="300"/>
      <c r="AG10" s="300"/>
      <c r="AH10" s="300"/>
      <c r="AI10" s="300"/>
      <c r="AJ10" s="300"/>
      <c r="AK10" s="300"/>
      <c r="AL10" s="258"/>
      <c r="AM10" s="2420"/>
      <c r="AO10" s="433"/>
      <c r="AP10" s="433" t="str">
        <f t="shared" si="0"/>
        <v>Добавить вид теплоносителя (параметры теплоносителя)</v>
      </c>
      <c r="AQ10" s="433"/>
      <c r="AR10" s="433"/>
      <c r="AS10" s="956">
        <v>0</v>
      </c>
    </row>
    <row r="11" spans="1:45" ht="11.25" hidden="1" customHeight="1">
      <c r="A11" s="1151"/>
      <c r="B11" s="1151"/>
      <c r="C11" s="1151"/>
      <c r="D11" s="1151"/>
      <c r="E11" s="2396"/>
      <c r="F11" s="2396"/>
      <c r="G11" s="2396"/>
      <c r="H11" s="2396"/>
      <c r="I11" s="2397"/>
      <c r="J11" s="1151"/>
      <c r="K11" s="1151"/>
      <c r="L11" s="1152"/>
      <c r="M11" s="469"/>
      <c r="P11" s="2399"/>
      <c r="Q11" s="1119"/>
      <c r="R11" s="289"/>
      <c r="S11" s="1066"/>
      <c r="T11" s="298" t="s">
        <v>496</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956">
        <v>0</v>
      </c>
    </row>
    <row r="12" spans="1:45" ht="14.25" hidden="1" customHeight="1">
      <c r="A12" s="1151"/>
      <c r="B12" s="1151"/>
      <c r="C12" s="1151"/>
      <c r="D12" s="1151"/>
      <c r="E12" s="2396"/>
      <c r="F12" s="2396"/>
      <c r="G12" s="2396"/>
      <c r="H12" s="2395"/>
      <c r="I12" s="1151"/>
      <c r="J12" s="1151"/>
      <c r="K12" s="1151"/>
      <c r="L12" s="1152"/>
      <c r="M12" s="1153"/>
      <c r="N12" s="1153"/>
      <c r="O12" s="469"/>
      <c r="P12" s="293"/>
      <c r="Q12" s="308"/>
      <c r="R12" s="288"/>
      <c r="S12" s="1174"/>
      <c r="T12" s="1175"/>
      <c r="U12" s="1176"/>
      <c r="V12" s="1176"/>
      <c r="W12" s="1176"/>
      <c r="X12" s="1176"/>
      <c r="Y12" s="1176"/>
      <c r="Z12" s="1176"/>
      <c r="AA12" s="1176"/>
      <c r="AB12" s="1176"/>
      <c r="AC12" s="1176"/>
      <c r="AD12" s="1176"/>
      <c r="AE12" s="1176"/>
      <c r="AF12" s="1176"/>
      <c r="AG12" s="1176"/>
      <c r="AH12" s="1176"/>
      <c r="AI12" s="1176"/>
      <c r="AJ12" s="1176"/>
      <c r="AK12" s="1176"/>
      <c r="AL12" s="1176"/>
      <c r="AM12" s="1177"/>
      <c r="AO12" s="433"/>
      <c r="AP12" s="433" t="str">
        <f t="shared" si="0"/>
        <v/>
      </c>
      <c r="AQ12" s="433"/>
      <c r="AR12" s="433"/>
      <c r="AS12" s="956">
        <v>0</v>
      </c>
    </row>
    <row r="13" spans="1:45" s="1430" customFormat="1" ht="14.25" hidden="1" customHeight="1">
      <c r="A13" s="1102"/>
      <c r="B13" s="1102"/>
      <c r="C13" s="1102"/>
      <c r="D13" s="1102"/>
      <c r="E13" s="2396"/>
      <c r="F13" s="2396"/>
      <c r="G13" s="2395"/>
      <c r="H13" s="1102"/>
      <c r="I13" s="1102"/>
      <c r="J13" s="1102"/>
      <c r="K13" s="1102"/>
      <c r="L13" s="1127"/>
      <c r="M13" s="1103"/>
      <c r="N13" s="1103"/>
      <c r="P13" s="1104"/>
      <c r="Q13" s="1105"/>
      <c r="R13" s="1104"/>
      <c r="S13" s="1106"/>
      <c r="T13" s="1107" t="s">
        <v>498</v>
      </c>
      <c r="U13" s="1108"/>
      <c r="V13" s="1108"/>
      <c r="W13" s="1108"/>
      <c r="X13" s="1108"/>
      <c r="Y13" s="1108"/>
      <c r="Z13" s="1108"/>
      <c r="AA13" s="1108"/>
      <c r="AB13" s="1108"/>
      <c r="AC13" s="1108"/>
      <c r="AD13" s="1108"/>
      <c r="AE13" s="1108"/>
      <c r="AF13" s="1108"/>
      <c r="AG13" s="1108"/>
      <c r="AH13" s="1108"/>
      <c r="AI13" s="1108"/>
      <c r="AJ13" s="1108"/>
      <c r="AK13" s="1108"/>
      <c r="AL13" s="1108"/>
      <c r="AM13" s="1108"/>
      <c r="AO13" s="688"/>
      <c r="AP13" s="688" t="str">
        <f t="shared" si="0"/>
        <v>Добавить источник для дифференциации</v>
      </c>
      <c r="AQ13" s="688"/>
      <c r="AR13" s="688"/>
      <c r="AS13" s="451">
        <v>0</v>
      </c>
    </row>
    <row r="14" spans="1:45" s="1430" customFormat="1" ht="14.25" hidden="1" customHeight="1">
      <c r="A14" s="1102"/>
      <c r="B14" s="1102"/>
      <c r="C14" s="1102"/>
      <c r="D14" s="1102"/>
      <c r="E14" s="2396"/>
      <c r="F14" s="2395"/>
      <c r="G14" s="1102"/>
      <c r="H14" s="1102"/>
      <c r="I14" s="1102"/>
      <c r="J14" s="1102"/>
      <c r="K14" s="1102"/>
      <c r="L14" s="1127"/>
      <c r="M14" s="1109"/>
      <c r="N14" s="1109"/>
      <c r="P14" s="1104"/>
      <c r="Q14" s="1105"/>
      <c r="R14" s="1104"/>
      <c r="S14" s="1110"/>
      <c r="T14" s="1111" t="s">
        <v>499</v>
      </c>
      <c r="U14" s="1112"/>
      <c r="V14" s="1112"/>
      <c r="W14" s="1112"/>
      <c r="X14" s="1112"/>
      <c r="Y14" s="1112"/>
      <c r="Z14" s="1112"/>
      <c r="AA14" s="1112"/>
      <c r="AB14" s="1112"/>
      <c r="AC14" s="1112"/>
      <c r="AD14" s="1112"/>
      <c r="AE14" s="1112"/>
      <c r="AF14" s="1112"/>
      <c r="AG14" s="1112"/>
      <c r="AH14" s="1112"/>
      <c r="AI14" s="1112"/>
      <c r="AJ14" s="1112"/>
      <c r="AK14" s="1112"/>
      <c r="AL14" s="1112"/>
      <c r="AM14" s="1112"/>
      <c r="AO14" s="688"/>
      <c r="AP14" s="688" t="str">
        <f t="shared" si="0"/>
        <v>Добавить централизованную систему для дифференциации</v>
      </c>
      <c r="AQ14" s="688"/>
      <c r="AR14" s="688"/>
      <c r="AS14" s="451">
        <v>0</v>
      </c>
    </row>
    <row r="15" spans="1:45" s="1430" customFormat="1" ht="14.25" hidden="1" customHeight="1">
      <c r="A15" s="1102"/>
      <c r="B15" s="1102"/>
      <c r="C15" s="1102"/>
      <c r="D15" s="1102"/>
      <c r="E15" s="2395"/>
      <c r="F15" s="1102"/>
      <c r="G15" s="1102"/>
      <c r="H15" s="1102"/>
      <c r="I15" s="1102"/>
      <c r="J15" s="1102"/>
      <c r="K15" s="1102"/>
      <c r="L15" s="1127"/>
      <c r="M15" s="1109"/>
      <c r="N15" s="1109"/>
      <c r="P15" s="1104"/>
      <c r="Q15" s="1105"/>
      <c r="R15" s="1104"/>
      <c r="S15" s="1110"/>
      <c r="T15" s="1113" t="s">
        <v>500</v>
      </c>
      <c r="U15" s="1112"/>
      <c r="V15" s="1112"/>
      <c r="W15" s="1112"/>
      <c r="X15" s="1112"/>
      <c r="Y15" s="1112"/>
      <c r="Z15" s="1112"/>
      <c r="AA15" s="1112"/>
      <c r="AB15" s="1112"/>
      <c r="AC15" s="1112"/>
      <c r="AD15" s="1112"/>
      <c r="AE15" s="1112"/>
      <c r="AF15" s="1112"/>
      <c r="AG15" s="1112"/>
      <c r="AH15" s="1112"/>
      <c r="AI15" s="1112"/>
      <c r="AJ15" s="1112"/>
      <c r="AK15" s="1112"/>
      <c r="AL15" s="1112"/>
      <c r="AM15" s="1112"/>
      <c r="AO15" s="688"/>
      <c r="AP15" s="688" t="str">
        <f t="shared" si="0"/>
        <v>Добавить территорию для дифференциации</v>
      </c>
      <c r="AQ15" s="688"/>
      <c r="AR15" s="688"/>
      <c r="AS15" s="451">
        <v>0</v>
      </c>
    </row>
    <row r="16" spans="1:45" ht="14.25" hidden="1" customHeight="1">
      <c r="AC16" s="261"/>
      <c r="AK16" s="261"/>
      <c r="AS16" s="956">
        <v>0</v>
      </c>
    </row>
    <row r="17" spans="1:45" ht="14.25" hidden="1" customHeight="1">
      <c r="AD17" s="1148"/>
      <c r="AE17" s="1148"/>
      <c r="AF17" s="1148"/>
      <c r="AG17" s="1149"/>
      <c r="AH17" s="2393"/>
      <c r="AI17" s="2392" t="s">
        <v>52</v>
      </c>
      <c r="AJ17" s="2393"/>
      <c r="AK17" s="2392" t="s">
        <v>52</v>
      </c>
      <c r="AS17" s="956">
        <v>0</v>
      </c>
    </row>
    <row r="18" spans="1:45" ht="14.25" hidden="1" customHeight="1">
      <c r="AD18" s="1148"/>
      <c r="AE18" s="1148"/>
      <c r="AF18" s="1148"/>
      <c r="AG18" s="262" t="str">
        <f>AH17&amp;"-"&amp;AJ17</f>
        <v>-</v>
      </c>
      <c r="AH18" s="2392"/>
      <c r="AI18" s="2392"/>
      <c r="AJ18" s="2392"/>
      <c r="AK18" s="2392"/>
      <c r="AS18" s="956">
        <v>0</v>
      </c>
    </row>
    <row r="19" spans="1:45" ht="14.25" hidden="1" customHeight="1">
      <c r="AK19" s="261"/>
      <c r="AS19" s="956">
        <v>0</v>
      </c>
    </row>
    <row r="20" spans="1:45" s="1154" customFormat="1" ht="22.5" hidden="1" customHeight="1">
      <c r="L20" s="1117"/>
      <c r="M20" s="1150"/>
      <c r="N20" s="1150"/>
      <c r="O20" s="1155" t="s">
        <v>501</v>
      </c>
      <c r="P20" s="1150"/>
      <c r="Q20" s="1159"/>
      <c r="R20" s="1159"/>
      <c r="S20" s="640"/>
      <c r="Z20" s="1155"/>
      <c r="AB20" s="1155"/>
      <c r="AH20" s="1155"/>
      <c r="AJ20" s="1155"/>
      <c r="AN20" s="444"/>
      <c r="AO20" s="444"/>
      <c r="AP20" s="444"/>
      <c r="AQ20" s="444"/>
      <c r="AR20" s="444"/>
      <c r="AS20" s="961">
        <v>0</v>
      </c>
    </row>
    <row r="21" spans="1:45" s="1154" customFormat="1" ht="14.25" hidden="1" customHeight="1">
      <c r="L21" s="1117"/>
      <c r="M21" s="1150"/>
      <c r="N21" s="1150"/>
      <c r="O21" s="1150"/>
      <c r="P21" s="1150"/>
      <c r="Q21" s="1159"/>
      <c r="R21" s="1159"/>
      <c r="S21" s="640"/>
      <c r="AN21" s="444"/>
      <c r="AO21" s="444"/>
      <c r="AP21" s="444"/>
      <c r="AQ21" s="444"/>
      <c r="AR21" s="444"/>
      <c r="AS21" s="961">
        <v>0</v>
      </c>
    </row>
    <row r="22" spans="1:45" s="1154" customFormat="1" ht="14.25" hidden="1" customHeight="1">
      <c r="L22" s="1117"/>
      <c r="M22" s="1150"/>
      <c r="N22" s="1150"/>
      <c r="O22" s="1152" t="s">
        <v>502</v>
      </c>
      <c r="P22" s="1150"/>
      <c r="Q22" s="1159"/>
      <c r="R22" s="1159"/>
      <c r="S22" s="640"/>
      <c r="T22" s="961" t="s">
        <v>503</v>
      </c>
      <c r="AA22" s="120" t="s">
        <v>504</v>
      </c>
      <c r="AC22" s="120" t="s">
        <v>505</v>
      </c>
      <c r="AD22" s="961" t="s">
        <v>503</v>
      </c>
      <c r="AI22" s="120" t="s">
        <v>506</v>
      </c>
      <c r="AK22" s="120" t="s">
        <v>505</v>
      </c>
      <c r="AN22" s="444"/>
      <c r="AO22" s="444"/>
      <c r="AP22" s="444"/>
      <c r="AQ22" s="444"/>
      <c r="AR22" s="444"/>
      <c r="AS22" s="961">
        <v>0</v>
      </c>
    </row>
    <row r="23" spans="1:45" ht="14.25" hidden="1" customHeight="1">
      <c r="O23" s="1152"/>
      <c r="AS23" s="956">
        <v>0</v>
      </c>
    </row>
    <row r="24" spans="1:45" ht="14.25" hidden="1" customHeight="1">
      <c r="O24" s="1152"/>
      <c r="AS24" s="956">
        <v>0</v>
      </c>
    </row>
    <row r="25" spans="1:45" ht="14.65" customHeight="1">
      <c r="Q25" s="309"/>
      <c r="R25" s="309"/>
      <c r="S25" s="1063"/>
      <c r="T25" s="296"/>
      <c r="U25" s="296"/>
      <c r="V25" s="442"/>
      <c r="W25" s="442"/>
      <c r="X25" s="442"/>
      <c r="Y25" s="442"/>
      <c r="Z25" s="442"/>
      <c r="AA25" s="442"/>
      <c r="AB25" s="442"/>
      <c r="AC25" s="442"/>
      <c r="AD25" s="442"/>
      <c r="AE25" s="442"/>
      <c r="AF25" s="442"/>
      <c r="AG25" s="442"/>
      <c r="AH25" s="442"/>
      <c r="AI25" s="442"/>
      <c r="AJ25" s="442"/>
      <c r="AK25" s="442"/>
      <c r="AS25" s="956">
        <v>14</v>
      </c>
    </row>
    <row r="26" spans="1:45" ht="53.45" customHeight="1">
      <c r="Q26" s="309"/>
      <c r="R26" s="309"/>
      <c r="S26" s="237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76"/>
      <c r="U26" s="2376"/>
      <c r="V26" s="2376"/>
      <c r="W26" s="2376"/>
      <c r="X26" s="2376"/>
      <c r="Y26" s="2376"/>
      <c r="Z26" s="2376"/>
      <c r="AA26" s="2376"/>
      <c r="AB26" s="2376"/>
      <c r="AC26" s="2376"/>
      <c r="AD26" s="2376"/>
      <c r="AE26" s="2376"/>
      <c r="AF26" s="2376"/>
      <c r="AG26" s="2376"/>
      <c r="AH26" s="2376"/>
      <c r="AI26" s="2376"/>
      <c r="AJ26" s="2376"/>
      <c r="AK26" s="1031"/>
      <c r="AS26" s="956">
        <v>51</v>
      </c>
    </row>
    <row r="27" spans="1:45" ht="14.65" customHeight="1">
      <c r="Q27" s="309"/>
      <c r="R27" s="309"/>
      <c r="S27" s="2349" t="str">
        <f>IF(org=0,"Не определено",org)</f>
        <v>ООО "Смоленскрегионтеплоэнерго"</v>
      </c>
      <c r="T27" s="2349"/>
      <c r="U27" s="2349"/>
      <c r="V27" s="2349"/>
      <c r="W27" s="2349"/>
      <c r="X27" s="2349"/>
      <c r="Y27" s="2349"/>
      <c r="Z27" s="2349"/>
      <c r="AA27" s="2349"/>
      <c r="AB27" s="2349"/>
      <c r="AC27" s="2349"/>
      <c r="AD27" s="2349"/>
      <c r="AE27" s="2349"/>
      <c r="AF27" s="2349"/>
      <c r="AG27" s="2349"/>
      <c r="AH27" s="2349"/>
      <c r="AI27" s="2349"/>
      <c r="AJ27" s="2349"/>
      <c r="AK27" s="1031"/>
      <c r="AS27" s="956">
        <v>14</v>
      </c>
    </row>
    <row r="28" spans="1:45" ht="14.25" hidden="1" customHeight="1">
      <c r="Q28" s="309"/>
      <c r="R28" s="309"/>
      <c r="S28" s="1063"/>
      <c r="T28" s="296"/>
      <c r="U28" s="296"/>
      <c r="V28" s="256"/>
      <c r="W28" s="256"/>
      <c r="X28" s="256"/>
      <c r="Y28" s="256"/>
      <c r="Z28" s="256"/>
      <c r="AA28" s="256"/>
      <c r="AB28" s="256"/>
      <c r="AC28" s="256"/>
      <c r="AD28" s="256"/>
      <c r="AE28" s="256"/>
      <c r="AF28" s="256"/>
      <c r="AG28" s="256"/>
      <c r="AH28" s="256"/>
      <c r="AI28" s="256"/>
      <c r="AJ28" s="256"/>
      <c r="AK28" s="256"/>
      <c r="AL28" s="442"/>
      <c r="AS28" s="956">
        <v>0</v>
      </c>
    </row>
    <row r="29" spans="1:45" s="1609" customFormat="1" ht="25.5" hidden="1" customHeight="1">
      <c r="A29" s="1156"/>
      <c r="B29" s="1156"/>
      <c r="C29" s="1156"/>
      <c r="D29" s="1156"/>
      <c r="E29" s="1156"/>
      <c r="F29" s="1156"/>
      <c r="G29" s="1156"/>
      <c r="H29" s="1156"/>
      <c r="I29" s="1156"/>
      <c r="J29" s="1156"/>
      <c r="K29" s="1156"/>
      <c r="L29" s="1157"/>
      <c r="M29" s="1156"/>
      <c r="N29" s="1156"/>
      <c r="O29" s="1156"/>
      <c r="S29" s="2386" t="s">
        <v>28</v>
      </c>
      <c r="T29" s="2386"/>
      <c r="U29" s="1160"/>
      <c r="V29" s="2388" t="str">
        <f>IF(TITLE_NAME_OR_PR_CHANGE="",IF(TITLE_NAME_OR_PR="","",TITLE_NAME_OR_PR),TITLE_NAME_OR_PR_CHANGE)</f>
        <v/>
      </c>
      <c r="W29" s="2388"/>
      <c r="X29" s="2388"/>
      <c r="Y29" s="2388"/>
      <c r="Z29" s="2388"/>
      <c r="AA29" s="2388"/>
      <c r="AB29" s="2388"/>
      <c r="AC29" s="260"/>
      <c r="AD29" s="2388" t="str">
        <f>IF(TITLE_NAME_OR_PR_CHANGE="",IF(TITLE_NAME_OR_PR="","",TITLE_NAME_OR_PR),TITLE_NAME_OR_PR_CHANGE)</f>
        <v/>
      </c>
      <c r="AE29" s="2388"/>
      <c r="AF29" s="2388"/>
      <c r="AG29" s="2388"/>
      <c r="AH29" s="2388"/>
      <c r="AI29" s="2388"/>
      <c r="AJ29" s="2388"/>
      <c r="AK29" s="260"/>
      <c r="AL29" s="260"/>
      <c r="AM29" s="214"/>
      <c r="AN29" s="301"/>
      <c r="AO29" s="301"/>
      <c r="AP29" s="301"/>
      <c r="AQ29" s="301"/>
      <c r="AR29" s="301"/>
      <c r="AS29" s="351">
        <v>0</v>
      </c>
    </row>
    <row r="30" spans="1:45" s="1609" customFormat="1" ht="18.75" hidden="1" customHeight="1">
      <c r="A30" s="1156"/>
      <c r="B30" s="1156"/>
      <c r="C30" s="1156"/>
      <c r="D30" s="1156"/>
      <c r="E30" s="1156"/>
      <c r="F30" s="1156"/>
      <c r="G30" s="1156"/>
      <c r="H30" s="1156"/>
      <c r="I30" s="1156"/>
      <c r="J30" s="1156"/>
      <c r="K30" s="1156"/>
      <c r="L30" s="1157"/>
      <c r="M30" s="1156"/>
      <c r="N30" s="1156"/>
      <c r="O30" s="1156"/>
      <c r="S30" s="2386" t="s">
        <v>507</v>
      </c>
      <c r="T30" s="2386"/>
      <c r="U30" s="1160"/>
      <c r="V30" s="2387" t="str">
        <f>IF(TITLE_DATE_PR_CHANGE="",IF(TITLE_DATE_PR="","",TITLE_DATE_PR),TITLE_DATE_PR_CHANGE)</f>
        <v/>
      </c>
      <c r="W30" s="2387"/>
      <c r="X30" s="2387"/>
      <c r="Y30" s="2387"/>
      <c r="Z30" s="2387"/>
      <c r="AA30" s="2387"/>
      <c r="AB30" s="2387"/>
      <c r="AC30" s="260"/>
      <c r="AD30" s="2387" t="str">
        <f>IF(TITLE_DATE_PR_CHANGE="",IF(TITLE_DATE_PR="","",TITLE_DATE_PR),TITLE_DATE_PR_CHANGE)</f>
        <v/>
      </c>
      <c r="AE30" s="2387"/>
      <c r="AF30" s="2387"/>
      <c r="AG30" s="2387"/>
      <c r="AH30" s="2387"/>
      <c r="AI30" s="2387"/>
      <c r="AJ30" s="2387"/>
      <c r="AK30" s="260"/>
      <c r="AL30" s="260"/>
      <c r="AM30" s="214"/>
      <c r="AN30" s="301"/>
      <c r="AO30" s="301"/>
      <c r="AP30" s="301"/>
      <c r="AQ30" s="301"/>
      <c r="AR30" s="301"/>
      <c r="AS30" s="351">
        <v>0</v>
      </c>
    </row>
    <row r="31" spans="1:45" s="1609" customFormat="1" ht="18.75" hidden="1" customHeight="1">
      <c r="A31" s="1156"/>
      <c r="B31" s="1156"/>
      <c r="C31" s="1156"/>
      <c r="D31" s="1156"/>
      <c r="E31" s="1156"/>
      <c r="F31" s="1156"/>
      <c r="G31" s="1156"/>
      <c r="H31" s="1156"/>
      <c r="I31" s="1156"/>
      <c r="J31" s="1156"/>
      <c r="K31" s="1156"/>
      <c r="L31" s="1157"/>
      <c r="M31" s="1156"/>
      <c r="N31" s="1156"/>
      <c r="O31" s="1156"/>
      <c r="S31" s="2386" t="s">
        <v>508</v>
      </c>
      <c r="T31" s="2386"/>
      <c r="U31" s="1160"/>
      <c r="V31" s="2388" t="str">
        <f>IF(TITLE_NUMBER_PR_CHANGE="",IF(TITLE_NUMBER_PR="","",TITLE_NUMBER_PR),TITLE_NUMBER_PR_CHANGE)</f>
        <v/>
      </c>
      <c r="W31" s="2388"/>
      <c r="X31" s="2388"/>
      <c r="Y31" s="2388"/>
      <c r="Z31" s="2388"/>
      <c r="AA31" s="2388"/>
      <c r="AB31" s="2388"/>
      <c r="AC31" s="260"/>
      <c r="AD31" s="2388" t="str">
        <f>IF(TITLE_NUMBER_PR_CHANGE="",IF(TITLE_NUMBER_PR="","",TITLE_NUMBER_PR),TITLE_NUMBER_PR_CHANGE)</f>
        <v/>
      </c>
      <c r="AE31" s="2388"/>
      <c r="AF31" s="2388"/>
      <c r="AG31" s="2388"/>
      <c r="AH31" s="2388"/>
      <c r="AI31" s="2388"/>
      <c r="AJ31" s="2388"/>
      <c r="AK31" s="260"/>
      <c r="AL31" s="260"/>
      <c r="AM31" s="214"/>
      <c r="AN31" s="301"/>
      <c r="AO31" s="301"/>
      <c r="AP31" s="301"/>
      <c r="AQ31" s="301"/>
      <c r="AR31" s="301"/>
      <c r="AS31" s="351">
        <v>0</v>
      </c>
    </row>
    <row r="32" spans="1:45" s="1609" customFormat="1" ht="18.75" hidden="1" customHeight="1">
      <c r="A32" s="1156"/>
      <c r="B32" s="1156"/>
      <c r="C32" s="1156"/>
      <c r="D32" s="1156"/>
      <c r="E32" s="1156"/>
      <c r="F32" s="1156"/>
      <c r="G32" s="1156"/>
      <c r="H32" s="1156"/>
      <c r="I32" s="1156"/>
      <c r="J32" s="1156"/>
      <c r="K32" s="1156"/>
      <c r="L32" s="1157"/>
      <c r="M32" s="1156"/>
      <c r="N32" s="1156"/>
      <c r="O32" s="1156"/>
      <c r="S32" s="2386" t="s">
        <v>29</v>
      </c>
      <c r="T32" s="2386"/>
      <c r="U32" s="1160"/>
      <c r="V32" s="2388" t="str">
        <f>IF(TITLE_IST_PUB_CHANGE="",IF(TITLE_IST_PUB="","",TITLE_IST_PUB),TITLE_IST_PUB_CHANGE)</f>
        <v/>
      </c>
      <c r="W32" s="2388"/>
      <c r="X32" s="2388"/>
      <c r="Y32" s="2388"/>
      <c r="Z32" s="2388"/>
      <c r="AA32" s="2388"/>
      <c r="AB32" s="2388"/>
      <c r="AC32" s="260"/>
      <c r="AD32" s="2388" t="str">
        <f>IF(TITLE_IST_PUB_CHANGE="",IF(TITLE_IST_PUB="","",TITLE_IST_PUB),TITLE_IST_PUB_CHANGE)</f>
        <v/>
      </c>
      <c r="AE32" s="2388"/>
      <c r="AF32" s="2388"/>
      <c r="AG32" s="2388"/>
      <c r="AH32" s="2388"/>
      <c r="AI32" s="2388"/>
      <c r="AJ32" s="2388"/>
      <c r="AK32" s="260"/>
      <c r="AL32" s="260"/>
      <c r="AM32" s="214"/>
      <c r="AN32" s="301"/>
      <c r="AO32" s="301"/>
      <c r="AP32" s="301"/>
      <c r="AQ32" s="301"/>
      <c r="AR32" s="301"/>
      <c r="AS32" s="351">
        <v>0</v>
      </c>
    </row>
    <row r="33" spans="1:45" ht="14.25" hidden="1" customHeight="1">
      <c r="Q33" s="309"/>
      <c r="R33" s="309"/>
      <c r="S33" s="1063"/>
      <c r="T33" s="296"/>
      <c r="U33" s="296"/>
      <c r="V33" s="256"/>
      <c r="W33" s="256"/>
      <c r="X33" s="256"/>
      <c r="Y33" s="256"/>
      <c r="Z33" s="256"/>
      <c r="AA33" s="256"/>
      <c r="AB33" s="256"/>
      <c r="AC33" s="256"/>
      <c r="AD33" s="256"/>
      <c r="AE33" s="256"/>
      <c r="AF33" s="256"/>
      <c r="AG33" s="256"/>
      <c r="AH33" s="256"/>
      <c r="AI33" s="256"/>
      <c r="AJ33" s="256"/>
      <c r="AK33" s="256"/>
      <c r="AL33" s="442"/>
      <c r="AS33" s="956">
        <v>0</v>
      </c>
    </row>
    <row r="34" spans="1:45" s="1609" customFormat="1" ht="18.75" hidden="1" customHeight="1">
      <c r="A34" s="1156"/>
      <c r="B34" s="1156"/>
      <c r="C34" s="1156"/>
      <c r="D34" s="1156"/>
      <c r="E34" s="1156"/>
      <c r="F34" s="1156"/>
      <c r="G34" s="1156"/>
      <c r="H34" s="1156"/>
      <c r="I34" s="1156"/>
      <c r="J34" s="1156"/>
      <c r="K34" s="1156"/>
      <c r="L34" s="1157"/>
      <c r="M34" s="1156"/>
      <c r="N34" s="1156"/>
      <c r="O34" s="1156"/>
      <c r="S34" s="2386" t="s">
        <v>509</v>
      </c>
      <c r="T34" s="2386"/>
      <c r="U34" s="1160"/>
      <c r="V34" s="2387" t="str">
        <f>IF(TITLE_DATE_PR_CHANGE="",IF(TITLE_DATE_PR="","",TITLE_DATE_PR),TITLE_DATE_PR_CHANGE)</f>
        <v/>
      </c>
      <c r="W34" s="2387"/>
      <c r="X34" s="2387"/>
      <c r="Y34" s="2387"/>
      <c r="Z34" s="2387"/>
      <c r="AA34" s="2387"/>
      <c r="AB34" s="2387"/>
      <c r="AC34" s="260"/>
      <c r="AD34" s="2387" t="str">
        <f>IF(TITLE_DATE_PR_CHANGE="",IF(TITLE_DATE_PR="","",TITLE_DATE_PR),TITLE_DATE_PR_CHANGE)</f>
        <v/>
      </c>
      <c r="AE34" s="2387"/>
      <c r="AF34" s="2387"/>
      <c r="AG34" s="2387"/>
      <c r="AH34" s="2387"/>
      <c r="AI34" s="2387"/>
      <c r="AJ34" s="2387"/>
      <c r="AK34" s="260"/>
      <c r="AL34" s="260"/>
      <c r="AM34" s="214"/>
      <c r="AN34" s="301"/>
      <c r="AO34" s="301"/>
      <c r="AP34" s="301"/>
      <c r="AQ34" s="301"/>
      <c r="AR34" s="301"/>
      <c r="AS34" s="351">
        <v>0</v>
      </c>
    </row>
    <row r="35" spans="1:45" s="1609" customFormat="1" ht="25.5" hidden="1" customHeight="1">
      <c r="A35" s="1156"/>
      <c r="B35" s="1156"/>
      <c r="C35" s="1156"/>
      <c r="D35" s="1156"/>
      <c r="E35" s="1156"/>
      <c r="F35" s="1156"/>
      <c r="G35" s="1156"/>
      <c r="H35" s="1156"/>
      <c r="I35" s="1156"/>
      <c r="J35" s="1156"/>
      <c r="K35" s="1156"/>
      <c r="L35" s="1157"/>
      <c r="M35" s="1156"/>
      <c r="N35" s="1156"/>
      <c r="O35" s="1156"/>
      <c r="S35" s="2386" t="s">
        <v>510</v>
      </c>
      <c r="T35" s="2386"/>
      <c r="U35" s="1160"/>
      <c r="V35" s="2388" t="str">
        <f>IF(TITLE_NUMBER_PR_CHANGE="",IF(TITLE_NUMBER_PR="","",TITLE_NUMBER_PR),TITLE_NUMBER_PR_CHANGE)</f>
        <v/>
      </c>
      <c r="W35" s="2388"/>
      <c r="X35" s="2388"/>
      <c r="Y35" s="2388"/>
      <c r="Z35" s="2388"/>
      <c r="AA35" s="2388"/>
      <c r="AB35" s="2388"/>
      <c r="AC35" s="260"/>
      <c r="AD35" s="2388" t="str">
        <f>IF(TITLE_NUMBER_PR_CHANGE="",IF(TITLE_NUMBER_PR="","",TITLE_NUMBER_PR),TITLE_NUMBER_PR_CHANGE)</f>
        <v/>
      </c>
      <c r="AE35" s="2388"/>
      <c r="AF35" s="2388"/>
      <c r="AG35" s="2388"/>
      <c r="AH35" s="2388"/>
      <c r="AI35" s="2388"/>
      <c r="AJ35" s="2388"/>
      <c r="AK35" s="260"/>
      <c r="AL35" s="260"/>
      <c r="AM35" s="214"/>
      <c r="AN35" s="301"/>
      <c r="AO35" s="301"/>
      <c r="AP35" s="301"/>
      <c r="AQ35" s="301"/>
      <c r="AR35" s="301"/>
      <c r="AS35" s="351">
        <v>0</v>
      </c>
    </row>
    <row r="36" spans="1:45" s="1609" customFormat="1" ht="0" hidden="1" customHeight="1">
      <c r="A36" s="1156"/>
      <c r="B36" s="1156"/>
      <c r="C36" s="1156"/>
      <c r="D36" s="1156"/>
      <c r="E36" s="1156"/>
      <c r="F36" s="1156"/>
      <c r="G36" s="1156"/>
      <c r="H36" s="1156"/>
      <c r="I36" s="1156"/>
      <c r="J36" s="1156"/>
      <c r="K36" s="1156"/>
      <c r="L36" s="1157"/>
      <c r="M36" s="1156"/>
      <c r="N36" s="1156"/>
      <c r="O36" s="1156"/>
      <c r="S36" s="257"/>
      <c r="T36" s="257"/>
      <c r="U36" s="1128"/>
      <c r="V36" s="260"/>
      <c r="W36" s="260"/>
      <c r="X36" s="260"/>
      <c r="Y36" s="260"/>
      <c r="Z36" s="260"/>
      <c r="AA36" s="260"/>
      <c r="AB36" s="260"/>
      <c r="AC36" s="212" t="s">
        <v>511</v>
      </c>
      <c r="AD36" s="260"/>
      <c r="AE36" s="260"/>
      <c r="AF36" s="260"/>
      <c r="AG36" s="260"/>
      <c r="AH36" s="260"/>
      <c r="AI36" s="260"/>
      <c r="AJ36" s="260"/>
      <c r="AK36" s="212" t="s">
        <v>511</v>
      </c>
      <c r="AN36" s="301"/>
      <c r="AO36" s="301"/>
      <c r="AP36" s="301"/>
      <c r="AQ36" s="301"/>
      <c r="AR36" s="301"/>
      <c r="AS36" s="351">
        <v>0</v>
      </c>
    </row>
    <row r="37" spans="1:45" ht="14.65" customHeight="1">
      <c r="Q37" s="309"/>
      <c r="R37" s="309"/>
      <c r="S37" s="1063"/>
      <c r="T37" s="296"/>
      <c r="U37" s="1032"/>
      <c r="V37" s="2407"/>
      <c r="W37" s="2407"/>
      <c r="X37" s="2407"/>
      <c r="Y37" s="2407"/>
      <c r="Z37" s="2407"/>
      <c r="AA37" s="2407"/>
      <c r="AB37" s="2407"/>
      <c r="AC37" s="2407"/>
      <c r="AD37" s="2407"/>
      <c r="AE37" s="2407"/>
      <c r="AF37" s="2407"/>
      <c r="AG37" s="2407"/>
      <c r="AH37" s="2407"/>
      <c r="AI37" s="2407"/>
      <c r="AJ37" s="2407"/>
      <c r="AK37" s="2407"/>
      <c r="AS37" s="956">
        <v>14</v>
      </c>
    </row>
    <row r="38" spans="1:45" ht="14.65" customHeight="1">
      <c r="Q38" s="309"/>
      <c r="R38" s="309"/>
      <c r="S38" s="2266" t="s">
        <v>384</v>
      </c>
      <c r="T38" s="2266"/>
      <c r="U38" s="2266"/>
      <c r="V38" s="2266"/>
      <c r="W38" s="2266"/>
      <c r="X38" s="2266"/>
      <c r="Y38" s="2266"/>
      <c r="Z38" s="2266"/>
      <c r="AA38" s="2266"/>
      <c r="AB38" s="2266"/>
      <c r="AC38" s="2266"/>
      <c r="AD38" s="2266"/>
      <c r="AE38" s="2266"/>
      <c r="AF38" s="2266"/>
      <c r="AG38" s="2266"/>
      <c r="AH38" s="2266"/>
      <c r="AI38" s="2266"/>
      <c r="AJ38" s="2266"/>
      <c r="AK38" s="2266"/>
      <c r="AL38" s="2266"/>
      <c r="AM38" s="2266" t="s">
        <v>385</v>
      </c>
      <c r="AS38" s="956">
        <v>14</v>
      </c>
    </row>
    <row r="39" spans="1:45" ht="14.65" customHeight="1">
      <c r="Q39" s="309"/>
      <c r="R39" s="309"/>
      <c r="S39" s="2408" t="s">
        <v>75</v>
      </c>
      <c r="T39" s="2357" t="s">
        <v>512</v>
      </c>
      <c r="U39" s="235"/>
      <c r="V39" s="2409" t="s">
        <v>513</v>
      </c>
      <c r="W39" s="2410"/>
      <c r="X39" s="2410"/>
      <c r="Y39" s="2410"/>
      <c r="Z39" s="2410"/>
      <c r="AA39" s="2410"/>
      <c r="AB39" s="2411"/>
      <c r="AC39" s="2412" t="s">
        <v>514</v>
      </c>
      <c r="AD39" s="2409" t="s">
        <v>513</v>
      </c>
      <c r="AE39" s="2410"/>
      <c r="AF39" s="2410"/>
      <c r="AG39" s="2410"/>
      <c r="AH39" s="2410"/>
      <c r="AI39" s="2410"/>
      <c r="AJ39" s="2411"/>
      <c r="AK39" s="2412" t="s">
        <v>515</v>
      </c>
      <c r="AL39" s="2415" t="s">
        <v>516</v>
      </c>
      <c r="AM39" s="2266"/>
      <c r="AS39" s="956">
        <v>14</v>
      </c>
    </row>
    <row r="40" spans="1:45" ht="35.65" customHeight="1">
      <c r="Q40" s="309"/>
      <c r="R40" s="309"/>
      <c r="S40" s="2408"/>
      <c r="T40" s="2357"/>
      <c r="U40" s="874"/>
      <c r="V40" s="2327" t="s">
        <v>517</v>
      </c>
      <c r="W40" s="2404"/>
      <c r="X40" s="2247" t="s">
        <v>519</v>
      </c>
      <c r="Y40" s="2246"/>
      <c r="Z40" s="2247" t="s">
        <v>520</v>
      </c>
      <c r="AA40" s="2252"/>
      <c r="AB40" s="2246"/>
      <c r="AC40" s="2413"/>
      <c r="AD40" s="2327" t="s">
        <v>534</v>
      </c>
      <c r="AE40" s="2404"/>
      <c r="AF40" s="2247" t="s">
        <v>519</v>
      </c>
      <c r="AG40" s="2246"/>
      <c r="AH40" s="2247" t="s">
        <v>520</v>
      </c>
      <c r="AI40" s="2252"/>
      <c r="AJ40" s="2246"/>
      <c r="AK40" s="2413"/>
      <c r="AL40" s="2416"/>
      <c r="AM40" s="2266"/>
      <c r="AS40" s="956">
        <v>34</v>
      </c>
    </row>
    <row r="41" spans="1:45" ht="35.65" customHeight="1">
      <c r="A41" s="1158"/>
      <c r="B41" s="1158" t="s">
        <v>226</v>
      </c>
      <c r="C41" s="1158" t="s">
        <v>227</v>
      </c>
      <c r="D41" s="1158" t="s">
        <v>228</v>
      </c>
      <c r="E41" s="1152" t="s">
        <v>521</v>
      </c>
      <c r="F41" s="1152" t="s">
        <v>522</v>
      </c>
      <c r="G41" s="1152" t="s">
        <v>523</v>
      </c>
      <c r="H41" s="1152" t="s">
        <v>524</v>
      </c>
      <c r="I41" s="1152" t="s">
        <v>525</v>
      </c>
      <c r="J41" s="1152" t="s">
        <v>526</v>
      </c>
      <c r="K41" s="1152" t="s">
        <v>527</v>
      </c>
      <c r="L41" s="1152" t="s">
        <v>502</v>
      </c>
      <c r="Q41" s="309"/>
      <c r="R41" s="309"/>
      <c r="S41" s="2408"/>
      <c r="T41" s="2357"/>
      <c r="U41" s="236"/>
      <c r="V41" s="2381"/>
      <c r="W41" s="2405"/>
      <c r="X41" s="1010" t="s">
        <v>528</v>
      </c>
      <c r="Y41" s="1010" t="s">
        <v>529</v>
      </c>
      <c r="Z41" s="1126" t="s">
        <v>530</v>
      </c>
      <c r="AA41" s="2362" t="s">
        <v>531</v>
      </c>
      <c r="AB41" s="2375"/>
      <c r="AC41" s="2414"/>
      <c r="AD41" s="2381"/>
      <c r="AE41" s="2405"/>
      <c r="AF41" s="1010" t="s">
        <v>528</v>
      </c>
      <c r="AG41" s="1010" t="s">
        <v>529</v>
      </c>
      <c r="AH41" s="1126" t="s">
        <v>530</v>
      </c>
      <c r="AI41" s="2362" t="s">
        <v>531</v>
      </c>
      <c r="AJ41" s="2375"/>
      <c r="AK41" s="2414"/>
      <c r="AL41" s="2417"/>
      <c r="AM41" s="2266"/>
      <c r="AS41" s="956">
        <v>34</v>
      </c>
    </row>
    <row r="42" spans="1:45" s="1429" customFormat="1" ht="11.25" hidden="1" customHeight="1">
      <c r="A42" s="1158"/>
      <c r="B42" s="1158"/>
      <c r="C42" s="1158"/>
      <c r="D42" s="1158"/>
      <c r="E42" s="1158"/>
      <c r="F42" s="1158"/>
      <c r="G42" s="1158"/>
      <c r="H42" s="1158"/>
      <c r="I42" s="1158"/>
      <c r="J42" s="1158"/>
      <c r="K42" s="1158"/>
      <c r="L42" s="1152"/>
      <c r="M42" s="1150"/>
      <c r="N42" s="1150"/>
      <c r="O42" s="1150"/>
      <c r="P42" s="1034"/>
      <c r="Q42" s="1035"/>
      <c r="R42" s="1042">
        <v>1</v>
      </c>
      <c r="S42" s="1065" t="s">
        <v>161</v>
      </c>
      <c r="T42" s="1043" t="s">
        <v>89</v>
      </c>
      <c r="U42" s="1033" t="str">
        <f ca="1">OFFSET(U42,0,-1)</f>
        <v>2</v>
      </c>
      <c r="V42" s="1123">
        <f ca="1">OFFSET(V42,0,-1)+1</f>
        <v>3</v>
      </c>
      <c r="W42" s="1123"/>
      <c r="X42" s="1123">
        <f ca="1">OFFSET(X42,0,-1)+1</f>
        <v>1</v>
      </c>
      <c r="Y42" s="1123">
        <f ca="1">OFFSET(Y42,0,-1)+1</f>
        <v>2</v>
      </c>
      <c r="Z42" s="1123">
        <f ca="1">OFFSET(Z42,0,-1)+1</f>
        <v>3</v>
      </c>
      <c r="AA42" s="2406">
        <f ca="1">OFFSET(AA42,0,-1)+1</f>
        <v>4</v>
      </c>
      <c r="AB42" s="2406"/>
      <c r="AC42" s="1123">
        <f ca="1">OFFSET(AC42,0,-2)+1</f>
        <v>5</v>
      </c>
      <c r="AD42" s="1123">
        <f ca="1">OFFSET(AD42,0,-1)+1</f>
        <v>6</v>
      </c>
      <c r="AE42" s="1123"/>
      <c r="AF42" s="1123">
        <f ca="1">OFFSET(AF42,0,-1)+1</f>
        <v>1</v>
      </c>
      <c r="AG42" s="1123">
        <f ca="1">OFFSET(AG42,0,-1)+1</f>
        <v>2</v>
      </c>
      <c r="AH42" s="1123">
        <f ca="1">OFFSET(AH42,0,-1)+1</f>
        <v>3</v>
      </c>
      <c r="AI42" s="2406">
        <f ca="1">OFFSET(AI42,0,-1)+1</f>
        <v>4</v>
      </c>
      <c r="AJ42" s="2406"/>
      <c r="AK42" s="1123">
        <f ca="1">OFFSET(AK42,0,-2)+1</f>
        <v>5</v>
      </c>
      <c r="AL42" s="1033">
        <f ca="1">OFFSET(AL42,0,-1)</f>
        <v>5</v>
      </c>
      <c r="AM42" s="1123">
        <f ca="1">OFFSET(AM42,0,-1)+1</f>
        <v>6</v>
      </c>
      <c r="AN42" s="444"/>
      <c r="AO42" s="444"/>
      <c r="AP42" s="444"/>
      <c r="AQ42" s="444"/>
      <c r="AR42" s="444"/>
      <c r="AS42" s="429">
        <v>0</v>
      </c>
    </row>
    <row r="43" spans="1:45" ht="21.95" customHeight="1">
      <c r="A43" s="1151" t="s">
        <v>272</v>
      </c>
      <c r="B43" s="1151"/>
      <c r="C43" s="1151"/>
      <c r="D43" s="1151"/>
      <c r="E43" s="2395">
        <v>1</v>
      </c>
      <c r="F43" s="1151"/>
      <c r="G43" s="1151"/>
      <c r="H43" s="1151"/>
      <c r="I43" s="1151"/>
      <c r="J43" s="1151"/>
      <c r="K43" s="1151"/>
      <c r="L43" s="1152"/>
      <c r="M43" s="1153"/>
      <c r="N43" s="1153"/>
      <c r="O43" s="1153"/>
      <c r="P43" s="294"/>
      <c r="Q43" s="293"/>
      <c r="R43" s="288"/>
      <c r="S43" s="1124">
        <f>INDEX(PT_DIFFERENTIATION_NUM_NTAR,MATCH(A43,PT_DIFFERENTIATION_NTAR_ID,0))</f>
        <v>0</v>
      </c>
      <c r="T43" s="232" t="s">
        <v>214</v>
      </c>
      <c r="U43" s="234"/>
      <c r="V43" s="2389"/>
      <c r="W43" s="2390"/>
      <c r="X43" s="2390"/>
      <c r="Y43" s="2390"/>
      <c r="Z43" s="2390"/>
      <c r="AA43" s="2390"/>
      <c r="AB43" s="2390"/>
      <c r="AC43" s="2391"/>
      <c r="AD43" s="2389" t="str">
        <f>INDEX(PT_DIFFERENTIATION_NTAR,MATCH(A43,PT_DIFFERENTIATION_NTAR_ID,0))</f>
        <v/>
      </c>
      <c r="AE43" s="2390"/>
      <c r="AF43" s="2390"/>
      <c r="AG43" s="2390"/>
      <c r="AH43" s="2390"/>
      <c r="AI43" s="2390"/>
      <c r="AJ43" s="2390"/>
      <c r="AK43" s="2390"/>
      <c r="AL43" s="2391"/>
      <c r="AM43" s="104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956">
        <v>21</v>
      </c>
    </row>
    <row r="44" spans="1:45" ht="21.95" customHeight="1">
      <c r="A44" s="1151" t="s">
        <v>272</v>
      </c>
      <c r="B44" s="1151" t="s">
        <v>273</v>
      </c>
      <c r="C44" s="1151"/>
      <c r="D44" s="1151"/>
      <c r="E44" s="2396"/>
      <c r="F44" s="2395">
        <v>1</v>
      </c>
      <c r="G44" s="1151"/>
      <c r="H44" s="1151"/>
      <c r="I44" s="1151"/>
      <c r="J44" s="1151"/>
      <c r="K44" s="1151"/>
      <c r="L44" s="1152"/>
      <c r="M44" s="1153"/>
      <c r="N44" s="1153"/>
      <c r="O44" s="1153"/>
      <c r="P44" s="1120"/>
      <c r="Q44" s="285"/>
      <c r="R44" s="286"/>
      <c r="S44" s="1124" t="str">
        <f>INDEX(PT_DIFFERENTIATION_NUM_TER,MATCH(B44,PT_DIFFERENTIATION_TER_ID,0))</f>
        <v>.</v>
      </c>
      <c r="T44" s="242" t="s">
        <v>481</v>
      </c>
      <c r="U44" s="234"/>
      <c r="V44" s="2389"/>
      <c r="W44" s="2390"/>
      <c r="X44" s="2390"/>
      <c r="Y44" s="2390"/>
      <c r="Z44" s="2390"/>
      <c r="AA44" s="2390"/>
      <c r="AB44" s="2390"/>
      <c r="AC44" s="2391"/>
      <c r="AD44" s="2389" t="str">
        <f>INDEX(PT_DIFFERENTIATION_TER,MATCH(B44,PT_DIFFERENTIATION_TER_ID,0))</f>
        <v/>
      </c>
      <c r="AE44" s="2390"/>
      <c r="AF44" s="2390"/>
      <c r="AG44" s="2390"/>
      <c r="AH44" s="2390"/>
      <c r="AI44" s="2390"/>
      <c r="AJ44" s="2390"/>
      <c r="AK44" s="2390"/>
      <c r="AL44" s="2391"/>
      <c r="AM44" s="1046" t="s">
        <v>482</v>
      </c>
      <c r="AO44" s="433"/>
      <c r="AP44" s="433" t="str">
        <f t="shared" si="1"/>
        <v>Территория действия тарифа</v>
      </c>
      <c r="AQ44" s="433"/>
      <c r="AR44" s="433"/>
      <c r="AS44" s="956">
        <v>21</v>
      </c>
    </row>
    <row r="45" spans="1:45" ht="24" customHeight="1">
      <c r="A45" s="1151" t="s">
        <v>272</v>
      </c>
      <c r="B45" s="1151" t="s">
        <v>273</v>
      </c>
      <c r="C45" s="1151" t="s">
        <v>274</v>
      </c>
      <c r="D45" s="1151"/>
      <c r="E45" s="2396"/>
      <c r="F45" s="2396"/>
      <c r="G45" s="2395">
        <v>1</v>
      </c>
      <c r="H45" s="1151"/>
      <c r="I45" s="1151"/>
      <c r="J45" s="1151"/>
      <c r="K45" s="1151"/>
      <c r="L45" s="1152"/>
      <c r="M45" s="1153"/>
      <c r="N45" s="1153"/>
      <c r="O45" s="1153"/>
      <c r="P45" s="287"/>
      <c r="Q45" s="285"/>
      <c r="R45" s="286"/>
      <c r="S45" s="1124" t="str">
        <f>INDEX(PT_DIFFERENTIATION_NUM_CS,MATCH(C45,PT_DIFFERENTIATION_CS_ID,0))</f>
        <v>..</v>
      </c>
      <c r="T45" s="243" t="s">
        <v>483</v>
      </c>
      <c r="U45" s="234"/>
      <c r="V45" s="2389"/>
      <c r="W45" s="2390"/>
      <c r="X45" s="2390"/>
      <c r="Y45" s="2390"/>
      <c r="Z45" s="2390"/>
      <c r="AA45" s="2390"/>
      <c r="AB45" s="2390"/>
      <c r="AC45" s="2391"/>
      <c r="AD45" s="2389" t="str">
        <f>INDEX(PT_DIFFERENTIATION_CS,MATCH(C45,PT_DIFFERENTIATION_CS_ID,0))</f>
        <v/>
      </c>
      <c r="AE45" s="2390"/>
      <c r="AF45" s="2390"/>
      <c r="AG45" s="2390"/>
      <c r="AH45" s="2390"/>
      <c r="AI45" s="2390"/>
      <c r="AJ45" s="2390"/>
      <c r="AK45" s="2390"/>
      <c r="AL45" s="2391"/>
      <c r="AM45" s="1046" t="s">
        <v>484</v>
      </c>
      <c r="AO45" s="433"/>
      <c r="AP45" s="433" t="str">
        <f t="shared" si="1"/>
        <v xml:space="preserve">Наименование системы теплоснабжения </v>
      </c>
      <c r="AQ45" s="433"/>
      <c r="AR45" s="433"/>
      <c r="AS45" s="956">
        <v>23</v>
      </c>
    </row>
    <row r="46" spans="1:45" ht="21.95" customHeight="1">
      <c r="A46" s="1151" t="s">
        <v>272</v>
      </c>
      <c r="B46" s="1151" t="s">
        <v>273</v>
      </c>
      <c r="C46" s="1151" t="s">
        <v>274</v>
      </c>
      <c r="D46" s="1151" t="s">
        <v>275</v>
      </c>
      <c r="E46" s="2396"/>
      <c r="F46" s="2396"/>
      <c r="G46" s="2396"/>
      <c r="H46" s="2395">
        <v>1</v>
      </c>
      <c r="I46" s="1151"/>
      <c r="J46" s="1151"/>
      <c r="K46" s="1151"/>
      <c r="L46" s="1152"/>
      <c r="M46" s="1153"/>
      <c r="N46" s="1153"/>
      <c r="O46" s="1153"/>
      <c r="P46" s="287"/>
      <c r="Q46" s="285"/>
      <c r="R46" s="286"/>
      <c r="S46" s="1124" t="str">
        <f>INDEX(PT_DIFFERENTIATION_NUM_IST_TE,MATCH(D46,PT_DIFFERENTIATION_IST_TE_ID,0))</f>
        <v>...</v>
      </c>
      <c r="T46" s="244" t="s">
        <v>485</v>
      </c>
      <c r="U46" s="234"/>
      <c r="V46" s="2389"/>
      <c r="W46" s="2390"/>
      <c r="X46" s="2390"/>
      <c r="Y46" s="2390"/>
      <c r="Z46" s="2390"/>
      <c r="AA46" s="2390"/>
      <c r="AB46" s="2390"/>
      <c r="AC46" s="2391"/>
      <c r="AD46" s="2389" t="str">
        <f>INDEX(PT_DIFFERENTIATION_IST_TE,MATCH(D46,PT_DIFFERENTIATION_IST_TE_ID,0))</f>
        <v/>
      </c>
      <c r="AE46" s="2390"/>
      <c r="AF46" s="2390"/>
      <c r="AG46" s="2390"/>
      <c r="AH46" s="2390"/>
      <c r="AI46" s="2390"/>
      <c r="AJ46" s="2390"/>
      <c r="AK46" s="2390"/>
      <c r="AL46" s="2391"/>
      <c r="AM46" s="1046" t="s">
        <v>486</v>
      </c>
      <c r="AO46" s="433"/>
      <c r="AP46" s="433" t="str">
        <f t="shared" si="1"/>
        <v xml:space="preserve">Источник тепловой энергии  </v>
      </c>
      <c r="AQ46" s="433"/>
      <c r="AR46" s="433"/>
      <c r="AS46" s="956">
        <v>21</v>
      </c>
    </row>
    <row r="47" spans="1:45" s="1430" customFormat="1" ht="0" hidden="1" customHeight="1">
      <c r="A47" s="1131" t="s">
        <v>272</v>
      </c>
      <c r="B47" s="1131" t="s">
        <v>273</v>
      </c>
      <c r="C47" s="1131" t="s">
        <v>274</v>
      </c>
      <c r="D47" s="1131" t="s">
        <v>275</v>
      </c>
      <c r="E47" s="2396"/>
      <c r="F47" s="2396"/>
      <c r="G47" s="2396"/>
      <c r="H47" s="2396"/>
      <c r="I47" s="2397" t="str">
        <f>S46&amp;".1"</f>
        <v>....1</v>
      </c>
      <c r="J47" s="1131"/>
      <c r="K47" s="1131"/>
      <c r="L47" s="1134" t="s">
        <v>487</v>
      </c>
      <c r="M47" s="443"/>
      <c r="N47" s="443"/>
      <c r="O47" s="443"/>
      <c r="P47" s="2399">
        <v>1</v>
      </c>
      <c r="Q47" s="1119"/>
      <c r="R47" s="289"/>
      <c r="S47" s="881"/>
      <c r="T47" s="1171"/>
      <c r="U47" s="1172"/>
      <c r="V47" s="2426"/>
      <c r="W47" s="2427"/>
      <c r="X47" s="2427"/>
      <c r="Y47" s="2427"/>
      <c r="Z47" s="2427"/>
      <c r="AA47" s="2427"/>
      <c r="AB47" s="2427"/>
      <c r="AC47" s="2428"/>
      <c r="AD47" s="2426"/>
      <c r="AE47" s="2427"/>
      <c r="AF47" s="2427"/>
      <c r="AG47" s="2427"/>
      <c r="AH47" s="2427"/>
      <c r="AI47" s="2427"/>
      <c r="AJ47" s="2427"/>
      <c r="AK47" s="2427"/>
      <c r="AL47" s="2428"/>
      <c r="AM47" s="1173"/>
      <c r="AO47" s="433"/>
      <c r="AP47" s="433" t="str">
        <f t="shared" si="1"/>
        <v/>
      </c>
      <c r="AQ47" s="433"/>
      <c r="AR47" s="433"/>
      <c r="AS47" s="444">
        <v>0</v>
      </c>
    </row>
    <row r="48" spans="1:45" ht="21.95" customHeight="1">
      <c r="A48" s="1151" t="s">
        <v>272</v>
      </c>
      <c r="B48" s="1151" t="s">
        <v>273</v>
      </c>
      <c r="C48" s="1151" t="s">
        <v>274</v>
      </c>
      <c r="D48" s="1151" t="s">
        <v>275</v>
      </c>
      <c r="E48" s="2396"/>
      <c r="F48" s="2396"/>
      <c r="G48" s="2396"/>
      <c r="H48" s="2396"/>
      <c r="I48" s="2398"/>
      <c r="J48" s="2397" t="str">
        <f>S46&amp;".1"</f>
        <v>....1</v>
      </c>
      <c r="K48" s="1151"/>
      <c r="L48" s="1152" t="s">
        <v>490</v>
      </c>
      <c r="P48" s="2399"/>
      <c r="Q48" s="2399">
        <v>1</v>
      </c>
      <c r="R48" s="290"/>
      <c r="S48" s="1124" t="str">
        <f>$J48</f>
        <v>....1</v>
      </c>
      <c r="T48" s="220" t="s">
        <v>491</v>
      </c>
      <c r="U48" s="234"/>
      <c r="V48" s="2383"/>
      <c r="W48" s="2384"/>
      <c r="X48" s="2384"/>
      <c r="Y48" s="2384"/>
      <c r="Z48" s="2384"/>
      <c r="AA48" s="2384"/>
      <c r="AB48" s="2384"/>
      <c r="AC48" s="2385"/>
      <c r="AD48" s="2383"/>
      <c r="AE48" s="2384"/>
      <c r="AF48" s="2384"/>
      <c r="AG48" s="2384"/>
      <c r="AH48" s="2384"/>
      <c r="AI48" s="2384"/>
      <c r="AJ48" s="2384"/>
      <c r="AK48" s="2384"/>
      <c r="AL48" s="2385"/>
      <c r="AM48" s="1046" t="s">
        <v>492</v>
      </c>
      <c r="AO48" s="433"/>
      <c r="AP48" s="433" t="str">
        <f t="shared" si="1"/>
        <v>Группа потребителей</v>
      </c>
      <c r="AQ48" s="433"/>
      <c r="AR48" s="433"/>
      <c r="AS48" s="956">
        <v>21</v>
      </c>
    </row>
    <row r="49" spans="1:45" ht="21.95" customHeight="1">
      <c r="A49" s="1151" t="s">
        <v>272</v>
      </c>
      <c r="B49" s="1151" t="s">
        <v>273</v>
      </c>
      <c r="C49" s="1151" t="s">
        <v>274</v>
      </c>
      <c r="D49" s="1151" t="s">
        <v>275</v>
      </c>
      <c r="E49" s="2396"/>
      <c r="F49" s="2396"/>
      <c r="G49" s="2396"/>
      <c r="H49" s="2396"/>
      <c r="I49" s="2398"/>
      <c r="J49" s="2398"/>
      <c r="K49" s="2397" t="str">
        <f>J48&amp;".1"</f>
        <v>....1.1</v>
      </c>
      <c r="L49" s="1152" t="s">
        <v>493</v>
      </c>
      <c r="P49" s="2399"/>
      <c r="Q49" s="2399"/>
      <c r="R49" s="290">
        <v>1</v>
      </c>
      <c r="S49" s="1124" t="str">
        <f>$K49</f>
        <v>....1.1</v>
      </c>
      <c r="T49" s="1135"/>
      <c r="U49" s="234"/>
      <c r="V49" s="658"/>
      <c r="W49" s="259"/>
      <c r="X49" s="658"/>
      <c r="Y49" s="1045"/>
      <c r="Z49" s="2400"/>
      <c r="AA49" s="2276" t="s">
        <v>52</v>
      </c>
      <c r="AB49" s="2400"/>
      <c r="AC49" s="2276" t="s">
        <v>52</v>
      </c>
      <c r="AD49" s="658"/>
      <c r="AE49" s="259"/>
      <c r="AF49" s="658"/>
      <c r="AG49" s="1045"/>
      <c r="AH49" s="2400"/>
      <c r="AI49" s="2276" t="s">
        <v>52</v>
      </c>
      <c r="AJ49" s="2402"/>
      <c r="AK49" s="2276" t="s">
        <v>52</v>
      </c>
      <c r="AL49" s="1136"/>
      <c r="AM49" s="2418" t="s">
        <v>535</v>
      </c>
      <c r="AN49" s="444" t="e">
        <f ca="1">STRCHECKDATE(V50:AL50)</f>
        <v>#NAME?</v>
      </c>
      <c r="AO49" s="433"/>
      <c r="AP49" s="433" t="str">
        <f t="shared" si="1"/>
        <v/>
      </c>
      <c r="AQ49" s="433"/>
      <c r="AR49" s="433"/>
      <c r="AS49" s="956">
        <v>21</v>
      </c>
    </row>
    <row r="50" spans="1:45" ht="0" hidden="1" customHeight="1">
      <c r="A50" s="1151" t="s">
        <v>272</v>
      </c>
      <c r="B50" s="1151" t="s">
        <v>273</v>
      </c>
      <c r="C50" s="1151" t="s">
        <v>274</v>
      </c>
      <c r="D50" s="1151" t="s">
        <v>275</v>
      </c>
      <c r="E50" s="2396"/>
      <c r="F50" s="2396"/>
      <c r="G50" s="2396"/>
      <c r="H50" s="2396"/>
      <c r="I50" s="2398"/>
      <c r="J50" s="2398"/>
      <c r="K50" s="2397"/>
      <c r="L50" s="1152"/>
      <c r="P50" s="2399"/>
      <c r="Q50" s="2399"/>
      <c r="R50" s="290"/>
      <c r="S50" s="1130"/>
      <c r="T50" s="234"/>
      <c r="U50" s="234"/>
      <c r="V50" s="259"/>
      <c r="W50" s="259"/>
      <c r="X50" s="259"/>
      <c r="Y50" s="262" t="str">
        <f>Z49&amp;"-"&amp;AB49</f>
        <v>-</v>
      </c>
      <c r="Z50" s="2401"/>
      <c r="AA50" s="2276"/>
      <c r="AB50" s="2401"/>
      <c r="AC50" s="2276"/>
      <c r="AD50" s="259"/>
      <c r="AE50" s="259"/>
      <c r="AF50" s="259"/>
      <c r="AG50" s="262" t="str">
        <f>AH49&amp;"-"&amp;AJ49</f>
        <v>-</v>
      </c>
      <c r="AH50" s="2401"/>
      <c r="AI50" s="2276"/>
      <c r="AJ50" s="2403"/>
      <c r="AK50" s="2276"/>
      <c r="AL50" s="1137"/>
      <c r="AM50" s="2419"/>
      <c r="AO50" s="433"/>
      <c r="AP50" s="433" t="str">
        <f t="shared" si="1"/>
        <v/>
      </c>
      <c r="AQ50" s="433"/>
      <c r="AR50" s="433"/>
      <c r="AS50" s="956">
        <v>0</v>
      </c>
    </row>
    <row r="51" spans="1:45" ht="11.45" customHeight="1">
      <c r="A51" s="1151" t="s">
        <v>272</v>
      </c>
      <c r="B51" s="1151" t="s">
        <v>273</v>
      </c>
      <c r="C51" s="1151" t="s">
        <v>274</v>
      </c>
      <c r="D51" s="1151" t="s">
        <v>275</v>
      </c>
      <c r="E51" s="2396"/>
      <c r="F51" s="2396"/>
      <c r="G51" s="2396"/>
      <c r="H51" s="2396"/>
      <c r="I51" s="2398"/>
      <c r="J51" s="2397"/>
      <c r="K51" s="1151"/>
      <c r="L51" s="1152"/>
      <c r="P51" s="2399"/>
      <c r="Q51" s="2399"/>
      <c r="R51" s="289"/>
      <c r="S51" s="1066"/>
      <c r="T51" s="221" t="s">
        <v>495</v>
      </c>
      <c r="U51" s="300"/>
      <c r="V51" s="300"/>
      <c r="W51" s="300"/>
      <c r="X51" s="300"/>
      <c r="Y51" s="300"/>
      <c r="Z51" s="300"/>
      <c r="AA51" s="300"/>
      <c r="AB51" s="300"/>
      <c r="AC51" s="300"/>
      <c r="AD51" s="300"/>
      <c r="AE51" s="300"/>
      <c r="AF51" s="300"/>
      <c r="AG51" s="300"/>
      <c r="AH51" s="300"/>
      <c r="AI51" s="300"/>
      <c r="AJ51" s="300"/>
      <c r="AK51" s="300"/>
      <c r="AL51" s="258"/>
      <c r="AM51" s="2420"/>
      <c r="AO51" s="433"/>
      <c r="AP51" s="433" t="str">
        <f t="shared" si="1"/>
        <v>Добавить вид теплоносителя (параметры теплоносителя)</v>
      </c>
      <c r="AQ51" s="433"/>
      <c r="AR51" s="433"/>
      <c r="AS51" s="956">
        <v>11</v>
      </c>
    </row>
    <row r="52" spans="1:45" ht="11.45" customHeight="1">
      <c r="A52" s="1151" t="s">
        <v>272</v>
      </c>
      <c r="B52" s="1151" t="s">
        <v>273</v>
      </c>
      <c r="C52" s="1151" t="s">
        <v>274</v>
      </c>
      <c r="D52" s="1151" t="s">
        <v>275</v>
      </c>
      <c r="E52" s="2396"/>
      <c r="F52" s="2396"/>
      <c r="G52" s="2396"/>
      <c r="H52" s="2396"/>
      <c r="I52" s="2397"/>
      <c r="J52" s="1151"/>
      <c r="K52" s="1151"/>
      <c r="L52" s="1152"/>
      <c r="P52" s="2399"/>
      <c r="Q52" s="1119"/>
      <c r="R52" s="289"/>
      <c r="S52" s="1066"/>
      <c r="T52" s="298" t="s">
        <v>496</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956">
        <v>11</v>
      </c>
    </row>
    <row r="53" spans="1:45" ht="0" hidden="1" customHeight="1">
      <c r="A53" s="1151" t="s">
        <v>272</v>
      </c>
      <c r="B53" s="1151" t="s">
        <v>273</v>
      </c>
      <c r="C53" s="1151" t="s">
        <v>274</v>
      </c>
      <c r="D53" s="1151" t="s">
        <v>275</v>
      </c>
      <c r="E53" s="2396"/>
      <c r="F53" s="2396"/>
      <c r="G53" s="2396"/>
      <c r="H53" s="2395"/>
      <c r="I53" s="1151"/>
      <c r="J53" s="1151"/>
      <c r="K53" s="1151"/>
      <c r="L53" s="1152"/>
      <c r="M53" s="1153"/>
      <c r="N53" s="1153"/>
      <c r="O53" s="469"/>
      <c r="P53" s="293"/>
      <c r="Q53" s="308"/>
      <c r="R53" s="288"/>
      <c r="S53" s="1174"/>
      <c r="T53" s="1175"/>
      <c r="U53" s="1176"/>
      <c r="V53" s="1176"/>
      <c r="W53" s="1176"/>
      <c r="X53" s="1176"/>
      <c r="Y53" s="1176"/>
      <c r="Z53" s="1176"/>
      <c r="AA53" s="1176"/>
      <c r="AB53" s="1176"/>
      <c r="AC53" s="1176"/>
      <c r="AD53" s="1176"/>
      <c r="AE53" s="1176"/>
      <c r="AF53" s="1176"/>
      <c r="AG53" s="1176"/>
      <c r="AH53" s="1176"/>
      <c r="AI53" s="1176"/>
      <c r="AJ53" s="1176"/>
      <c r="AK53" s="1176"/>
      <c r="AL53" s="1176"/>
      <c r="AM53" s="1177"/>
      <c r="AO53" s="433"/>
      <c r="AP53" s="433" t="str">
        <f t="shared" si="1"/>
        <v/>
      </c>
      <c r="AQ53" s="433"/>
      <c r="AR53" s="433"/>
      <c r="AS53" s="956">
        <v>0</v>
      </c>
    </row>
    <row r="54" spans="1:45" s="1430" customFormat="1" ht="0" hidden="1" customHeight="1">
      <c r="A54" s="1131" t="s">
        <v>272</v>
      </c>
      <c r="B54" s="1131" t="s">
        <v>273</v>
      </c>
      <c r="C54" s="1131" t="s">
        <v>274</v>
      </c>
      <c r="D54" s="1102"/>
      <c r="E54" s="2396"/>
      <c r="F54" s="2396"/>
      <c r="G54" s="2395"/>
      <c r="H54" s="1102"/>
      <c r="I54" s="1102"/>
      <c r="J54" s="1102"/>
      <c r="K54" s="1102"/>
      <c r="L54" s="1127"/>
      <c r="M54" s="1103"/>
      <c r="N54" s="1103"/>
      <c r="P54" s="1104"/>
      <c r="Q54" s="1105"/>
      <c r="R54" s="1104"/>
      <c r="S54" s="1110"/>
      <c r="T54" s="1113" t="s">
        <v>498</v>
      </c>
      <c r="U54" s="1112"/>
      <c r="V54" s="1112"/>
      <c r="W54" s="1112"/>
      <c r="X54" s="1112"/>
      <c r="Y54" s="1112"/>
      <c r="Z54" s="1112"/>
      <c r="AA54" s="1112"/>
      <c r="AB54" s="1112"/>
      <c r="AC54" s="1112"/>
      <c r="AD54" s="1112"/>
      <c r="AE54" s="1112"/>
      <c r="AF54" s="1112"/>
      <c r="AG54" s="1112"/>
      <c r="AH54" s="1112"/>
      <c r="AI54" s="1112"/>
      <c r="AJ54" s="1112"/>
      <c r="AK54" s="1112"/>
      <c r="AL54" s="1112"/>
      <c r="AM54" s="1112"/>
      <c r="AO54" s="688"/>
      <c r="AP54" s="688" t="str">
        <f t="shared" si="1"/>
        <v>Добавить источник для дифференциации</v>
      </c>
      <c r="AQ54" s="688"/>
      <c r="AR54" s="688"/>
      <c r="AS54" s="451">
        <v>0</v>
      </c>
    </row>
    <row r="55" spans="1:45" s="1430" customFormat="1" ht="0" hidden="1" customHeight="1">
      <c r="A55" s="1131" t="s">
        <v>272</v>
      </c>
      <c r="B55" s="1131" t="s">
        <v>273</v>
      </c>
      <c r="C55" s="1102"/>
      <c r="D55" s="1102"/>
      <c r="E55" s="2396"/>
      <c r="F55" s="2395"/>
      <c r="G55" s="1102"/>
      <c r="H55" s="1102"/>
      <c r="I55" s="1102"/>
      <c r="J55" s="1102"/>
      <c r="K55" s="1102"/>
      <c r="L55" s="1127"/>
      <c r="M55" s="1109"/>
      <c r="N55" s="1109"/>
      <c r="P55" s="1104"/>
      <c r="Q55" s="1105"/>
      <c r="R55" s="1104"/>
      <c r="S55" s="1110"/>
      <c r="T55" s="1113" t="s">
        <v>499</v>
      </c>
      <c r="U55" s="1112"/>
      <c r="V55" s="1112"/>
      <c r="W55" s="1112"/>
      <c r="X55" s="1112"/>
      <c r="Y55" s="1112"/>
      <c r="Z55" s="1112"/>
      <c r="AA55" s="1112"/>
      <c r="AB55" s="1112"/>
      <c r="AC55" s="1112"/>
      <c r="AD55" s="1112"/>
      <c r="AE55" s="1112"/>
      <c r="AF55" s="1112"/>
      <c r="AG55" s="1112"/>
      <c r="AH55" s="1112"/>
      <c r="AI55" s="1112"/>
      <c r="AJ55" s="1112"/>
      <c r="AK55" s="1112"/>
      <c r="AL55" s="1112"/>
      <c r="AM55" s="1112"/>
      <c r="AO55" s="688"/>
      <c r="AP55" s="688" t="str">
        <f t="shared" si="1"/>
        <v>Добавить централизованную систему для дифференциации</v>
      </c>
      <c r="AQ55" s="688"/>
      <c r="AR55" s="688"/>
      <c r="AS55" s="451">
        <v>0</v>
      </c>
    </row>
    <row r="56" spans="1:45" s="1430" customFormat="1" ht="0" hidden="1" customHeight="1">
      <c r="A56" s="1131" t="s">
        <v>272</v>
      </c>
      <c r="B56" s="1131"/>
      <c r="C56" s="1131"/>
      <c r="D56" s="1131"/>
      <c r="E56" s="2395"/>
      <c r="F56" s="1131"/>
      <c r="G56" s="1131"/>
      <c r="H56" s="1131"/>
      <c r="I56" s="1131"/>
      <c r="J56" s="1131"/>
      <c r="K56" s="1131"/>
      <c r="L56" s="1134"/>
      <c r="M56" s="1109"/>
      <c r="N56" s="1109"/>
      <c r="O56" s="451"/>
      <c r="P56" s="313"/>
      <c r="Q56" s="1132"/>
      <c r="R56" s="313"/>
      <c r="S56" s="1110"/>
      <c r="T56" s="1113" t="s">
        <v>500</v>
      </c>
      <c r="U56" s="1112"/>
      <c r="V56" s="1112"/>
      <c r="W56" s="1112"/>
      <c r="X56" s="1112"/>
      <c r="Y56" s="1112"/>
      <c r="Z56" s="1112"/>
      <c r="AA56" s="1112"/>
      <c r="AB56" s="1112"/>
      <c r="AC56" s="1112"/>
      <c r="AD56" s="1112"/>
      <c r="AE56" s="1112"/>
      <c r="AF56" s="1112"/>
      <c r="AG56" s="1112"/>
      <c r="AH56" s="1112"/>
      <c r="AI56" s="1112"/>
      <c r="AJ56" s="1112"/>
      <c r="AK56" s="1112"/>
      <c r="AL56" s="1112"/>
      <c r="AM56" s="1112"/>
      <c r="AO56" s="433"/>
      <c r="AP56" s="433" t="str">
        <f t="shared" si="1"/>
        <v>Добавить территорию для дифференциации</v>
      </c>
      <c r="AQ56" s="433"/>
      <c r="AR56" s="433"/>
      <c r="AS56" s="444">
        <v>0</v>
      </c>
    </row>
    <row r="57" spans="1:45" s="1430" customFormat="1" ht="4.1500000000000004" customHeight="1">
      <c r="A57" s="1102"/>
      <c r="B57" s="1102"/>
      <c r="C57" s="1102"/>
      <c r="D57" s="1102"/>
      <c r="E57" s="1131"/>
      <c r="F57" s="1102"/>
      <c r="G57" s="1102"/>
      <c r="H57" s="1102"/>
      <c r="I57" s="1102"/>
      <c r="J57" s="1102"/>
      <c r="K57" s="1102"/>
      <c r="L57" s="1127"/>
      <c r="M57" s="1109"/>
      <c r="N57" s="1109"/>
      <c r="P57" s="1104"/>
      <c r="Q57" s="1105"/>
      <c r="R57" s="1104"/>
      <c r="S57" s="1110"/>
      <c r="T57" s="1113" t="s">
        <v>532</v>
      </c>
      <c r="U57" s="1112"/>
      <c r="V57" s="1112"/>
      <c r="W57" s="1112"/>
      <c r="X57" s="1112"/>
      <c r="Y57" s="1112"/>
      <c r="Z57" s="1112"/>
      <c r="AA57" s="1112"/>
      <c r="AB57" s="1112"/>
      <c r="AC57" s="1112"/>
      <c r="AD57" s="1112"/>
      <c r="AE57" s="1112"/>
      <c r="AF57" s="1112"/>
      <c r="AG57" s="1112"/>
      <c r="AH57" s="1112"/>
      <c r="AI57" s="1112"/>
      <c r="AJ57" s="1112"/>
      <c r="AK57" s="1112"/>
      <c r="AL57" s="1112"/>
      <c r="AM57" s="1112"/>
      <c r="AO57" s="688"/>
      <c r="AP57" s="688" t="str">
        <f t="shared" si="1"/>
        <v>Добавить наименование тарифа</v>
      </c>
      <c r="AQ57" s="688"/>
      <c r="AR57" s="688"/>
      <c r="AS57" s="451">
        <v>4</v>
      </c>
    </row>
    <row r="58" spans="1:45" ht="11.45" customHeight="1">
      <c r="M58" s="961"/>
      <c r="N58" s="961"/>
      <c r="O58" s="469"/>
      <c r="P58" s="956"/>
      <c r="Q58" s="956"/>
      <c r="R58" s="956"/>
      <c r="S58" s="956"/>
      <c r="AN58" s="956"/>
      <c r="AO58" s="956"/>
      <c r="AP58" s="956"/>
      <c r="AQ58" s="956"/>
      <c r="AR58" s="956"/>
      <c r="AS58" s="956">
        <v>11</v>
      </c>
    </row>
    <row r="59" spans="1:45" ht="14.65" customHeight="1">
      <c r="O59" s="469"/>
      <c r="S59" s="1041"/>
      <c r="T59" s="2394"/>
      <c r="U59" s="2394"/>
      <c r="V59" s="2394"/>
      <c r="W59" s="2394"/>
      <c r="X59" s="2394"/>
      <c r="Y59" s="2394"/>
      <c r="Z59" s="2394"/>
      <c r="AA59" s="2394"/>
      <c r="AB59" s="2394"/>
      <c r="AC59" s="2394"/>
      <c r="AD59" s="2394"/>
      <c r="AE59" s="2394"/>
      <c r="AF59" s="2394"/>
      <c r="AG59" s="2394"/>
      <c r="AH59" s="2394"/>
      <c r="AI59" s="2394"/>
      <c r="AJ59" s="2394"/>
      <c r="AK59" s="2394"/>
      <c r="AL59" s="2394"/>
      <c r="AM59" s="2394"/>
      <c r="AS59" s="956">
        <v>14</v>
      </c>
    </row>
    <row r="60" spans="1:45" ht="14.65" customHeight="1">
      <c r="O60" s="469"/>
      <c r="T60" s="2394"/>
      <c r="U60" s="2394"/>
      <c r="V60" s="2394"/>
      <c r="W60" s="2394"/>
      <c r="X60" s="2394"/>
      <c r="Y60" s="2394"/>
      <c r="Z60" s="2394"/>
      <c r="AA60" s="2394"/>
      <c r="AB60" s="2394"/>
      <c r="AC60" s="2394"/>
      <c r="AD60" s="2394"/>
      <c r="AE60" s="2394"/>
      <c r="AF60" s="2394"/>
      <c r="AG60" s="2394"/>
      <c r="AH60" s="2394"/>
      <c r="AI60" s="2394"/>
      <c r="AJ60" s="2394"/>
      <c r="AK60" s="2394"/>
      <c r="AL60" s="2394"/>
      <c r="AM60" s="2394"/>
      <c r="AS60" s="956">
        <v>14</v>
      </c>
    </row>
    <row r="61" spans="1:45" ht="14.65" customHeight="1">
      <c r="O61" s="469"/>
      <c r="T61" s="2394"/>
      <c r="U61" s="2394"/>
      <c r="V61" s="2394"/>
      <c r="W61" s="2394"/>
      <c r="X61" s="2394"/>
      <c r="Y61" s="2394"/>
      <c r="Z61" s="2394"/>
      <c r="AA61" s="2394"/>
      <c r="AB61" s="2394"/>
      <c r="AC61" s="2394"/>
      <c r="AD61" s="2394"/>
      <c r="AE61" s="2394"/>
      <c r="AF61" s="2394"/>
      <c r="AG61" s="2394"/>
      <c r="AH61" s="2394"/>
      <c r="AI61" s="2394"/>
      <c r="AJ61" s="2394"/>
      <c r="AK61" s="2394"/>
      <c r="AL61" s="2394"/>
      <c r="AM61" s="2394"/>
      <c r="AS61" s="956">
        <v>14</v>
      </c>
    </row>
    <row r="62" spans="1:45" ht="14.65" customHeight="1">
      <c r="O62" s="469"/>
      <c r="AS62" s="956">
        <v>14</v>
      </c>
    </row>
    <row r="63" spans="1:45" ht="14.65" customHeight="1">
      <c r="O63" s="469"/>
      <c r="S63" s="1041"/>
      <c r="T63" s="2308"/>
      <c r="U63" s="2394"/>
      <c r="V63" s="2394"/>
      <c r="W63" s="2394"/>
      <c r="X63" s="2394"/>
      <c r="Y63" s="2394"/>
      <c r="Z63" s="2394"/>
      <c r="AA63" s="2394"/>
      <c r="AB63" s="2394"/>
      <c r="AC63" s="2394"/>
      <c r="AD63" s="2394"/>
      <c r="AE63" s="2394"/>
      <c r="AF63" s="2394"/>
      <c r="AG63" s="2394"/>
      <c r="AH63" s="2394"/>
      <c r="AI63" s="2394"/>
      <c r="AJ63" s="2394"/>
      <c r="AK63" s="2394"/>
      <c r="AL63" s="2394"/>
      <c r="AM63" s="2394"/>
      <c r="AS63" s="956">
        <v>14</v>
      </c>
    </row>
    <row r="64" spans="1:45" ht="14.65" customHeight="1">
      <c r="O64" s="469"/>
      <c r="T64" s="2394"/>
      <c r="U64" s="2394"/>
      <c r="V64" s="2394"/>
      <c r="W64" s="2394"/>
      <c r="X64" s="2394"/>
      <c r="Y64" s="2394"/>
      <c r="Z64" s="2394"/>
      <c r="AA64" s="2394"/>
      <c r="AB64" s="2394"/>
      <c r="AC64" s="2394"/>
      <c r="AD64" s="2394"/>
      <c r="AE64" s="2394"/>
      <c r="AF64" s="2394"/>
      <c r="AG64" s="2394"/>
      <c r="AH64" s="2394"/>
      <c r="AI64" s="2394"/>
      <c r="AJ64" s="2394"/>
      <c r="AK64" s="2394"/>
      <c r="AL64" s="2394"/>
      <c r="AM64" s="2394"/>
      <c r="AS64" s="956">
        <v>14</v>
      </c>
    </row>
    <row r="65" spans="1:45" ht="14.65" customHeight="1">
      <c r="T65" s="2394"/>
      <c r="U65" s="2394"/>
      <c r="V65" s="2394"/>
      <c r="W65" s="2394"/>
      <c r="X65" s="2394"/>
      <c r="Y65" s="2394"/>
      <c r="Z65" s="2394"/>
      <c r="AA65" s="2394"/>
      <c r="AB65" s="2394"/>
      <c r="AC65" s="2394"/>
      <c r="AD65" s="2394"/>
      <c r="AE65" s="2394"/>
      <c r="AF65" s="2394"/>
      <c r="AG65" s="2394"/>
      <c r="AH65" s="2394"/>
      <c r="AI65" s="2394"/>
      <c r="AJ65" s="2394"/>
      <c r="AK65" s="2394"/>
      <c r="AL65" s="2394"/>
      <c r="AM65" s="2394"/>
      <c r="AS65" s="956">
        <v>14</v>
      </c>
    </row>
    <row r="66" spans="1:45" ht="22.5" hidden="1" customHeight="1">
      <c r="A66" s="961" t="s">
        <v>69</v>
      </c>
      <c r="B66" s="961">
        <v>0</v>
      </c>
      <c r="C66" s="961">
        <v>0</v>
      </c>
      <c r="D66" s="961">
        <v>0</v>
      </c>
      <c r="E66" s="961">
        <v>0</v>
      </c>
      <c r="F66" s="961">
        <v>0</v>
      </c>
      <c r="G66" s="961">
        <v>0</v>
      </c>
      <c r="H66" s="961">
        <v>0</v>
      </c>
      <c r="I66" s="961">
        <v>0</v>
      </c>
      <c r="J66" s="961">
        <v>0</v>
      </c>
      <c r="K66" s="961">
        <v>0</v>
      </c>
      <c r="L66" s="1117">
        <v>0</v>
      </c>
      <c r="M66" s="1150">
        <v>0</v>
      </c>
      <c r="N66" s="1150">
        <v>0</v>
      </c>
      <c r="O66" s="1150">
        <v>0</v>
      </c>
      <c r="P66" s="1116">
        <v>0</v>
      </c>
      <c r="Q66" s="278">
        <v>3</v>
      </c>
      <c r="R66" s="278">
        <v>3</v>
      </c>
      <c r="S66" s="512">
        <v>12</v>
      </c>
      <c r="T66" s="956">
        <v>31</v>
      </c>
      <c r="U66" s="956">
        <v>0</v>
      </c>
      <c r="V66" s="956">
        <v>0</v>
      </c>
      <c r="W66" s="956">
        <v>0</v>
      </c>
      <c r="X66" s="956">
        <v>0</v>
      </c>
      <c r="Y66" s="956">
        <v>0</v>
      </c>
      <c r="Z66" s="956">
        <v>0</v>
      </c>
      <c r="AA66" s="956">
        <v>0</v>
      </c>
      <c r="AB66" s="956">
        <v>0</v>
      </c>
      <c r="AC66" s="956">
        <v>0</v>
      </c>
      <c r="AD66" s="956">
        <v>24</v>
      </c>
      <c r="AE66" s="956">
        <v>0</v>
      </c>
      <c r="AF66" s="956">
        <v>24</v>
      </c>
      <c r="AG66" s="956">
        <v>24</v>
      </c>
      <c r="AH66" s="956">
        <v>11</v>
      </c>
      <c r="AI66" s="956">
        <v>3</v>
      </c>
      <c r="AJ66" s="956">
        <v>11</v>
      </c>
      <c r="AK66" s="956">
        <v>0</v>
      </c>
      <c r="AL66" s="956">
        <v>4</v>
      </c>
      <c r="AM66" s="956">
        <v>115</v>
      </c>
      <c r="AN66" s="444">
        <v>10</v>
      </c>
      <c r="AO66" s="444">
        <v>10</v>
      </c>
      <c r="AP66" s="444">
        <v>10</v>
      </c>
      <c r="AQ66" s="444">
        <v>10</v>
      </c>
      <c r="AR66" s="444">
        <v>10</v>
      </c>
      <c r="AS66" s="956">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423" hidden="1"/>
    <col min="2" max="2" width="11" style="1423" hidden="1" customWidth="1"/>
    <col min="3" max="3" width="10.5703125" style="1423" hidden="1"/>
    <col min="4" max="4" width="11.85546875" style="1423" hidden="1" customWidth="1"/>
    <col min="5" max="5" width="10" style="1423" hidden="1" customWidth="1"/>
    <col min="6" max="6" width="8.7109375" style="1423" hidden="1" customWidth="1"/>
    <col min="7" max="7" width="7.5703125" style="1423" hidden="1" customWidth="1"/>
    <col min="8" max="8" width="11.42578125" style="1423" hidden="1" customWidth="1"/>
    <col min="9" max="9" width="12" style="1423" hidden="1" customWidth="1"/>
    <col min="10" max="10" width="9.85546875" style="1423" hidden="1" customWidth="1"/>
    <col min="11" max="12" width="11.42578125" style="1423" hidden="1" customWidth="1"/>
    <col min="13" max="13" width="19.140625" style="1844" hidden="1" customWidth="1"/>
    <col min="14" max="15" width="12.28515625" style="1857" hidden="1" customWidth="1"/>
    <col min="16" max="16" width="23.42578125" style="1857" hidden="1" customWidth="1"/>
    <col min="17" max="17" width="3.7109375" style="1857" hidden="1" customWidth="1"/>
    <col min="18" max="20" width="3" style="278" customWidth="1"/>
    <col min="21" max="21" width="12" style="1858" customWidth="1"/>
    <col min="22" max="22" width="31" style="1423" customWidth="1"/>
    <col min="23" max="23" width="0.140625" style="1423" customWidth="1"/>
    <col min="24" max="28" width="21.7109375" style="1423" hidden="1" customWidth="1"/>
    <col min="29" max="29" width="11.7109375" style="1423" hidden="1" customWidth="1"/>
    <col min="30" max="30" width="3.7109375" style="1423" hidden="1" customWidth="1"/>
    <col min="31" max="31" width="11.7109375" style="1423" hidden="1" customWidth="1"/>
    <col min="32" max="32" width="8.5703125" style="1423" hidden="1" customWidth="1"/>
    <col min="33" max="33" width="21.7109375" style="1423" customWidth="1"/>
    <col min="34" max="37" width="21" style="1423" customWidth="1"/>
    <col min="38" max="38" width="11" style="1423" customWidth="1"/>
    <col min="39" max="39" width="3.7109375" style="1423" customWidth="1"/>
    <col min="40" max="40" width="11" style="1423" customWidth="1"/>
    <col min="41" max="41" width="8.5703125" style="1423" hidden="1" customWidth="1"/>
    <col min="42" max="42" width="4" style="1423" customWidth="1"/>
    <col min="43" max="43" width="115" style="1423" customWidth="1"/>
    <col min="44" max="48" width="10" style="1430" customWidth="1"/>
    <col min="49" max="49" width="10.5703125" style="1423" hidden="1"/>
  </cols>
  <sheetData>
    <row r="1" spans="1:49" ht="22.5" hidden="1" customHeight="1">
      <c r="AB1" s="261"/>
      <c r="AC1" s="261"/>
      <c r="AK1" s="261"/>
      <c r="AL1" s="261"/>
      <c r="AW1" s="956" t="s">
        <v>1</v>
      </c>
    </row>
    <row r="2" spans="1:49" ht="21" hidden="1" customHeight="1">
      <c r="A2" s="1055"/>
      <c r="B2" s="1055"/>
      <c r="C2" s="1055"/>
      <c r="D2" s="1055"/>
      <c r="E2" s="2421">
        <v>1</v>
      </c>
      <c r="F2" s="1055"/>
      <c r="G2" s="1055"/>
      <c r="H2" s="1055"/>
      <c r="I2" s="1055"/>
      <c r="J2" s="1055"/>
      <c r="K2" s="1055"/>
      <c r="L2" s="1055"/>
      <c r="M2" s="1098"/>
      <c r="N2" s="609"/>
      <c r="O2" s="609"/>
      <c r="P2" s="609"/>
      <c r="Q2" s="294"/>
      <c r="R2" s="293"/>
      <c r="S2" s="293"/>
      <c r="T2" s="288"/>
      <c r="U2" s="1124" t="e">
        <f>INDEX(PT_DIFFERENTIATION_NUM_NTAR,MATCH(A2,PT_DIFFERENTIATION_NTAR_ID,0))</f>
        <v>#N/A</v>
      </c>
      <c r="V2" s="232" t="s">
        <v>214</v>
      </c>
      <c r="W2" s="234"/>
      <c r="X2" s="2389"/>
      <c r="Y2" s="2390"/>
      <c r="Z2" s="2390"/>
      <c r="AA2" s="2390"/>
      <c r="AB2" s="2390"/>
      <c r="AC2" s="2390"/>
      <c r="AD2" s="2390"/>
      <c r="AE2" s="2390"/>
      <c r="AF2" s="2391"/>
      <c r="AG2" s="2389" t="e">
        <f>INDEX(PT_DIFFERENTIATION_NTAR,MATCH(A2,PT_DIFFERENTIATION_NTAR_ID,0))</f>
        <v>#N/A</v>
      </c>
      <c r="AH2" s="2390"/>
      <c r="AI2" s="2390"/>
      <c r="AJ2" s="2390"/>
      <c r="AK2" s="2390"/>
      <c r="AL2" s="2390"/>
      <c r="AM2" s="2390"/>
      <c r="AN2" s="2390"/>
      <c r="AO2" s="2390"/>
      <c r="AP2" s="2391"/>
      <c r="AQ2" s="1046" t="s">
        <v>480</v>
      </c>
      <c r="AS2" s="433"/>
      <c r="AT2" s="433" t="str">
        <f t="shared" ref="AT2:AT8" si="0">IF(V2="","",V2)</f>
        <v>Наименование тарифа</v>
      </c>
      <c r="AU2" s="433"/>
      <c r="AV2" s="433"/>
      <c r="AW2" s="956">
        <v>0</v>
      </c>
    </row>
    <row r="3" spans="1:49" ht="21" hidden="1" customHeight="1">
      <c r="A3" s="1055"/>
      <c r="B3" s="1055"/>
      <c r="C3" s="1055"/>
      <c r="D3" s="1055"/>
      <c r="E3" s="2422"/>
      <c r="F3" s="2421">
        <v>1</v>
      </c>
      <c r="G3" s="1055"/>
      <c r="H3" s="1055"/>
      <c r="I3" s="1055"/>
      <c r="J3" s="1055"/>
      <c r="K3" s="1055"/>
      <c r="L3" s="1055"/>
      <c r="M3" s="1098"/>
      <c r="N3" s="609"/>
      <c r="O3" s="609"/>
      <c r="P3" s="609"/>
      <c r="Q3" s="1120"/>
      <c r="R3" s="285"/>
      <c r="S3" s="442"/>
      <c r="T3" s="286"/>
      <c r="U3" s="1124" t="e">
        <f>INDEX(PT_DIFFERENTIATION_NUM_TER,MATCH(B3,PT_DIFFERENTIATION_TER_ID,0))</f>
        <v>#N/A</v>
      </c>
      <c r="V3" s="242" t="s">
        <v>481</v>
      </c>
      <c r="W3" s="234"/>
      <c r="X3" s="2389"/>
      <c r="Y3" s="2390"/>
      <c r="Z3" s="2390"/>
      <c r="AA3" s="2390"/>
      <c r="AB3" s="2390"/>
      <c r="AC3" s="2390"/>
      <c r="AD3" s="2390"/>
      <c r="AE3" s="2390"/>
      <c r="AF3" s="2391"/>
      <c r="AG3" s="2389" t="e">
        <f>INDEX(PT_DIFFERENTIATION_TER,MATCH(B3,PT_DIFFERENTIATION_TER_ID,0))</f>
        <v>#N/A</v>
      </c>
      <c r="AH3" s="2390"/>
      <c r="AI3" s="2390"/>
      <c r="AJ3" s="2390"/>
      <c r="AK3" s="2390"/>
      <c r="AL3" s="2390"/>
      <c r="AM3" s="2390"/>
      <c r="AN3" s="2390"/>
      <c r="AO3" s="2390"/>
      <c r="AP3" s="2391"/>
      <c r="AQ3" s="1046" t="s">
        <v>482</v>
      </c>
      <c r="AS3" s="433"/>
      <c r="AT3" s="433" t="str">
        <f t="shared" si="0"/>
        <v>Территория действия тарифа</v>
      </c>
      <c r="AU3" s="433"/>
      <c r="AV3" s="433"/>
      <c r="AW3" s="956">
        <v>0</v>
      </c>
    </row>
    <row r="4" spans="1:49" ht="22.5" hidden="1" customHeight="1">
      <c r="A4" s="1055"/>
      <c r="B4" s="1055"/>
      <c r="C4" s="1055"/>
      <c r="D4" s="1055"/>
      <c r="E4" s="2422"/>
      <c r="F4" s="2422"/>
      <c r="G4" s="2421">
        <v>1</v>
      </c>
      <c r="H4" s="1055"/>
      <c r="I4" s="1055"/>
      <c r="J4" s="1055"/>
      <c r="K4" s="1055"/>
      <c r="L4" s="1055"/>
      <c r="M4" s="1098"/>
      <c r="N4" s="609"/>
      <c r="O4" s="609"/>
      <c r="P4" s="609"/>
      <c r="Q4" s="287"/>
      <c r="R4" s="285"/>
      <c r="S4" s="442"/>
      <c r="T4" s="286"/>
      <c r="U4" s="1124" t="e">
        <f>INDEX(PT_DIFFERENTIATION_NUM_CS,MATCH(C4,PT_DIFFERENTIATION_CS_ID,0))</f>
        <v>#N/A</v>
      </c>
      <c r="V4" s="243" t="s">
        <v>483</v>
      </c>
      <c r="W4" s="234"/>
      <c r="X4" s="2389"/>
      <c r="Y4" s="2390"/>
      <c r="Z4" s="2390"/>
      <c r="AA4" s="2390"/>
      <c r="AB4" s="2390"/>
      <c r="AC4" s="2390"/>
      <c r="AD4" s="2390"/>
      <c r="AE4" s="2390"/>
      <c r="AF4" s="2391"/>
      <c r="AG4" s="2389" t="e">
        <f>INDEX(PT_DIFFERENTIATION_CS,MATCH(C4,PT_DIFFERENTIATION_CS_ID,0))</f>
        <v>#N/A</v>
      </c>
      <c r="AH4" s="2390"/>
      <c r="AI4" s="2390"/>
      <c r="AJ4" s="2390"/>
      <c r="AK4" s="2390"/>
      <c r="AL4" s="2390"/>
      <c r="AM4" s="2390"/>
      <c r="AN4" s="2390"/>
      <c r="AO4" s="2390"/>
      <c r="AP4" s="2391"/>
      <c r="AQ4" s="1046" t="s">
        <v>484</v>
      </c>
      <c r="AS4" s="433"/>
      <c r="AT4" s="433" t="str">
        <f t="shared" si="0"/>
        <v xml:space="preserve">Наименование системы теплоснабжения </v>
      </c>
      <c r="AU4" s="433"/>
      <c r="AV4" s="433"/>
      <c r="AW4" s="956">
        <v>0</v>
      </c>
    </row>
    <row r="5" spans="1:49" ht="21" hidden="1" customHeight="1">
      <c r="A5" s="1055"/>
      <c r="B5" s="1055"/>
      <c r="C5" s="1055"/>
      <c r="D5" s="1055"/>
      <c r="E5" s="2422"/>
      <c r="F5" s="2422"/>
      <c r="G5" s="2422"/>
      <c r="H5" s="2421">
        <v>1</v>
      </c>
      <c r="I5" s="1055"/>
      <c r="J5" s="1055"/>
      <c r="K5" s="1055"/>
      <c r="L5" s="1055"/>
      <c r="M5" s="1098"/>
      <c r="N5" s="609"/>
      <c r="O5" s="609"/>
      <c r="P5" s="609"/>
      <c r="Q5" s="287"/>
      <c r="R5" s="285"/>
      <c r="S5" s="442"/>
      <c r="T5" s="286"/>
      <c r="U5" s="1124" t="e">
        <f>INDEX(PT_DIFFERENTIATION_NUM_IST_TE,MATCH(D5,PT_DIFFERENTIATION_IST_TE_ID,0))</f>
        <v>#N/A</v>
      </c>
      <c r="V5" s="244" t="s">
        <v>485</v>
      </c>
      <c r="W5" s="234"/>
      <c r="X5" s="2389"/>
      <c r="Y5" s="2390"/>
      <c r="Z5" s="2390"/>
      <c r="AA5" s="2390"/>
      <c r="AB5" s="2390"/>
      <c r="AC5" s="2390"/>
      <c r="AD5" s="2390"/>
      <c r="AE5" s="2390"/>
      <c r="AF5" s="2391"/>
      <c r="AG5" s="2389" t="e">
        <f>INDEX(PT_DIFFERENTIATION_IST_TE,MATCH(D5,PT_DIFFERENTIATION_IST_TE_ID,0))</f>
        <v>#N/A</v>
      </c>
      <c r="AH5" s="2390"/>
      <c r="AI5" s="2390"/>
      <c r="AJ5" s="2390"/>
      <c r="AK5" s="2390"/>
      <c r="AL5" s="2390"/>
      <c r="AM5" s="2390"/>
      <c r="AN5" s="2390"/>
      <c r="AO5" s="2390"/>
      <c r="AP5" s="2391"/>
      <c r="AQ5" s="1046" t="s">
        <v>486</v>
      </c>
      <c r="AS5" s="433"/>
      <c r="AT5" s="433" t="str">
        <f t="shared" si="0"/>
        <v xml:space="preserve">Источник тепловой энергии  </v>
      </c>
      <c r="AU5" s="433"/>
      <c r="AV5" s="433"/>
      <c r="AW5" s="956">
        <v>0</v>
      </c>
    </row>
    <row r="6" spans="1:49" ht="14.25" hidden="1" customHeight="1">
      <c r="A6" s="1055"/>
      <c r="B6" s="1055"/>
      <c r="C6" s="1055"/>
      <c r="D6" s="1055"/>
      <c r="E6" s="2422"/>
      <c r="F6" s="2422"/>
      <c r="G6" s="2422"/>
      <c r="H6" s="2422"/>
      <c r="I6" s="2266" t="e">
        <f>U5&amp;".1"</f>
        <v>#N/A</v>
      </c>
      <c r="J6" s="1055"/>
      <c r="K6" s="1055"/>
      <c r="L6" s="1055"/>
      <c r="M6" s="1098" t="s">
        <v>487</v>
      </c>
      <c r="N6" s="442"/>
      <c r="Q6" s="2399">
        <v>1</v>
      </c>
      <c r="R6" s="1119"/>
      <c r="S6" s="1119"/>
      <c r="T6" s="289"/>
      <c r="U6" s="881"/>
      <c r="V6" s="1171"/>
      <c r="W6" s="1172"/>
      <c r="X6" s="2426"/>
      <c r="Y6" s="2427"/>
      <c r="Z6" s="2427"/>
      <c r="AA6" s="2427"/>
      <c r="AB6" s="2427"/>
      <c r="AC6" s="2427"/>
      <c r="AD6" s="2427"/>
      <c r="AE6" s="2427"/>
      <c r="AF6" s="2428"/>
      <c r="AG6" s="2426"/>
      <c r="AH6" s="2427"/>
      <c r="AI6" s="2427"/>
      <c r="AJ6" s="2427"/>
      <c r="AK6" s="2427"/>
      <c r="AL6" s="2427"/>
      <c r="AM6" s="2427"/>
      <c r="AN6" s="2427"/>
      <c r="AO6" s="2427"/>
      <c r="AP6" s="2428"/>
      <c r="AQ6" s="1173"/>
      <c r="AS6" s="433"/>
      <c r="AT6" s="433" t="str">
        <f t="shared" si="0"/>
        <v/>
      </c>
      <c r="AU6" s="433"/>
      <c r="AV6" s="433"/>
      <c r="AW6" s="956">
        <v>0</v>
      </c>
    </row>
    <row r="7" spans="1:49" ht="21" hidden="1" customHeight="1">
      <c r="A7" s="1055"/>
      <c r="B7" s="1055"/>
      <c r="C7" s="1055"/>
      <c r="D7" s="1055"/>
      <c r="E7" s="2422"/>
      <c r="F7" s="2422"/>
      <c r="G7" s="2422"/>
      <c r="H7" s="2422"/>
      <c r="I7" s="2247"/>
      <c r="J7" s="2266" t="e">
        <f>I6&amp;".1"</f>
        <v>#N/A</v>
      </c>
      <c r="K7" s="1055"/>
      <c r="L7" s="1055"/>
      <c r="M7" s="1098" t="s">
        <v>490</v>
      </c>
      <c r="N7" s="442"/>
      <c r="O7" s="261"/>
      <c r="Q7" s="2399"/>
      <c r="R7" s="2399">
        <v>1</v>
      </c>
      <c r="S7" s="451"/>
      <c r="T7" s="290"/>
      <c r="U7" s="1124" t="e">
        <f>$J7</f>
        <v>#N/A</v>
      </c>
      <c r="V7" s="220" t="s">
        <v>491</v>
      </c>
      <c r="W7" s="234"/>
      <c r="X7" s="2383"/>
      <c r="Y7" s="2384"/>
      <c r="Z7" s="2384"/>
      <c r="AA7" s="2384"/>
      <c r="AB7" s="2384"/>
      <c r="AC7" s="2379"/>
      <c r="AD7" s="2379"/>
      <c r="AE7" s="2379"/>
      <c r="AF7" s="2439"/>
      <c r="AG7" s="2383"/>
      <c r="AH7" s="2384"/>
      <c r="AI7" s="2384"/>
      <c r="AJ7" s="2384"/>
      <c r="AK7" s="2384"/>
      <c r="AL7" s="2384"/>
      <c r="AM7" s="2384"/>
      <c r="AN7" s="2384"/>
      <c r="AO7" s="2384"/>
      <c r="AP7" s="2385"/>
      <c r="AQ7" s="1046" t="s">
        <v>492</v>
      </c>
      <c r="AS7" s="433"/>
      <c r="AT7" s="433" t="str">
        <f t="shared" si="0"/>
        <v>Группа потребителей</v>
      </c>
      <c r="AU7" s="433"/>
      <c r="AV7" s="433"/>
      <c r="AW7" s="956">
        <v>0</v>
      </c>
    </row>
    <row r="8" spans="1:49" ht="21" hidden="1" customHeight="1">
      <c r="A8" s="1055"/>
      <c r="B8" s="1055"/>
      <c r="C8" s="1055"/>
      <c r="D8" s="1055"/>
      <c r="E8" s="2422"/>
      <c r="F8" s="2422"/>
      <c r="G8" s="2422"/>
      <c r="H8" s="2422"/>
      <c r="I8" s="2247"/>
      <c r="J8" s="2247"/>
      <c r="K8" s="2266" t="e">
        <f>J7&amp;".1"</f>
        <v>#N/A</v>
      </c>
      <c r="L8" s="75"/>
      <c r="M8" s="1098" t="s">
        <v>493</v>
      </c>
      <c r="N8" s="442"/>
      <c r="O8" s="261"/>
      <c r="P8" s="261"/>
      <c r="Q8" s="2399"/>
      <c r="R8" s="2399"/>
      <c r="S8" s="2399">
        <v>1</v>
      </c>
      <c r="T8" s="290"/>
      <c r="U8" s="1124" t="e">
        <f>$K8</f>
        <v>#N/A</v>
      </c>
      <c r="V8" s="1135"/>
      <c r="W8" s="234"/>
      <c r="X8" s="658"/>
      <c r="Y8" s="658"/>
      <c r="Z8" s="658"/>
      <c r="AA8" s="658"/>
      <c r="AB8" s="1193"/>
      <c r="AC8" s="2400"/>
      <c r="AD8" s="2276" t="s">
        <v>52</v>
      </c>
      <c r="AE8" s="2400"/>
      <c r="AF8" s="2276" t="s">
        <v>52</v>
      </c>
      <c r="AG8" s="1195"/>
      <c r="AH8" s="658"/>
      <c r="AI8" s="658"/>
      <c r="AJ8" s="658"/>
      <c r="AK8" s="1045"/>
      <c r="AL8" s="2400"/>
      <c r="AM8" s="2276" t="s">
        <v>52</v>
      </c>
      <c r="AN8" s="2400"/>
      <c r="AO8" s="2276" t="s">
        <v>52</v>
      </c>
      <c r="AP8" s="259"/>
      <c r="AQ8" s="1095" t="s">
        <v>536</v>
      </c>
      <c r="AR8" s="444" t="e">
        <f ca="1">STRCHECKDATE(X10:AP10)</f>
        <v>#NAME?</v>
      </c>
      <c r="AS8" s="433"/>
      <c r="AT8" s="433" t="str">
        <f t="shared" si="0"/>
        <v/>
      </c>
      <c r="AU8" s="433"/>
      <c r="AV8" s="433"/>
      <c r="AW8" s="956">
        <v>0</v>
      </c>
    </row>
    <row r="9" spans="1:49" ht="21" hidden="1" customHeight="1">
      <c r="A9" s="1055"/>
      <c r="B9" s="1055"/>
      <c r="C9" s="1055"/>
      <c r="D9" s="1055"/>
      <c r="E9" s="2422"/>
      <c r="F9" s="2422"/>
      <c r="G9" s="2422"/>
      <c r="H9" s="2422"/>
      <c r="I9" s="2247"/>
      <c r="J9" s="2247"/>
      <c r="K9" s="2247"/>
      <c r="L9" s="2266" t="e">
        <f>K8&amp;".1"</f>
        <v>#N/A</v>
      </c>
      <c r="M9" s="1098"/>
      <c r="N9" s="442"/>
      <c r="O9" s="261"/>
      <c r="P9" s="261"/>
      <c r="Q9" s="2399"/>
      <c r="R9" s="2399"/>
      <c r="S9" s="2399"/>
      <c r="T9" s="290"/>
      <c r="U9" s="1124" t="e">
        <f>$L9</f>
        <v>#N/A</v>
      </c>
      <c r="V9" s="1179"/>
      <c r="W9" s="234"/>
      <c r="X9" s="259"/>
      <c r="Y9" s="658"/>
      <c r="Z9" s="658"/>
      <c r="AA9" s="658"/>
      <c r="AB9" s="1193"/>
      <c r="AC9" s="2401"/>
      <c r="AD9" s="2276"/>
      <c r="AE9" s="2401"/>
      <c r="AF9" s="2276"/>
      <c r="AG9" s="1195"/>
      <c r="AH9" s="658"/>
      <c r="AI9" s="658"/>
      <c r="AJ9" s="658"/>
      <c r="AK9" s="1045"/>
      <c r="AL9" s="2401"/>
      <c r="AM9" s="2276"/>
      <c r="AN9" s="2401"/>
      <c r="AO9" s="2276"/>
      <c r="AP9" s="259"/>
      <c r="AQ9" s="2418" t="s">
        <v>537</v>
      </c>
      <c r="AS9" s="433"/>
      <c r="AT9" s="433"/>
      <c r="AU9" s="433"/>
      <c r="AV9" s="433"/>
      <c r="AW9" s="956">
        <v>0</v>
      </c>
    </row>
    <row r="10" spans="1:49" ht="14.25" hidden="1" customHeight="1">
      <c r="A10" s="1055"/>
      <c r="B10" s="1055"/>
      <c r="C10" s="1055"/>
      <c r="D10" s="1055"/>
      <c r="E10" s="2422"/>
      <c r="F10" s="2422"/>
      <c r="G10" s="2422"/>
      <c r="H10" s="2422"/>
      <c r="I10" s="2247"/>
      <c r="J10" s="2247"/>
      <c r="K10" s="2247"/>
      <c r="L10" s="2266"/>
      <c r="M10" s="1098"/>
      <c r="N10" s="442"/>
      <c r="O10" s="261"/>
      <c r="P10" s="261"/>
      <c r="Q10" s="2399"/>
      <c r="R10" s="2399"/>
      <c r="S10" s="2399"/>
      <c r="T10" s="290"/>
      <c r="U10" s="1130"/>
      <c r="V10" s="234"/>
      <c r="W10" s="234"/>
      <c r="X10" s="259"/>
      <c r="Y10" s="259"/>
      <c r="Z10" s="259"/>
      <c r="AA10" s="259"/>
      <c r="AB10" s="1194" t="str">
        <f>AC8&amp;"-"&amp;AE8</f>
        <v>-</v>
      </c>
      <c r="AC10" s="2401"/>
      <c r="AD10" s="2276"/>
      <c r="AE10" s="2401"/>
      <c r="AF10" s="2276"/>
      <c r="AG10" s="1170"/>
      <c r="AH10" s="259"/>
      <c r="AI10" s="259"/>
      <c r="AJ10" s="259"/>
      <c r="AK10" s="262" t="str">
        <f>AL8&amp;"-"&amp;AN8</f>
        <v>-</v>
      </c>
      <c r="AL10" s="2401"/>
      <c r="AM10" s="2276"/>
      <c r="AN10" s="2401"/>
      <c r="AO10" s="2276"/>
      <c r="AP10" s="259"/>
      <c r="AQ10" s="2419"/>
      <c r="AS10" s="433"/>
      <c r="AT10" s="433" t="str">
        <f>IF(V10="","",V10)</f>
        <v/>
      </c>
      <c r="AU10" s="433"/>
      <c r="AV10" s="433"/>
      <c r="AW10" s="956">
        <v>0</v>
      </c>
    </row>
    <row r="11" spans="1:49" ht="11.25" hidden="1" customHeight="1">
      <c r="A11" s="1055"/>
      <c r="B11" s="1055"/>
      <c r="C11" s="1055"/>
      <c r="D11" s="1055"/>
      <c r="E11" s="2422"/>
      <c r="F11" s="2422"/>
      <c r="G11" s="2422"/>
      <c r="H11" s="2422"/>
      <c r="I11" s="2247"/>
      <c r="J11" s="2247"/>
      <c r="K11" s="2266"/>
      <c r="L11" s="1055"/>
      <c r="M11" s="1098"/>
      <c r="N11" s="442"/>
      <c r="O11" s="261"/>
      <c r="P11" s="261"/>
      <c r="Q11" s="2399"/>
      <c r="R11" s="2399"/>
      <c r="S11" s="2399"/>
      <c r="T11" s="290"/>
      <c r="U11" s="1066"/>
      <c r="V11" s="222" t="s">
        <v>538</v>
      </c>
      <c r="W11" s="1180"/>
      <c r="X11" s="1181"/>
      <c r="Y11" s="1181"/>
      <c r="Z11" s="1181"/>
      <c r="AA11" s="1181"/>
      <c r="AB11" s="1182"/>
      <c r="AC11" s="2401"/>
      <c r="AD11" s="2276"/>
      <c r="AE11" s="2401"/>
      <c r="AF11" s="2276"/>
      <c r="AG11" s="1181"/>
      <c r="AH11" s="1181"/>
      <c r="AI11" s="1181"/>
      <c r="AJ11" s="1181"/>
      <c r="AK11" s="1182"/>
      <c r="AL11" s="2401"/>
      <c r="AM11" s="2276"/>
      <c r="AN11" s="2401"/>
      <c r="AO11" s="2276"/>
      <c r="AP11" s="1183"/>
      <c r="AQ11" s="2419"/>
      <c r="AS11" s="433"/>
      <c r="AT11" s="433"/>
      <c r="AU11" s="433"/>
      <c r="AV11" s="433"/>
      <c r="AW11" s="956">
        <v>0</v>
      </c>
    </row>
    <row r="12" spans="1:49" ht="15" hidden="1" customHeight="1">
      <c r="A12" s="1055"/>
      <c r="B12" s="1055"/>
      <c r="C12" s="1055"/>
      <c r="D12" s="1055"/>
      <c r="E12" s="2422"/>
      <c r="F12" s="2422"/>
      <c r="G12" s="2422"/>
      <c r="H12" s="2422"/>
      <c r="I12" s="2247"/>
      <c r="J12" s="2266"/>
      <c r="K12" s="1055"/>
      <c r="L12" s="1055"/>
      <c r="M12" s="1098"/>
      <c r="N12" s="442"/>
      <c r="O12" s="261"/>
      <c r="Q12" s="2399"/>
      <c r="R12" s="2399"/>
      <c r="S12" s="1119"/>
      <c r="T12" s="289"/>
      <c r="U12" s="1066"/>
      <c r="V12" s="221" t="s">
        <v>495</v>
      </c>
      <c r="W12" s="300"/>
      <c r="X12" s="300"/>
      <c r="Y12" s="300"/>
      <c r="Z12" s="300"/>
      <c r="AA12" s="300"/>
      <c r="AB12" s="300"/>
      <c r="AC12" s="1196"/>
      <c r="AD12" s="1196"/>
      <c r="AE12" s="1196"/>
      <c r="AF12" s="1196"/>
      <c r="AG12" s="300"/>
      <c r="AH12" s="300"/>
      <c r="AI12" s="300"/>
      <c r="AJ12" s="300"/>
      <c r="AK12" s="300"/>
      <c r="AL12" s="300"/>
      <c r="AM12" s="300"/>
      <c r="AN12" s="300"/>
      <c r="AO12" s="300"/>
      <c r="AP12" s="258"/>
      <c r="AQ12" s="2420"/>
      <c r="AS12" s="433"/>
      <c r="AT12" s="433" t="str">
        <f t="shared" ref="AT12:AT17" si="1">IF(V12="","",V12)</f>
        <v>Добавить вид теплоносителя (параметры теплоносителя)</v>
      </c>
      <c r="AU12" s="433"/>
      <c r="AV12" s="433"/>
      <c r="AW12" s="956">
        <v>0</v>
      </c>
    </row>
    <row r="13" spans="1:49" ht="11.25" hidden="1" customHeight="1">
      <c r="A13" s="1055"/>
      <c r="B13" s="1055"/>
      <c r="C13" s="1055"/>
      <c r="D13" s="1055"/>
      <c r="E13" s="2422"/>
      <c r="F13" s="2422"/>
      <c r="G13" s="2422"/>
      <c r="H13" s="2422"/>
      <c r="I13" s="2266"/>
      <c r="J13" s="1055"/>
      <c r="K13" s="1055"/>
      <c r="L13" s="1055"/>
      <c r="M13" s="1098"/>
      <c r="N13" s="442"/>
      <c r="Q13" s="2399"/>
      <c r="R13" s="1119"/>
      <c r="S13" s="1119"/>
      <c r="T13" s="289"/>
      <c r="U13" s="1066"/>
      <c r="V13" s="298" t="s">
        <v>496</v>
      </c>
      <c r="W13" s="300"/>
      <c r="X13" s="300"/>
      <c r="Y13" s="300"/>
      <c r="Z13" s="300"/>
      <c r="AA13" s="300"/>
      <c r="AB13" s="300"/>
      <c r="AC13" s="300"/>
      <c r="AD13" s="300"/>
      <c r="AE13" s="300"/>
      <c r="AF13" s="299"/>
      <c r="AG13" s="300"/>
      <c r="AH13" s="300"/>
      <c r="AI13" s="300"/>
      <c r="AJ13" s="300"/>
      <c r="AK13" s="300"/>
      <c r="AL13" s="300"/>
      <c r="AM13" s="300"/>
      <c r="AN13" s="300"/>
      <c r="AO13" s="299"/>
      <c r="AP13" s="300"/>
      <c r="AQ13" s="237"/>
      <c r="AS13" s="433"/>
      <c r="AT13" s="433" t="str">
        <f t="shared" si="1"/>
        <v>Добавить группу потребителей</v>
      </c>
      <c r="AU13" s="433"/>
      <c r="AV13" s="433"/>
      <c r="AW13" s="956">
        <v>0</v>
      </c>
    </row>
    <row r="14" spans="1:49" ht="14.25" hidden="1" customHeight="1">
      <c r="A14" s="1055"/>
      <c r="B14" s="1055"/>
      <c r="C14" s="1055"/>
      <c r="D14" s="1055"/>
      <c r="E14" s="2422"/>
      <c r="F14" s="2422"/>
      <c r="G14" s="2422"/>
      <c r="H14" s="2421"/>
      <c r="I14" s="1055"/>
      <c r="J14" s="1055"/>
      <c r="K14" s="1055"/>
      <c r="L14" s="1055"/>
      <c r="M14" s="1098"/>
      <c r="N14" s="609"/>
      <c r="O14" s="609"/>
      <c r="P14" s="442"/>
      <c r="Q14" s="293"/>
      <c r="R14" s="308"/>
      <c r="S14" s="288"/>
      <c r="T14" s="293"/>
      <c r="U14" s="1174"/>
      <c r="V14" s="1175"/>
      <c r="W14" s="1176"/>
      <c r="X14" s="1176"/>
      <c r="Y14" s="1176"/>
      <c r="Z14" s="1176"/>
      <c r="AA14" s="1176"/>
      <c r="AB14" s="1176"/>
      <c r="AC14" s="1176"/>
      <c r="AD14" s="1176"/>
      <c r="AE14" s="1176"/>
      <c r="AF14" s="1176"/>
      <c r="AG14" s="1176"/>
      <c r="AH14" s="1176"/>
      <c r="AI14" s="1176"/>
      <c r="AJ14" s="1176"/>
      <c r="AK14" s="1176"/>
      <c r="AL14" s="1176"/>
      <c r="AM14" s="1176"/>
      <c r="AN14" s="1176"/>
      <c r="AO14" s="1176"/>
      <c r="AP14" s="1176"/>
      <c r="AQ14" s="1177"/>
      <c r="AS14" s="433"/>
      <c r="AT14" s="433" t="str">
        <f t="shared" si="1"/>
        <v/>
      </c>
      <c r="AU14" s="433"/>
      <c r="AV14" s="433"/>
      <c r="AW14" s="956">
        <v>0</v>
      </c>
    </row>
    <row r="15" spans="1:49" s="1430" customFormat="1" ht="14.25" hidden="1" customHeight="1">
      <c r="A15" s="1162"/>
      <c r="B15" s="1162"/>
      <c r="C15" s="1162"/>
      <c r="D15" s="1162"/>
      <c r="E15" s="2422"/>
      <c r="F15" s="2422"/>
      <c r="G15" s="2421"/>
      <c r="H15" s="1162"/>
      <c r="I15" s="1162"/>
      <c r="J15" s="1162"/>
      <c r="K15" s="1162"/>
      <c r="L15" s="1162"/>
      <c r="M15" s="1165"/>
      <c r="N15" s="1166"/>
      <c r="O15" s="1166"/>
      <c r="P15" s="284"/>
      <c r="Q15" s="1104"/>
      <c r="R15" s="1105"/>
      <c r="S15" s="1104"/>
      <c r="T15" s="1104"/>
      <c r="U15" s="1106"/>
      <c r="V15" s="1107" t="s">
        <v>498</v>
      </c>
      <c r="W15" s="1108"/>
      <c r="X15" s="1108"/>
      <c r="Y15" s="1108"/>
      <c r="Z15" s="1108"/>
      <c r="AA15" s="1108"/>
      <c r="AB15" s="1108"/>
      <c r="AC15" s="1108"/>
      <c r="AD15" s="1108"/>
      <c r="AE15" s="1108"/>
      <c r="AF15" s="1108"/>
      <c r="AG15" s="1108"/>
      <c r="AH15" s="1108"/>
      <c r="AI15" s="1108"/>
      <c r="AJ15" s="1108"/>
      <c r="AK15" s="1108"/>
      <c r="AL15" s="1108"/>
      <c r="AM15" s="1108"/>
      <c r="AN15" s="1108"/>
      <c r="AO15" s="1108"/>
      <c r="AP15" s="1108"/>
      <c r="AQ15" s="1108"/>
      <c r="AS15" s="688"/>
      <c r="AT15" s="688" t="str">
        <f t="shared" si="1"/>
        <v>Добавить источник для дифференциации</v>
      </c>
      <c r="AU15" s="688"/>
      <c r="AV15" s="688"/>
      <c r="AW15" s="451">
        <v>0</v>
      </c>
    </row>
    <row r="16" spans="1:49" s="1430" customFormat="1" ht="14.25" hidden="1" customHeight="1">
      <c r="A16" s="1162"/>
      <c r="B16" s="1162"/>
      <c r="C16" s="1162"/>
      <c r="D16" s="1162"/>
      <c r="E16" s="2422"/>
      <c r="F16" s="2421"/>
      <c r="G16" s="1162"/>
      <c r="H16" s="1162"/>
      <c r="I16" s="1162"/>
      <c r="J16" s="1162"/>
      <c r="K16" s="1162"/>
      <c r="L16" s="1162"/>
      <c r="M16" s="1165"/>
      <c r="N16" s="1167"/>
      <c r="O16" s="1167"/>
      <c r="P16" s="284"/>
      <c r="Q16" s="1104"/>
      <c r="R16" s="1105"/>
      <c r="S16" s="1104"/>
      <c r="T16" s="1104"/>
      <c r="U16" s="1110"/>
      <c r="V16" s="1111" t="s">
        <v>499</v>
      </c>
      <c r="W16" s="1112"/>
      <c r="X16" s="1112"/>
      <c r="Y16" s="1112"/>
      <c r="Z16" s="1112"/>
      <c r="AA16" s="1112"/>
      <c r="AB16" s="1112"/>
      <c r="AC16" s="1112"/>
      <c r="AD16" s="1112"/>
      <c r="AE16" s="1112"/>
      <c r="AF16" s="1112"/>
      <c r="AG16" s="1112"/>
      <c r="AH16" s="1112"/>
      <c r="AI16" s="1112"/>
      <c r="AJ16" s="1112"/>
      <c r="AK16" s="1112"/>
      <c r="AL16" s="1112"/>
      <c r="AM16" s="1112"/>
      <c r="AN16" s="1112"/>
      <c r="AO16" s="1112"/>
      <c r="AP16" s="1112"/>
      <c r="AQ16" s="1112"/>
      <c r="AS16" s="688"/>
      <c r="AT16" s="688" t="str">
        <f t="shared" si="1"/>
        <v>Добавить централизованную систему для дифференциации</v>
      </c>
      <c r="AU16" s="688"/>
      <c r="AV16" s="688"/>
      <c r="AW16" s="451">
        <v>0</v>
      </c>
    </row>
    <row r="17" spans="1:49" s="1430" customFormat="1" ht="14.25" hidden="1" customHeight="1">
      <c r="A17" s="1162"/>
      <c r="B17" s="1162"/>
      <c r="C17" s="1162"/>
      <c r="D17" s="1162"/>
      <c r="E17" s="2421"/>
      <c r="F17" s="1162"/>
      <c r="G17" s="1162"/>
      <c r="H17" s="1162"/>
      <c r="I17" s="1162"/>
      <c r="J17" s="1162"/>
      <c r="K17" s="1162"/>
      <c r="L17" s="1162"/>
      <c r="M17" s="1165"/>
      <c r="N17" s="1167"/>
      <c r="O17" s="1167"/>
      <c r="P17" s="284"/>
      <c r="Q17" s="1104"/>
      <c r="R17" s="1105"/>
      <c r="S17" s="1104"/>
      <c r="T17" s="1104"/>
      <c r="U17" s="1110"/>
      <c r="V17" s="1113" t="s">
        <v>500</v>
      </c>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S17" s="688"/>
      <c r="AT17" s="688" t="str">
        <f t="shared" si="1"/>
        <v>Добавить территорию для дифференциации</v>
      </c>
      <c r="AU17" s="688"/>
      <c r="AV17" s="688"/>
      <c r="AW17" s="451">
        <v>0</v>
      </c>
    </row>
    <row r="18" spans="1:49" ht="14.25" hidden="1" customHeight="1">
      <c r="AF18" s="261"/>
      <c r="AO18" s="261"/>
      <c r="AW18" s="956">
        <v>0</v>
      </c>
    </row>
    <row r="19" spans="1:49" ht="14.25" hidden="1" customHeight="1">
      <c r="AG19" s="1148"/>
      <c r="AH19" s="1148"/>
      <c r="AI19" s="1148"/>
      <c r="AJ19" s="1148"/>
      <c r="AK19" s="1149"/>
      <c r="AL19" s="2393"/>
      <c r="AM19" s="2392" t="s">
        <v>52</v>
      </c>
      <c r="AN19" s="2393"/>
      <c r="AO19" s="2392" t="s">
        <v>52</v>
      </c>
      <c r="AW19" s="956">
        <v>0</v>
      </c>
    </row>
    <row r="20" spans="1:49" ht="14.25" hidden="1" customHeight="1">
      <c r="AG20" s="1148"/>
      <c r="AH20" s="1148"/>
      <c r="AI20" s="1148"/>
      <c r="AJ20" s="1148"/>
      <c r="AK20" s="1149"/>
      <c r="AL20" s="2393"/>
      <c r="AM20" s="2392"/>
      <c r="AN20" s="2393"/>
      <c r="AO20" s="2392"/>
      <c r="AW20" s="956">
        <v>0</v>
      </c>
    </row>
    <row r="21" spans="1:49" ht="14.25" hidden="1" customHeight="1">
      <c r="AG21" s="1148"/>
      <c r="AH21" s="1148"/>
      <c r="AI21" s="1148"/>
      <c r="AJ21" s="1148"/>
      <c r="AK21" s="1149"/>
      <c r="AL21" s="2393"/>
      <c r="AM21" s="2392"/>
      <c r="AN21" s="2393"/>
      <c r="AO21" s="2392"/>
      <c r="AW21" s="956">
        <v>0</v>
      </c>
    </row>
    <row r="22" spans="1:49" ht="14.25" hidden="1" customHeight="1">
      <c r="AG22" s="1148"/>
      <c r="AH22" s="1148"/>
      <c r="AI22" s="1148"/>
      <c r="AJ22" s="1148"/>
      <c r="AK22" s="262" t="str">
        <f>AL19&amp;"-"&amp;AN19</f>
        <v>-</v>
      </c>
      <c r="AL22" s="2392"/>
      <c r="AM22" s="2392"/>
      <c r="AN22" s="2392"/>
      <c r="AO22" s="2392"/>
      <c r="AW22" s="956">
        <v>0</v>
      </c>
    </row>
    <row r="23" spans="1:49" ht="14.25" hidden="1" customHeight="1">
      <c r="AO23" s="261"/>
      <c r="AW23" s="956">
        <v>0</v>
      </c>
    </row>
    <row r="24" spans="1:49" s="1154" customFormat="1" ht="22.5" hidden="1" customHeight="1">
      <c r="A24" s="956"/>
      <c r="B24" s="956"/>
      <c r="C24" s="956"/>
      <c r="D24" s="956"/>
      <c r="E24" s="956"/>
      <c r="F24" s="956"/>
      <c r="G24" s="956"/>
      <c r="H24" s="956"/>
      <c r="I24" s="956"/>
      <c r="J24" s="956"/>
      <c r="K24" s="956"/>
      <c r="L24" s="956"/>
      <c r="M24" s="1115"/>
      <c r="N24" s="1116"/>
      <c r="O24" s="1116"/>
      <c r="P24" s="1133" t="s">
        <v>501</v>
      </c>
      <c r="Q24" s="1150"/>
      <c r="R24" s="1159"/>
      <c r="S24" s="1159"/>
      <c r="T24" s="1159"/>
      <c r="U24" s="640"/>
      <c r="AC24" s="1155"/>
      <c r="AE24" s="1155"/>
      <c r="AL24" s="1155"/>
      <c r="AN24" s="1155"/>
      <c r="AR24" s="444"/>
      <c r="AS24" s="444"/>
      <c r="AT24" s="444"/>
      <c r="AU24" s="444"/>
      <c r="AV24" s="444"/>
      <c r="AW24" s="961">
        <v>0</v>
      </c>
    </row>
    <row r="25" spans="1:49" s="1154" customFormat="1" ht="14.25" hidden="1" customHeight="1">
      <c r="A25" s="956"/>
      <c r="B25" s="956"/>
      <c r="C25" s="956"/>
      <c r="D25" s="956"/>
      <c r="E25" s="956"/>
      <c r="F25" s="956"/>
      <c r="G25" s="956"/>
      <c r="H25" s="956"/>
      <c r="I25" s="956"/>
      <c r="J25" s="956"/>
      <c r="K25" s="956"/>
      <c r="L25" s="956"/>
      <c r="M25" s="1115"/>
      <c r="N25" s="1116"/>
      <c r="O25" s="1116"/>
      <c r="P25" s="1116"/>
      <c r="Q25" s="1150"/>
      <c r="R25" s="1159"/>
      <c r="S25" s="1159"/>
      <c r="T25" s="1159"/>
      <c r="U25" s="640"/>
      <c r="AR25" s="444"/>
      <c r="AS25" s="444"/>
      <c r="AT25" s="444"/>
      <c r="AU25" s="444"/>
      <c r="AV25" s="444"/>
      <c r="AW25" s="961">
        <v>0</v>
      </c>
    </row>
    <row r="26" spans="1:49" s="1154" customFormat="1" ht="14.25" hidden="1" customHeight="1">
      <c r="A26" s="956"/>
      <c r="B26" s="956"/>
      <c r="C26" s="956"/>
      <c r="D26" s="956"/>
      <c r="E26" s="956"/>
      <c r="F26" s="956"/>
      <c r="G26" s="956"/>
      <c r="H26" s="956"/>
      <c r="I26" s="956"/>
      <c r="J26" s="956"/>
      <c r="K26" s="956"/>
      <c r="L26" s="956"/>
      <c r="M26" s="1115"/>
      <c r="N26" s="1116"/>
      <c r="O26" s="1116"/>
      <c r="P26" s="1098" t="s">
        <v>502</v>
      </c>
      <c r="Q26" s="1150"/>
      <c r="R26" s="1159"/>
      <c r="S26" s="1159"/>
      <c r="T26" s="1159"/>
      <c r="U26" s="640"/>
      <c r="V26" s="961" t="s">
        <v>503</v>
      </c>
      <c r="AD26" s="120" t="s">
        <v>504</v>
      </c>
      <c r="AF26" s="120" t="s">
        <v>505</v>
      </c>
      <c r="AG26" s="961" t="s">
        <v>503</v>
      </c>
      <c r="AM26" s="120" t="s">
        <v>506</v>
      </c>
      <c r="AO26" s="120" t="s">
        <v>505</v>
      </c>
      <c r="AR26" s="444"/>
      <c r="AS26" s="444"/>
      <c r="AT26" s="444"/>
      <c r="AU26" s="444"/>
      <c r="AV26" s="444"/>
      <c r="AW26" s="961">
        <v>0</v>
      </c>
    </row>
    <row r="27" spans="1:49" ht="14.25" hidden="1" customHeight="1">
      <c r="P27" s="1098"/>
      <c r="AW27" s="956">
        <v>0</v>
      </c>
    </row>
    <row r="28" spans="1:49" ht="14.25" hidden="1" customHeight="1">
      <c r="P28" s="1098"/>
      <c r="AW28" s="956">
        <v>0</v>
      </c>
    </row>
    <row r="29" spans="1:49" ht="14.65" customHeight="1">
      <c r="R29" s="309"/>
      <c r="S29" s="309"/>
      <c r="T29" s="309"/>
      <c r="U29" s="1063"/>
      <c r="V29" s="296"/>
      <c r="W29" s="296"/>
      <c r="X29" s="442"/>
      <c r="Y29" s="442"/>
      <c r="Z29" s="442"/>
      <c r="AA29" s="442"/>
      <c r="AB29" s="442"/>
      <c r="AC29" s="442"/>
      <c r="AD29" s="442"/>
      <c r="AE29" s="442"/>
      <c r="AF29" s="442"/>
      <c r="AG29" s="442"/>
      <c r="AH29" s="442"/>
      <c r="AI29" s="442"/>
      <c r="AJ29" s="442"/>
      <c r="AK29" s="442"/>
      <c r="AL29" s="442"/>
      <c r="AM29" s="442"/>
      <c r="AN29" s="442"/>
      <c r="AO29" s="442"/>
      <c r="AW29" s="956">
        <v>14</v>
      </c>
    </row>
    <row r="30" spans="1:49" ht="56.65" customHeight="1">
      <c r="R30" s="309"/>
      <c r="S30" s="309"/>
      <c r="T30" s="309"/>
      <c r="U30" s="237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76"/>
      <c r="W30" s="2376"/>
      <c r="X30" s="2376"/>
      <c r="Y30" s="2376"/>
      <c r="Z30" s="2376"/>
      <c r="AA30" s="2376"/>
      <c r="AB30" s="2376"/>
      <c r="AC30" s="2376"/>
      <c r="AD30" s="2376"/>
      <c r="AE30" s="2376"/>
      <c r="AF30" s="2376"/>
      <c r="AG30" s="2376"/>
      <c r="AH30" s="2376"/>
      <c r="AI30" s="2376"/>
      <c r="AJ30" s="2376"/>
      <c r="AK30" s="2376"/>
      <c r="AL30" s="2376"/>
      <c r="AM30" s="2376"/>
      <c r="AN30" s="2376"/>
      <c r="AO30" s="1031"/>
      <c r="AW30" s="956">
        <v>54</v>
      </c>
    </row>
    <row r="31" spans="1:49" ht="14.65" customHeight="1">
      <c r="R31" s="309"/>
      <c r="S31" s="309"/>
      <c r="T31" s="309"/>
      <c r="U31" s="2349" t="str">
        <f>IF(org=0,"Не определено",org)</f>
        <v>ООО "Смоленскрегионтеплоэнерго"</v>
      </c>
      <c r="V31" s="2349"/>
      <c r="W31" s="2349"/>
      <c r="X31" s="2349"/>
      <c r="Y31" s="2349"/>
      <c r="Z31" s="2349"/>
      <c r="AA31" s="2349"/>
      <c r="AB31" s="2349"/>
      <c r="AC31" s="2349"/>
      <c r="AD31" s="2349"/>
      <c r="AE31" s="2349"/>
      <c r="AF31" s="2349"/>
      <c r="AG31" s="2349"/>
      <c r="AH31" s="2349"/>
      <c r="AI31" s="2349"/>
      <c r="AJ31" s="2349"/>
      <c r="AK31" s="2349"/>
      <c r="AL31" s="2349"/>
      <c r="AM31" s="2349"/>
      <c r="AN31" s="2349"/>
      <c r="AO31" s="1031"/>
      <c r="AW31" s="956">
        <v>14</v>
      </c>
    </row>
    <row r="32" spans="1:49" ht="14.25" hidden="1" customHeight="1">
      <c r="R32" s="309"/>
      <c r="S32" s="309"/>
      <c r="T32" s="309"/>
      <c r="U32" s="1063"/>
      <c r="V32" s="296"/>
      <c r="W32" s="296"/>
      <c r="X32" s="256"/>
      <c r="Y32" s="256"/>
      <c r="Z32" s="256"/>
      <c r="AA32" s="256"/>
      <c r="AB32" s="256"/>
      <c r="AC32" s="256"/>
      <c r="AD32" s="256"/>
      <c r="AE32" s="256"/>
      <c r="AF32" s="256"/>
      <c r="AG32" s="256"/>
      <c r="AH32" s="256"/>
      <c r="AI32" s="256"/>
      <c r="AJ32" s="256"/>
      <c r="AK32" s="256"/>
      <c r="AL32" s="256"/>
      <c r="AM32" s="256"/>
      <c r="AN32" s="256"/>
      <c r="AO32" s="256"/>
      <c r="AP32" s="442"/>
      <c r="AW32" s="956">
        <v>0</v>
      </c>
    </row>
    <row r="33" spans="1:49" s="1609" customFormat="1" ht="25.5" hidden="1" customHeight="1">
      <c r="A33" s="1036"/>
      <c r="B33" s="1036"/>
      <c r="C33" s="1036"/>
      <c r="D33" s="1036"/>
      <c r="E33" s="1036"/>
      <c r="F33" s="1036"/>
      <c r="G33" s="1036"/>
      <c r="H33" s="1036"/>
      <c r="I33" s="1036"/>
      <c r="J33" s="1036"/>
      <c r="K33" s="1036"/>
      <c r="L33" s="1036"/>
      <c r="M33" s="1168"/>
      <c r="N33" s="1036"/>
      <c r="O33" s="1036"/>
      <c r="P33" s="1036"/>
      <c r="U33" s="2386" t="s">
        <v>28</v>
      </c>
      <c r="V33" s="2386"/>
      <c r="W33" s="1160"/>
      <c r="X33" s="2388" t="str">
        <f>IF(TITLE_NAME_OR_PR_CHANGE="",IF(TITLE_NAME_OR_PR="","",TITLE_NAME_OR_PR),TITLE_NAME_OR_PR_CHANGE)</f>
        <v/>
      </c>
      <c r="Y33" s="2388"/>
      <c r="Z33" s="2388"/>
      <c r="AA33" s="2388"/>
      <c r="AB33" s="2388"/>
      <c r="AC33" s="2388"/>
      <c r="AD33" s="2388"/>
      <c r="AE33" s="2388"/>
      <c r="AF33" s="260"/>
      <c r="AG33" s="2388" t="str">
        <f>IF(TITLE_NAME_OR_PR_CHANGE="",IF(TITLE_NAME_OR_PR="","",TITLE_NAME_OR_PR),TITLE_NAME_OR_PR_CHANGE)</f>
        <v/>
      </c>
      <c r="AH33" s="2388"/>
      <c r="AI33" s="2388"/>
      <c r="AJ33" s="2388"/>
      <c r="AK33" s="2388"/>
      <c r="AL33" s="2388"/>
      <c r="AM33" s="2388"/>
      <c r="AN33" s="2388"/>
      <c r="AO33" s="260"/>
      <c r="AP33" s="260"/>
      <c r="AQ33" s="214"/>
      <c r="AR33" s="301"/>
      <c r="AS33" s="301"/>
      <c r="AT33" s="301"/>
      <c r="AU33" s="301"/>
      <c r="AV33" s="301"/>
      <c r="AW33" s="351">
        <v>0</v>
      </c>
    </row>
    <row r="34" spans="1:49" s="1609" customFormat="1" ht="18.75" hidden="1" customHeight="1">
      <c r="A34" s="1036"/>
      <c r="B34" s="1036"/>
      <c r="C34" s="1036"/>
      <c r="D34" s="1036"/>
      <c r="E34" s="1036"/>
      <c r="F34" s="1036"/>
      <c r="G34" s="1036"/>
      <c r="H34" s="1036"/>
      <c r="I34" s="1036"/>
      <c r="J34" s="1036"/>
      <c r="K34" s="1036"/>
      <c r="L34" s="1036"/>
      <c r="M34" s="1168"/>
      <c r="N34" s="1036"/>
      <c r="O34" s="1036"/>
      <c r="P34" s="1036"/>
      <c r="U34" s="2386" t="s">
        <v>507</v>
      </c>
      <c r="V34" s="2386"/>
      <c r="W34" s="1160"/>
      <c r="X34" s="2387" t="str">
        <f>IF(TITLE_DATE_PR_CHANGE="",IF(TITLE_DATE_PR="","",TITLE_DATE_PR),TITLE_DATE_PR_CHANGE)</f>
        <v/>
      </c>
      <c r="Y34" s="2387"/>
      <c r="Z34" s="2387"/>
      <c r="AA34" s="2387"/>
      <c r="AB34" s="2387"/>
      <c r="AC34" s="2387"/>
      <c r="AD34" s="2387"/>
      <c r="AE34" s="2387"/>
      <c r="AF34" s="260"/>
      <c r="AG34" s="2387" t="str">
        <f>IF(TITLE_DATE_PR_CHANGE="",IF(TITLE_DATE_PR="","",TITLE_DATE_PR),TITLE_DATE_PR_CHANGE)</f>
        <v/>
      </c>
      <c r="AH34" s="2387"/>
      <c r="AI34" s="2387"/>
      <c r="AJ34" s="2387"/>
      <c r="AK34" s="2387"/>
      <c r="AL34" s="2387"/>
      <c r="AM34" s="2387"/>
      <c r="AN34" s="2387"/>
      <c r="AO34" s="260"/>
      <c r="AP34" s="260"/>
      <c r="AQ34" s="214"/>
      <c r="AR34" s="301"/>
      <c r="AS34" s="301"/>
      <c r="AT34" s="301"/>
      <c r="AU34" s="301"/>
      <c r="AV34" s="301"/>
      <c r="AW34" s="351">
        <v>0</v>
      </c>
    </row>
    <row r="35" spans="1:49" s="1609" customFormat="1" ht="18.75" hidden="1" customHeight="1">
      <c r="A35" s="1036"/>
      <c r="B35" s="1036"/>
      <c r="C35" s="1036"/>
      <c r="D35" s="1036"/>
      <c r="E35" s="1036"/>
      <c r="F35" s="1036"/>
      <c r="G35" s="1036"/>
      <c r="H35" s="1036"/>
      <c r="I35" s="1036"/>
      <c r="J35" s="1036"/>
      <c r="K35" s="1036"/>
      <c r="L35" s="1036"/>
      <c r="M35" s="1168"/>
      <c r="N35" s="1036"/>
      <c r="O35" s="1036"/>
      <c r="P35" s="1036"/>
      <c r="U35" s="2386" t="s">
        <v>508</v>
      </c>
      <c r="V35" s="2386"/>
      <c r="W35" s="1160"/>
      <c r="X35" s="2388" t="str">
        <f>IF(TITLE_NUMBER_PR_CHANGE="",IF(TITLE_NUMBER_PR="","",TITLE_NUMBER_PR),TITLE_NUMBER_PR_CHANGE)</f>
        <v/>
      </c>
      <c r="Y35" s="2388"/>
      <c r="Z35" s="2388"/>
      <c r="AA35" s="2388"/>
      <c r="AB35" s="2388"/>
      <c r="AC35" s="2388"/>
      <c r="AD35" s="2388"/>
      <c r="AE35" s="2388"/>
      <c r="AF35" s="260"/>
      <c r="AG35" s="2388" t="str">
        <f>IF(TITLE_NUMBER_PR_CHANGE="",IF(TITLE_NUMBER_PR="","",TITLE_NUMBER_PR),TITLE_NUMBER_PR_CHANGE)</f>
        <v/>
      </c>
      <c r="AH35" s="2388"/>
      <c r="AI35" s="2388"/>
      <c r="AJ35" s="2388"/>
      <c r="AK35" s="2388"/>
      <c r="AL35" s="2388"/>
      <c r="AM35" s="2388"/>
      <c r="AN35" s="2388"/>
      <c r="AO35" s="260"/>
      <c r="AP35" s="260"/>
      <c r="AQ35" s="214"/>
      <c r="AR35" s="301"/>
      <c r="AS35" s="301"/>
      <c r="AT35" s="301"/>
      <c r="AU35" s="301"/>
      <c r="AV35" s="301"/>
      <c r="AW35" s="351">
        <v>0</v>
      </c>
    </row>
    <row r="36" spans="1:49" s="1609" customFormat="1" ht="18.75" hidden="1" customHeight="1">
      <c r="A36" s="1036"/>
      <c r="B36" s="1036"/>
      <c r="C36" s="1036"/>
      <c r="D36" s="1036"/>
      <c r="E36" s="1036"/>
      <c r="F36" s="1036"/>
      <c r="G36" s="1036"/>
      <c r="H36" s="1036"/>
      <c r="I36" s="1036"/>
      <c r="J36" s="1036"/>
      <c r="K36" s="1036"/>
      <c r="L36" s="1036"/>
      <c r="M36" s="1168"/>
      <c r="N36" s="1036"/>
      <c r="O36" s="1036"/>
      <c r="P36" s="1036"/>
      <c r="U36" s="2386" t="s">
        <v>29</v>
      </c>
      <c r="V36" s="2386"/>
      <c r="W36" s="1160"/>
      <c r="X36" s="2388" t="str">
        <f>IF(TITLE_IST_PUB_CHANGE="",IF(TITLE_IST_PUB="","",TITLE_IST_PUB),TITLE_IST_PUB_CHANGE)</f>
        <v/>
      </c>
      <c r="Y36" s="2388"/>
      <c r="Z36" s="2388"/>
      <c r="AA36" s="2388"/>
      <c r="AB36" s="2388"/>
      <c r="AC36" s="2388"/>
      <c r="AD36" s="2388"/>
      <c r="AE36" s="2388"/>
      <c r="AF36" s="260"/>
      <c r="AG36" s="2388" t="str">
        <f>IF(TITLE_IST_PUB_CHANGE="",IF(TITLE_IST_PUB="","",TITLE_IST_PUB),TITLE_IST_PUB_CHANGE)</f>
        <v/>
      </c>
      <c r="AH36" s="2388"/>
      <c r="AI36" s="2388"/>
      <c r="AJ36" s="2388"/>
      <c r="AK36" s="2388"/>
      <c r="AL36" s="2388"/>
      <c r="AM36" s="2388"/>
      <c r="AN36" s="2388"/>
      <c r="AO36" s="260"/>
      <c r="AP36" s="260"/>
      <c r="AQ36" s="214"/>
      <c r="AR36" s="301"/>
      <c r="AS36" s="301"/>
      <c r="AT36" s="301"/>
      <c r="AU36" s="301"/>
      <c r="AV36" s="301"/>
      <c r="AW36" s="351">
        <v>0</v>
      </c>
    </row>
    <row r="37" spans="1:49" ht="14.25" hidden="1" customHeight="1">
      <c r="R37" s="309"/>
      <c r="S37" s="309"/>
      <c r="T37" s="309"/>
      <c r="U37" s="1063"/>
      <c r="V37" s="296"/>
      <c r="W37" s="296"/>
      <c r="X37" s="256"/>
      <c r="Y37" s="256"/>
      <c r="Z37" s="256"/>
      <c r="AA37" s="256"/>
      <c r="AB37" s="256"/>
      <c r="AC37" s="256"/>
      <c r="AD37" s="256"/>
      <c r="AE37" s="256"/>
      <c r="AF37" s="256"/>
      <c r="AG37" s="256"/>
      <c r="AH37" s="256"/>
      <c r="AI37" s="256"/>
      <c r="AJ37" s="256"/>
      <c r="AK37" s="256"/>
      <c r="AL37" s="256"/>
      <c r="AM37" s="256"/>
      <c r="AN37" s="256"/>
      <c r="AO37" s="256"/>
      <c r="AP37" s="442"/>
      <c r="AW37" s="956">
        <v>0</v>
      </c>
    </row>
    <row r="38" spans="1:49" s="1609" customFormat="1" ht="18.75" hidden="1" customHeight="1">
      <c r="A38" s="1036"/>
      <c r="B38" s="1036"/>
      <c r="C38" s="1036"/>
      <c r="D38" s="1036"/>
      <c r="E38" s="1036"/>
      <c r="F38" s="1036"/>
      <c r="G38" s="1036"/>
      <c r="H38" s="1036"/>
      <c r="I38" s="1036"/>
      <c r="J38" s="1036"/>
      <c r="K38" s="1036"/>
      <c r="L38" s="1036"/>
      <c r="M38" s="1168"/>
      <c r="N38" s="1036"/>
      <c r="O38" s="1036"/>
      <c r="P38" s="1036"/>
      <c r="U38" s="2386" t="s">
        <v>509</v>
      </c>
      <c r="V38" s="2386"/>
      <c r="W38" s="1160"/>
      <c r="X38" s="2387" t="str">
        <f>IF(TITLE_DATE_PR_CHANGE="",IF(TITLE_DATE_PR="","",TITLE_DATE_PR),TITLE_DATE_PR_CHANGE)</f>
        <v/>
      </c>
      <c r="Y38" s="2387"/>
      <c r="Z38" s="2387"/>
      <c r="AA38" s="2387"/>
      <c r="AB38" s="2387"/>
      <c r="AC38" s="2387"/>
      <c r="AD38" s="2387"/>
      <c r="AE38" s="2387"/>
      <c r="AF38" s="260"/>
      <c r="AG38" s="2387" t="str">
        <f>IF(TITLE_DATE_PR_CHANGE="",IF(TITLE_DATE_PR="","",TITLE_DATE_PR),TITLE_DATE_PR_CHANGE)</f>
        <v/>
      </c>
      <c r="AH38" s="2387"/>
      <c r="AI38" s="2387"/>
      <c r="AJ38" s="2387"/>
      <c r="AK38" s="2387"/>
      <c r="AL38" s="2387"/>
      <c r="AM38" s="2387"/>
      <c r="AN38" s="2387"/>
      <c r="AO38" s="260"/>
      <c r="AP38" s="260"/>
      <c r="AQ38" s="214"/>
      <c r="AR38" s="301"/>
      <c r="AS38" s="301"/>
      <c r="AT38" s="301"/>
      <c r="AU38" s="301"/>
      <c r="AV38" s="301"/>
      <c r="AW38" s="351">
        <v>0</v>
      </c>
    </row>
    <row r="39" spans="1:49" s="1609" customFormat="1" ht="18.75" hidden="1" customHeight="1">
      <c r="A39" s="1036"/>
      <c r="B39" s="1036"/>
      <c r="C39" s="1036"/>
      <c r="D39" s="1036"/>
      <c r="E39" s="1036"/>
      <c r="F39" s="1036"/>
      <c r="G39" s="1036"/>
      <c r="H39" s="1036"/>
      <c r="I39" s="1036"/>
      <c r="J39" s="1036"/>
      <c r="K39" s="1036"/>
      <c r="L39" s="1036"/>
      <c r="M39" s="1168"/>
      <c r="N39" s="1036"/>
      <c r="O39" s="1036"/>
      <c r="P39" s="1036"/>
      <c r="U39" s="2386" t="s">
        <v>510</v>
      </c>
      <c r="V39" s="2386"/>
      <c r="W39" s="1160"/>
      <c r="X39" s="2388" t="str">
        <f>IF(TITLE_NUMBER_PR_CHANGE="",IF(TITLE_NUMBER_PR="","",TITLE_NUMBER_PR),TITLE_NUMBER_PR_CHANGE)</f>
        <v/>
      </c>
      <c r="Y39" s="2388"/>
      <c r="Z39" s="2388"/>
      <c r="AA39" s="2388"/>
      <c r="AB39" s="2388"/>
      <c r="AC39" s="2388"/>
      <c r="AD39" s="2388"/>
      <c r="AE39" s="2388"/>
      <c r="AF39" s="260"/>
      <c r="AG39" s="2388" t="str">
        <f>IF(TITLE_NUMBER_PR_CHANGE="",IF(TITLE_NUMBER_PR="","",TITLE_NUMBER_PR),TITLE_NUMBER_PR_CHANGE)</f>
        <v/>
      </c>
      <c r="AH39" s="2388"/>
      <c r="AI39" s="2388"/>
      <c r="AJ39" s="2388"/>
      <c r="AK39" s="2388"/>
      <c r="AL39" s="2388"/>
      <c r="AM39" s="2388"/>
      <c r="AN39" s="2388"/>
      <c r="AO39" s="260"/>
      <c r="AP39" s="260"/>
      <c r="AQ39" s="214"/>
      <c r="AR39" s="301"/>
      <c r="AS39" s="301"/>
      <c r="AT39" s="301"/>
      <c r="AU39" s="301"/>
      <c r="AV39" s="301"/>
      <c r="AW39" s="351">
        <v>0</v>
      </c>
    </row>
    <row r="40" spans="1:49" s="1609" customFormat="1" ht="0" hidden="1" customHeight="1">
      <c r="A40" s="1036"/>
      <c r="B40" s="1036"/>
      <c r="C40" s="1036"/>
      <c r="D40" s="1036"/>
      <c r="E40" s="1036"/>
      <c r="F40" s="1036"/>
      <c r="G40" s="1036"/>
      <c r="H40" s="1036"/>
      <c r="I40" s="1036"/>
      <c r="J40" s="1036"/>
      <c r="K40" s="1036"/>
      <c r="L40" s="1036"/>
      <c r="M40" s="1168"/>
      <c r="N40" s="1036"/>
      <c r="O40" s="1036"/>
      <c r="P40" s="1036"/>
      <c r="U40" s="257"/>
      <c r="V40" s="257"/>
      <c r="W40" s="1128"/>
      <c r="X40" s="260"/>
      <c r="Y40" s="260"/>
      <c r="Z40" s="260"/>
      <c r="AA40" s="260"/>
      <c r="AB40" s="260"/>
      <c r="AC40" s="260"/>
      <c r="AD40" s="260"/>
      <c r="AE40" s="260"/>
      <c r="AF40" s="212" t="s">
        <v>511</v>
      </c>
      <c r="AG40" s="260"/>
      <c r="AH40" s="260"/>
      <c r="AI40" s="260"/>
      <c r="AJ40" s="260"/>
      <c r="AK40" s="260"/>
      <c r="AL40" s="260"/>
      <c r="AM40" s="260"/>
      <c r="AN40" s="260"/>
      <c r="AO40" s="212" t="s">
        <v>511</v>
      </c>
      <c r="AR40" s="301"/>
      <c r="AS40" s="301"/>
      <c r="AT40" s="301"/>
      <c r="AU40" s="301"/>
      <c r="AV40" s="301"/>
      <c r="AW40" s="351">
        <v>0</v>
      </c>
    </row>
    <row r="41" spans="1:49" ht="14.65" customHeight="1">
      <c r="R41" s="309"/>
      <c r="S41" s="309"/>
      <c r="T41" s="309"/>
      <c r="U41" s="1063"/>
      <c r="V41" s="296"/>
      <c r="W41" s="1032"/>
      <c r="X41" s="2407"/>
      <c r="Y41" s="2407"/>
      <c r="Z41" s="2407"/>
      <c r="AA41" s="2407"/>
      <c r="AB41" s="2407"/>
      <c r="AC41" s="2407"/>
      <c r="AD41" s="2407"/>
      <c r="AE41" s="2407"/>
      <c r="AF41" s="2407"/>
      <c r="AG41" s="2407"/>
      <c r="AH41" s="2407"/>
      <c r="AI41" s="2407"/>
      <c r="AJ41" s="2407"/>
      <c r="AK41" s="2407"/>
      <c r="AL41" s="2407"/>
      <c r="AM41" s="2407"/>
      <c r="AN41" s="2407"/>
      <c r="AO41" s="2407"/>
      <c r="AW41" s="956">
        <v>14</v>
      </c>
    </row>
    <row r="42" spans="1:49" ht="14.65" customHeight="1">
      <c r="R42" s="309"/>
      <c r="S42" s="309"/>
      <c r="T42" s="309"/>
      <c r="U42" s="2266" t="s">
        <v>384</v>
      </c>
      <c r="V42" s="2266"/>
      <c r="W42" s="2266"/>
      <c r="X42" s="2266"/>
      <c r="Y42" s="2266"/>
      <c r="Z42" s="2266"/>
      <c r="AA42" s="2266"/>
      <c r="AB42" s="2266"/>
      <c r="AC42" s="2266"/>
      <c r="AD42" s="2266"/>
      <c r="AE42" s="2266"/>
      <c r="AF42" s="2266"/>
      <c r="AG42" s="2266"/>
      <c r="AH42" s="2266"/>
      <c r="AI42" s="2266"/>
      <c r="AJ42" s="2266"/>
      <c r="AK42" s="2266"/>
      <c r="AL42" s="2266"/>
      <c r="AM42" s="2266"/>
      <c r="AN42" s="2266"/>
      <c r="AO42" s="2266"/>
      <c r="AP42" s="2266"/>
      <c r="AQ42" s="2266" t="s">
        <v>385</v>
      </c>
      <c r="AW42" s="956">
        <v>14</v>
      </c>
    </row>
    <row r="43" spans="1:49" ht="14.65" customHeight="1">
      <c r="R43" s="309"/>
      <c r="S43" s="309"/>
      <c r="T43" s="309"/>
      <c r="U43" s="2408" t="s">
        <v>75</v>
      </c>
      <c r="V43" s="2357" t="s">
        <v>512</v>
      </c>
      <c r="W43" s="235"/>
      <c r="X43" s="2409" t="s">
        <v>513</v>
      </c>
      <c r="Y43" s="2425"/>
      <c r="Z43" s="2425"/>
      <c r="AA43" s="2425"/>
      <c r="AB43" s="2425"/>
      <c r="AC43" s="2410"/>
      <c r="AD43" s="2410"/>
      <c r="AE43" s="2411"/>
      <c r="AF43" s="2412" t="s">
        <v>514</v>
      </c>
      <c r="AG43" s="2409" t="s">
        <v>513</v>
      </c>
      <c r="AH43" s="2425"/>
      <c r="AI43" s="2425"/>
      <c r="AJ43" s="2425"/>
      <c r="AK43" s="2425"/>
      <c r="AL43" s="2410"/>
      <c r="AM43" s="2410"/>
      <c r="AN43" s="2411"/>
      <c r="AO43" s="2412" t="s">
        <v>515</v>
      </c>
      <c r="AP43" s="2415" t="s">
        <v>516</v>
      </c>
      <c r="AQ43" s="2266"/>
      <c r="AW43" s="956">
        <v>14</v>
      </c>
    </row>
    <row r="44" spans="1:49" ht="35.65" customHeight="1">
      <c r="R44" s="309"/>
      <c r="S44" s="309"/>
      <c r="T44" s="309"/>
      <c r="U44" s="2408"/>
      <c r="V44" s="2357"/>
      <c r="W44" s="874"/>
      <c r="X44" s="2328" t="s">
        <v>539</v>
      </c>
      <c r="Y44" s="2266" t="s">
        <v>540</v>
      </c>
      <c r="Z44" s="2266"/>
      <c r="AA44" s="2266"/>
      <c r="AB44" s="2266"/>
      <c r="AC44" s="2328" t="s">
        <v>520</v>
      </c>
      <c r="AD44" s="2437"/>
      <c r="AE44" s="2329"/>
      <c r="AF44" s="2413"/>
      <c r="AG44" s="2328" t="s">
        <v>539</v>
      </c>
      <c r="AH44" s="2266" t="s">
        <v>540</v>
      </c>
      <c r="AI44" s="2266"/>
      <c r="AJ44" s="2266"/>
      <c r="AK44" s="2266"/>
      <c r="AL44" s="2328" t="s">
        <v>520</v>
      </c>
      <c r="AM44" s="2437"/>
      <c r="AN44" s="2329"/>
      <c r="AO44" s="2413"/>
      <c r="AP44" s="2416"/>
      <c r="AQ44" s="2266"/>
      <c r="AW44" s="956">
        <v>34</v>
      </c>
    </row>
    <row r="45" spans="1:49" ht="14.65" customHeight="1">
      <c r="R45" s="309"/>
      <c r="S45" s="309"/>
      <c r="T45" s="309"/>
      <c r="U45" s="2408"/>
      <c r="V45" s="2357"/>
      <c r="W45" s="874"/>
      <c r="X45" s="2330"/>
      <c r="Y45" s="2363" t="s">
        <v>541</v>
      </c>
      <c r="Z45" s="2362" t="s">
        <v>542</v>
      </c>
      <c r="AA45" s="2374"/>
      <c r="AB45" s="2375"/>
      <c r="AC45" s="2333"/>
      <c r="AD45" s="2438"/>
      <c r="AE45" s="2334"/>
      <c r="AF45" s="2413"/>
      <c r="AG45" s="2330"/>
      <c r="AH45" s="2363" t="s">
        <v>541</v>
      </c>
      <c r="AI45" s="2362" t="s">
        <v>542</v>
      </c>
      <c r="AJ45" s="2374"/>
      <c r="AK45" s="2375"/>
      <c r="AL45" s="2333"/>
      <c r="AM45" s="2438"/>
      <c r="AN45" s="2334"/>
      <c r="AO45" s="2413"/>
      <c r="AP45" s="2416"/>
      <c r="AQ45" s="2266"/>
      <c r="AW45" s="956">
        <v>14</v>
      </c>
    </row>
    <row r="46" spans="1:49" ht="27.4" customHeight="1">
      <c r="R46" s="309"/>
      <c r="S46" s="309"/>
      <c r="T46" s="309"/>
      <c r="U46" s="2408"/>
      <c r="V46" s="2357"/>
      <c r="W46" s="874"/>
      <c r="X46" s="2330"/>
      <c r="Y46" s="2436"/>
      <c r="Z46" s="2363" t="s">
        <v>543</v>
      </c>
      <c r="AA46" s="2362" t="s">
        <v>544</v>
      </c>
      <c r="AB46" s="2375"/>
      <c r="AC46" s="2363" t="s">
        <v>530</v>
      </c>
      <c r="AD46" s="2367" t="s">
        <v>531</v>
      </c>
      <c r="AE46" s="2365"/>
      <c r="AF46" s="2413"/>
      <c r="AG46" s="2330"/>
      <c r="AH46" s="2436"/>
      <c r="AI46" s="2363" t="s">
        <v>543</v>
      </c>
      <c r="AJ46" s="2362" t="s">
        <v>544</v>
      </c>
      <c r="AK46" s="2375"/>
      <c r="AL46" s="2363" t="s">
        <v>530</v>
      </c>
      <c r="AM46" s="2367" t="s">
        <v>531</v>
      </c>
      <c r="AN46" s="2365"/>
      <c r="AO46" s="2413"/>
      <c r="AP46" s="2416"/>
      <c r="AQ46" s="2266"/>
      <c r="AW46" s="956">
        <v>26</v>
      </c>
    </row>
    <row r="47" spans="1:49" ht="65.25" customHeight="1">
      <c r="A47" s="1047"/>
      <c r="B47" s="1047" t="s">
        <v>226</v>
      </c>
      <c r="C47" s="1047" t="s">
        <v>227</v>
      </c>
      <c r="D47" s="1047" t="s">
        <v>228</v>
      </c>
      <c r="E47" s="1098" t="s">
        <v>521</v>
      </c>
      <c r="F47" s="1098" t="s">
        <v>522</v>
      </c>
      <c r="G47" s="1098" t="s">
        <v>523</v>
      </c>
      <c r="H47" s="1098" t="s">
        <v>524</v>
      </c>
      <c r="I47" s="1098" t="s">
        <v>525</v>
      </c>
      <c r="J47" s="1098" t="s">
        <v>526</v>
      </c>
      <c r="K47" s="1098" t="s">
        <v>527</v>
      </c>
      <c r="L47" s="1098" t="s">
        <v>545</v>
      </c>
      <c r="M47" s="1098" t="s">
        <v>502</v>
      </c>
      <c r="R47" s="309"/>
      <c r="S47" s="309"/>
      <c r="T47" s="309"/>
      <c r="U47" s="2408"/>
      <c r="V47" s="2357"/>
      <c r="W47" s="236"/>
      <c r="X47" s="2333"/>
      <c r="Y47" s="2364"/>
      <c r="Z47" s="2364"/>
      <c r="AA47" s="1010" t="s">
        <v>546</v>
      </c>
      <c r="AB47" s="1010" t="s">
        <v>547</v>
      </c>
      <c r="AC47" s="2364"/>
      <c r="AD47" s="2368"/>
      <c r="AE47" s="2366"/>
      <c r="AF47" s="2414"/>
      <c r="AG47" s="2333"/>
      <c r="AH47" s="2364"/>
      <c r="AI47" s="2364"/>
      <c r="AJ47" s="1010" t="s">
        <v>546</v>
      </c>
      <c r="AK47" s="1010" t="s">
        <v>547</v>
      </c>
      <c r="AL47" s="2364"/>
      <c r="AM47" s="2368"/>
      <c r="AN47" s="2366"/>
      <c r="AO47" s="2414"/>
      <c r="AP47" s="2417"/>
      <c r="AQ47" s="2266"/>
      <c r="AW47" s="956">
        <v>62</v>
      </c>
    </row>
    <row r="48" spans="1:49" s="1429" customFormat="1" ht="11.25" hidden="1" customHeight="1">
      <c r="A48" s="1047"/>
      <c r="B48" s="1047"/>
      <c r="C48" s="1047"/>
      <c r="D48" s="1047"/>
      <c r="E48" s="1047"/>
      <c r="F48" s="1047"/>
      <c r="G48" s="1047"/>
      <c r="H48" s="1047"/>
      <c r="I48" s="1047"/>
      <c r="J48" s="1047"/>
      <c r="K48" s="1047"/>
      <c r="L48" s="1047"/>
      <c r="M48" s="1098"/>
      <c r="N48" s="1116"/>
      <c r="O48" s="1116"/>
      <c r="P48" s="1116"/>
      <c r="Q48" s="1034"/>
      <c r="R48" s="1035"/>
      <c r="S48" s="1042">
        <v>1</v>
      </c>
      <c r="T48" s="1042"/>
      <c r="U48" s="1065" t="s">
        <v>161</v>
      </c>
      <c r="V48" s="1043" t="s">
        <v>89</v>
      </c>
      <c r="W48" s="1033" t="str">
        <f ca="1">OFFSET(W48,0,-1)</f>
        <v>2</v>
      </c>
      <c r="X48" s="1123">
        <f ca="1">OFFSET(X48,0,-1)+1</f>
        <v>3</v>
      </c>
      <c r="Y48" s="1129"/>
      <c r="Z48" s="1129"/>
      <c r="AA48" s="1129">
        <f ca="1">OFFSET(AA48,0,-1)+1</f>
        <v>1</v>
      </c>
      <c r="AB48" s="1129">
        <f ca="1">OFFSET(AB48,0,-1)+1</f>
        <v>2</v>
      </c>
      <c r="AC48" s="1123">
        <f ca="1">OFFSET(AC48,0,-1)+1</f>
        <v>3</v>
      </c>
      <c r="AD48" s="2406">
        <f ca="1">OFFSET(AD48,0,-1)+1</f>
        <v>4</v>
      </c>
      <c r="AE48" s="2406"/>
      <c r="AF48" s="1123">
        <f ca="1">OFFSET(AF48,0,-2)+1</f>
        <v>5</v>
      </c>
      <c r="AG48" s="1123">
        <f ca="1">OFFSET(AG48,0,-1)+1</f>
        <v>6</v>
      </c>
      <c r="AH48" s="1123"/>
      <c r="AI48" s="1123"/>
      <c r="AJ48" s="1123">
        <f ca="1">OFFSET(AJ48,0,-1)+1</f>
        <v>1</v>
      </c>
      <c r="AK48" s="1123">
        <f ca="1">OFFSET(AK48,0,-1)+1</f>
        <v>2</v>
      </c>
      <c r="AL48" s="1123">
        <f ca="1">OFFSET(AL48,0,-1)+1</f>
        <v>3</v>
      </c>
      <c r="AM48" s="2406">
        <f ca="1">OFFSET(AM48,0,-1)+1</f>
        <v>4</v>
      </c>
      <c r="AN48" s="2406"/>
      <c r="AO48" s="1123">
        <f ca="1">OFFSET(AO48,0,-2)+1</f>
        <v>5</v>
      </c>
      <c r="AP48" s="1033">
        <f ca="1">OFFSET(AP48,0,-1)</f>
        <v>5</v>
      </c>
      <c r="AQ48" s="1123">
        <f ca="1">OFFSET(AQ48,0,-1)+1</f>
        <v>6</v>
      </c>
      <c r="AR48" s="444"/>
      <c r="AS48" s="444"/>
      <c r="AT48" s="444"/>
      <c r="AU48" s="444"/>
      <c r="AV48" s="444"/>
      <c r="AW48" s="429">
        <v>0</v>
      </c>
    </row>
    <row r="49" spans="1:49" ht="21.95" customHeight="1">
      <c r="A49" s="1055" t="s">
        <v>260</v>
      </c>
      <c r="B49" s="1055"/>
      <c r="C49" s="1055"/>
      <c r="D49" s="1055"/>
      <c r="E49" s="2421">
        <v>1</v>
      </c>
      <c r="F49" s="1055"/>
      <c r="G49" s="1055"/>
      <c r="H49" s="1055"/>
      <c r="I49" s="1055"/>
      <c r="J49" s="1055"/>
      <c r="K49" s="1055"/>
      <c r="L49" s="1055"/>
      <c r="M49" s="1098"/>
      <c r="N49" s="609"/>
      <c r="O49" s="609"/>
      <c r="P49" s="609"/>
      <c r="Q49" s="294"/>
      <c r="R49" s="293"/>
      <c r="S49" s="293"/>
      <c r="T49" s="288"/>
      <c r="U49" s="1124">
        <f>INDEX(PT_DIFFERENTIATION_NUM_NTAR,MATCH(A49,PT_DIFFERENTIATION_NTAR_ID,0))</f>
        <v>0</v>
      </c>
      <c r="V49" s="232" t="s">
        <v>214</v>
      </c>
      <c r="W49" s="234"/>
      <c r="X49" s="2389"/>
      <c r="Y49" s="2390"/>
      <c r="Z49" s="2390"/>
      <c r="AA49" s="2390"/>
      <c r="AB49" s="2390"/>
      <c r="AC49" s="2390"/>
      <c r="AD49" s="2390"/>
      <c r="AE49" s="2390"/>
      <c r="AF49" s="2391"/>
      <c r="AG49" s="2389" t="str">
        <f>INDEX(PT_DIFFERENTIATION_NTAR,MATCH(A49,PT_DIFFERENTIATION_NTAR_ID,0))</f>
        <v/>
      </c>
      <c r="AH49" s="2390"/>
      <c r="AI49" s="2390"/>
      <c r="AJ49" s="2390"/>
      <c r="AK49" s="2390"/>
      <c r="AL49" s="2390"/>
      <c r="AM49" s="2390"/>
      <c r="AN49" s="2390"/>
      <c r="AO49" s="2390"/>
      <c r="AP49" s="2391"/>
      <c r="AQ49" s="104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3"/>
      <c r="AT49" s="433" t="str">
        <f t="shared" ref="AT49:AT65" si="2">IF(V49="","",V49)</f>
        <v>Наименование тарифа</v>
      </c>
      <c r="AU49" s="433"/>
      <c r="AV49" s="433"/>
      <c r="AW49" s="956">
        <v>21</v>
      </c>
    </row>
    <row r="50" spans="1:49" ht="21.95" customHeight="1">
      <c r="A50" s="1055" t="s">
        <v>260</v>
      </c>
      <c r="B50" s="1055" t="s">
        <v>261</v>
      </c>
      <c r="C50" s="1055"/>
      <c r="D50" s="1055"/>
      <c r="E50" s="2422"/>
      <c r="F50" s="2421">
        <v>1</v>
      </c>
      <c r="G50" s="1055"/>
      <c r="H50" s="1055"/>
      <c r="I50" s="1055"/>
      <c r="J50" s="1055"/>
      <c r="K50" s="1055"/>
      <c r="L50" s="1055"/>
      <c r="M50" s="1098"/>
      <c r="N50" s="609"/>
      <c r="O50" s="609"/>
      <c r="P50" s="609"/>
      <c r="Q50" s="1120"/>
      <c r="R50" s="285"/>
      <c r="S50" s="442"/>
      <c r="T50" s="286"/>
      <c r="U50" s="1124" t="str">
        <f>INDEX(PT_DIFFERENTIATION_NUM_TER,MATCH(B50,PT_DIFFERENTIATION_TER_ID,0))</f>
        <v>.</v>
      </c>
      <c r="V50" s="242" t="s">
        <v>481</v>
      </c>
      <c r="W50" s="234"/>
      <c r="X50" s="2389"/>
      <c r="Y50" s="2390"/>
      <c r="Z50" s="2390"/>
      <c r="AA50" s="2390"/>
      <c r="AB50" s="2390"/>
      <c r="AC50" s="2390"/>
      <c r="AD50" s="2390"/>
      <c r="AE50" s="2390"/>
      <c r="AF50" s="2391"/>
      <c r="AG50" s="2389" t="str">
        <f>INDEX(PT_DIFFERENTIATION_TER,MATCH(B50,PT_DIFFERENTIATION_TER_ID,0))</f>
        <v/>
      </c>
      <c r="AH50" s="2390"/>
      <c r="AI50" s="2390"/>
      <c r="AJ50" s="2390"/>
      <c r="AK50" s="2390"/>
      <c r="AL50" s="2390"/>
      <c r="AM50" s="2390"/>
      <c r="AN50" s="2390"/>
      <c r="AO50" s="2390"/>
      <c r="AP50" s="2391"/>
      <c r="AQ50" s="1046" t="s">
        <v>482</v>
      </c>
      <c r="AS50" s="433"/>
      <c r="AT50" s="433" t="str">
        <f t="shared" si="2"/>
        <v>Территория действия тарифа</v>
      </c>
      <c r="AU50" s="433"/>
      <c r="AV50" s="433"/>
      <c r="AW50" s="956">
        <v>21</v>
      </c>
    </row>
    <row r="51" spans="1:49" ht="24" customHeight="1">
      <c r="A51" s="1055" t="s">
        <v>260</v>
      </c>
      <c r="B51" s="1055" t="s">
        <v>261</v>
      </c>
      <c r="C51" s="1055" t="s">
        <v>262</v>
      </c>
      <c r="D51" s="1055"/>
      <c r="E51" s="2422"/>
      <c r="F51" s="2422"/>
      <c r="G51" s="2421">
        <v>1</v>
      </c>
      <c r="H51" s="1055"/>
      <c r="I51" s="1055"/>
      <c r="J51" s="1055"/>
      <c r="K51" s="1055"/>
      <c r="L51" s="1055"/>
      <c r="M51" s="1098"/>
      <c r="N51" s="609"/>
      <c r="O51" s="609"/>
      <c r="P51" s="609"/>
      <c r="Q51" s="287"/>
      <c r="R51" s="285"/>
      <c r="S51" s="442"/>
      <c r="T51" s="286"/>
      <c r="U51" s="1124" t="str">
        <f>INDEX(PT_DIFFERENTIATION_NUM_CS,MATCH(C51,PT_DIFFERENTIATION_CS_ID,0))</f>
        <v>..</v>
      </c>
      <c r="V51" s="243" t="s">
        <v>483</v>
      </c>
      <c r="W51" s="234"/>
      <c r="X51" s="2389"/>
      <c r="Y51" s="2390"/>
      <c r="Z51" s="2390"/>
      <c r="AA51" s="2390"/>
      <c r="AB51" s="2390"/>
      <c r="AC51" s="2390"/>
      <c r="AD51" s="2390"/>
      <c r="AE51" s="2390"/>
      <c r="AF51" s="2391"/>
      <c r="AG51" s="2389" t="str">
        <f>INDEX(PT_DIFFERENTIATION_CS,MATCH(C51,PT_DIFFERENTIATION_CS_ID,0))</f>
        <v/>
      </c>
      <c r="AH51" s="2390"/>
      <c r="AI51" s="2390"/>
      <c r="AJ51" s="2390"/>
      <c r="AK51" s="2390"/>
      <c r="AL51" s="2390"/>
      <c r="AM51" s="2390"/>
      <c r="AN51" s="2390"/>
      <c r="AO51" s="2390"/>
      <c r="AP51" s="2391"/>
      <c r="AQ51" s="1046" t="s">
        <v>484</v>
      </c>
      <c r="AS51" s="433"/>
      <c r="AT51" s="433" t="str">
        <f t="shared" si="2"/>
        <v xml:space="preserve">Наименование системы теплоснабжения </v>
      </c>
      <c r="AU51" s="433"/>
      <c r="AV51" s="433"/>
      <c r="AW51" s="956">
        <v>23</v>
      </c>
    </row>
    <row r="52" spans="1:49" ht="21.95" customHeight="1">
      <c r="A52" s="1055" t="s">
        <v>260</v>
      </c>
      <c r="B52" s="1055" t="s">
        <v>261</v>
      </c>
      <c r="C52" s="1055" t="s">
        <v>262</v>
      </c>
      <c r="D52" s="1055" t="s">
        <v>263</v>
      </c>
      <c r="E52" s="2422"/>
      <c r="F52" s="2422"/>
      <c r="G52" s="2422"/>
      <c r="H52" s="2421">
        <v>1</v>
      </c>
      <c r="I52" s="1055"/>
      <c r="J52" s="1055"/>
      <c r="K52" s="1055"/>
      <c r="L52" s="1055"/>
      <c r="M52" s="1098"/>
      <c r="N52" s="609"/>
      <c r="O52" s="609"/>
      <c r="P52" s="609"/>
      <c r="Q52" s="287"/>
      <c r="R52" s="285"/>
      <c r="S52" s="442"/>
      <c r="T52" s="286"/>
      <c r="U52" s="1124" t="str">
        <f>INDEX(PT_DIFFERENTIATION_NUM_IST_TE,MATCH(D52,PT_DIFFERENTIATION_IST_TE_ID,0))</f>
        <v>...</v>
      </c>
      <c r="V52" s="244" t="s">
        <v>485</v>
      </c>
      <c r="W52" s="234"/>
      <c r="X52" s="2389"/>
      <c r="Y52" s="2390"/>
      <c r="Z52" s="2390"/>
      <c r="AA52" s="2390"/>
      <c r="AB52" s="2390"/>
      <c r="AC52" s="2390"/>
      <c r="AD52" s="2390"/>
      <c r="AE52" s="2390"/>
      <c r="AF52" s="2391"/>
      <c r="AG52" s="2389" t="str">
        <f>INDEX(PT_DIFFERENTIATION_IST_TE,MATCH(D52,PT_DIFFERENTIATION_IST_TE_ID,0))</f>
        <v/>
      </c>
      <c r="AH52" s="2390"/>
      <c r="AI52" s="2390"/>
      <c r="AJ52" s="2390"/>
      <c r="AK52" s="2390"/>
      <c r="AL52" s="2390"/>
      <c r="AM52" s="2390"/>
      <c r="AN52" s="2390"/>
      <c r="AO52" s="2390"/>
      <c r="AP52" s="2391"/>
      <c r="AQ52" s="1046" t="s">
        <v>486</v>
      </c>
      <c r="AS52" s="433"/>
      <c r="AT52" s="433" t="str">
        <f t="shared" si="2"/>
        <v xml:space="preserve">Источник тепловой энергии  </v>
      </c>
      <c r="AU52" s="433"/>
      <c r="AV52" s="433"/>
      <c r="AW52" s="956">
        <v>21</v>
      </c>
    </row>
    <row r="53" spans="1:49" s="1430" customFormat="1" ht="0" hidden="1" customHeight="1">
      <c r="A53" s="1163" t="s">
        <v>260</v>
      </c>
      <c r="B53" s="1163" t="s">
        <v>261</v>
      </c>
      <c r="C53" s="1163" t="s">
        <v>262</v>
      </c>
      <c r="D53" s="1163" t="s">
        <v>263</v>
      </c>
      <c r="E53" s="2422"/>
      <c r="F53" s="2422"/>
      <c r="G53" s="2422"/>
      <c r="H53" s="2422"/>
      <c r="I53" s="2266" t="str">
        <f>U52&amp;".1"</f>
        <v>....1</v>
      </c>
      <c r="J53" s="1163"/>
      <c r="K53" s="1163"/>
      <c r="L53" s="1163"/>
      <c r="M53" s="1169" t="s">
        <v>487</v>
      </c>
      <c r="N53" s="1034"/>
      <c r="O53" s="1034"/>
      <c r="P53" s="1034"/>
      <c r="Q53" s="2399">
        <v>1</v>
      </c>
      <c r="R53" s="1119"/>
      <c r="S53" s="1119"/>
      <c r="T53" s="289"/>
      <c r="U53" s="881"/>
      <c r="V53" s="1171"/>
      <c r="W53" s="1172"/>
      <c r="X53" s="2426"/>
      <c r="Y53" s="2427"/>
      <c r="Z53" s="2427"/>
      <c r="AA53" s="2427"/>
      <c r="AB53" s="2427"/>
      <c r="AC53" s="2427"/>
      <c r="AD53" s="2427"/>
      <c r="AE53" s="2427"/>
      <c r="AF53" s="2428"/>
      <c r="AG53" s="2426"/>
      <c r="AH53" s="2427"/>
      <c r="AI53" s="2427"/>
      <c r="AJ53" s="2427"/>
      <c r="AK53" s="2427"/>
      <c r="AL53" s="2427"/>
      <c r="AM53" s="2427"/>
      <c r="AN53" s="2427"/>
      <c r="AO53" s="2427"/>
      <c r="AP53" s="2428"/>
      <c r="AQ53" s="1173"/>
      <c r="AS53" s="433"/>
      <c r="AT53" s="433" t="str">
        <f t="shared" si="2"/>
        <v/>
      </c>
      <c r="AU53" s="433"/>
      <c r="AV53" s="433"/>
      <c r="AW53" s="444">
        <v>0</v>
      </c>
    </row>
    <row r="54" spans="1:49" ht="21.95" customHeight="1">
      <c r="A54" s="1055" t="s">
        <v>260</v>
      </c>
      <c r="B54" s="1055" t="s">
        <v>261</v>
      </c>
      <c r="C54" s="1055" t="s">
        <v>262</v>
      </c>
      <c r="D54" s="1055" t="s">
        <v>263</v>
      </c>
      <c r="E54" s="2422"/>
      <c r="F54" s="2422"/>
      <c r="G54" s="2422"/>
      <c r="H54" s="2422"/>
      <c r="I54" s="2247"/>
      <c r="J54" s="2266" t="str">
        <f>I53&amp;".1"</f>
        <v>....1.1</v>
      </c>
      <c r="K54" s="1055"/>
      <c r="L54" s="1055"/>
      <c r="M54" s="1098" t="s">
        <v>490</v>
      </c>
      <c r="Q54" s="2399"/>
      <c r="R54" s="2399">
        <v>1</v>
      </c>
      <c r="S54" s="451"/>
      <c r="T54" s="290"/>
      <c r="U54" s="1124" t="str">
        <f>$J54</f>
        <v>....1.1</v>
      </c>
      <c r="V54" s="220" t="s">
        <v>491</v>
      </c>
      <c r="W54" s="234"/>
      <c r="X54" s="2383"/>
      <c r="Y54" s="2384"/>
      <c r="Z54" s="2384"/>
      <c r="AA54" s="2384"/>
      <c r="AB54" s="2384"/>
      <c r="AC54" s="2379"/>
      <c r="AD54" s="2379"/>
      <c r="AE54" s="2379"/>
      <c r="AF54" s="2439"/>
      <c r="AG54" s="2383"/>
      <c r="AH54" s="2384"/>
      <c r="AI54" s="2384"/>
      <c r="AJ54" s="2384"/>
      <c r="AK54" s="2384"/>
      <c r="AL54" s="2384"/>
      <c r="AM54" s="2384"/>
      <c r="AN54" s="2384"/>
      <c r="AO54" s="2384"/>
      <c r="AP54" s="2385"/>
      <c r="AQ54" s="1046" t="s">
        <v>492</v>
      </c>
      <c r="AS54" s="433"/>
      <c r="AT54" s="433" t="str">
        <f t="shared" si="2"/>
        <v>Группа потребителей</v>
      </c>
      <c r="AU54" s="433"/>
      <c r="AV54" s="433"/>
      <c r="AW54" s="956">
        <v>21</v>
      </c>
    </row>
    <row r="55" spans="1:49" ht="21.95" customHeight="1">
      <c r="A55" s="1055" t="s">
        <v>260</v>
      </c>
      <c r="B55" s="1055" t="s">
        <v>261</v>
      </c>
      <c r="C55" s="1055" t="s">
        <v>262</v>
      </c>
      <c r="D55" s="1055" t="s">
        <v>263</v>
      </c>
      <c r="E55" s="2422"/>
      <c r="F55" s="2422"/>
      <c r="G55" s="2422"/>
      <c r="H55" s="2422"/>
      <c r="I55" s="2247"/>
      <c r="J55" s="2247"/>
      <c r="K55" s="2266" t="str">
        <f>J54&amp;".1"</f>
        <v>....1.1.1</v>
      </c>
      <c r="L55" s="75"/>
      <c r="M55" s="1098" t="s">
        <v>493</v>
      </c>
      <c r="Q55" s="2399"/>
      <c r="R55" s="2399"/>
      <c r="S55" s="451">
        <v>1</v>
      </c>
      <c r="T55" s="290"/>
      <c r="U55" s="1124" t="str">
        <f>$K55</f>
        <v>....1.1.1</v>
      </c>
      <c r="V55" s="1135"/>
      <c r="W55" s="234"/>
      <c r="X55" s="658"/>
      <c r="Y55" s="658"/>
      <c r="Z55" s="658"/>
      <c r="AA55" s="658"/>
      <c r="AB55" s="1193"/>
      <c r="AC55" s="2400"/>
      <c r="AD55" s="2276" t="s">
        <v>52</v>
      </c>
      <c r="AE55" s="2400"/>
      <c r="AF55" s="2276" t="s">
        <v>52</v>
      </c>
      <c r="AG55" s="1195"/>
      <c r="AH55" s="658"/>
      <c r="AI55" s="658"/>
      <c r="AJ55" s="658"/>
      <c r="AK55" s="1045"/>
      <c r="AL55" s="2400"/>
      <c r="AM55" s="2276" t="s">
        <v>52</v>
      </c>
      <c r="AN55" s="2400"/>
      <c r="AO55" s="2276" t="s">
        <v>52</v>
      </c>
      <c r="AP55" s="1136"/>
      <c r="AQ55" s="1095" t="s">
        <v>536</v>
      </c>
      <c r="AR55" s="444" t="e">
        <f ca="1">STRCHECKDATE(X57:AP57)</f>
        <v>#NAME?</v>
      </c>
      <c r="AS55" s="433"/>
      <c r="AT55" s="433" t="str">
        <f t="shared" si="2"/>
        <v/>
      </c>
      <c r="AU55" s="433"/>
      <c r="AV55" s="433"/>
      <c r="AW55" s="956">
        <v>21</v>
      </c>
    </row>
    <row r="56" spans="1:49" ht="11.45" customHeight="1">
      <c r="A56" s="1055" t="s">
        <v>260</v>
      </c>
      <c r="B56" s="1055" t="s">
        <v>261</v>
      </c>
      <c r="C56" s="1055" t="s">
        <v>262</v>
      </c>
      <c r="D56" s="1055" t="s">
        <v>263</v>
      </c>
      <c r="E56" s="2422"/>
      <c r="F56" s="2422"/>
      <c r="G56" s="2422"/>
      <c r="H56" s="2422"/>
      <c r="I56" s="2247"/>
      <c r="J56" s="2247"/>
      <c r="K56" s="2247"/>
      <c r="L56" s="2266" t="str">
        <f>K55&amp;".1"</f>
        <v>....1.1.1.1</v>
      </c>
      <c r="M56" s="1098"/>
      <c r="Q56" s="2399"/>
      <c r="R56" s="2399"/>
      <c r="S56" s="451">
        <v>1</v>
      </c>
      <c r="T56" s="290"/>
      <c r="U56" s="1124" t="str">
        <f>$L56</f>
        <v>....1.1.1.1</v>
      </c>
      <c r="V56" s="1179"/>
      <c r="W56" s="234"/>
      <c r="X56" s="259"/>
      <c r="Y56" s="658"/>
      <c r="Z56" s="658"/>
      <c r="AA56" s="658"/>
      <c r="AB56" s="1193"/>
      <c r="AC56" s="2401"/>
      <c r="AD56" s="2276"/>
      <c r="AE56" s="2401"/>
      <c r="AF56" s="2276"/>
      <c r="AG56" s="1195"/>
      <c r="AH56" s="658"/>
      <c r="AI56" s="658"/>
      <c r="AJ56" s="658"/>
      <c r="AK56" s="1045"/>
      <c r="AL56" s="2401"/>
      <c r="AM56" s="2276"/>
      <c r="AN56" s="2401"/>
      <c r="AO56" s="2276"/>
      <c r="AP56" s="1136"/>
      <c r="AQ56" s="2418" t="s">
        <v>537</v>
      </c>
      <c r="AR56" s="444" t="e">
        <f ca="1">STRCHECKDATE(X58:AP58)</f>
        <v>#NAME?</v>
      </c>
      <c r="AS56" s="433"/>
      <c r="AT56" s="433" t="str">
        <f t="shared" si="2"/>
        <v/>
      </c>
      <c r="AU56" s="433"/>
      <c r="AV56" s="433"/>
      <c r="AW56" s="956">
        <v>11</v>
      </c>
    </row>
    <row r="57" spans="1:49" ht="0" hidden="1" customHeight="1">
      <c r="A57" s="1055" t="s">
        <v>260</v>
      </c>
      <c r="B57" s="1055" t="s">
        <v>261</v>
      </c>
      <c r="C57" s="1055" t="s">
        <v>262</v>
      </c>
      <c r="D57" s="1055" t="s">
        <v>263</v>
      </c>
      <c r="E57" s="2422"/>
      <c r="F57" s="2422"/>
      <c r="G57" s="2422"/>
      <c r="H57" s="2422"/>
      <c r="I57" s="2247"/>
      <c r="J57" s="2247"/>
      <c r="K57" s="2247"/>
      <c r="L57" s="2266"/>
      <c r="M57" s="1098"/>
      <c r="Q57" s="2399"/>
      <c r="R57" s="2399"/>
      <c r="S57" s="451"/>
      <c r="T57" s="290"/>
      <c r="U57" s="1130"/>
      <c r="V57" s="234"/>
      <c r="W57" s="234"/>
      <c r="X57" s="259"/>
      <c r="Y57" s="259"/>
      <c r="Z57" s="259"/>
      <c r="AA57" s="259"/>
      <c r="AB57" s="1194" t="str">
        <f>AC55&amp;"-"&amp;AE55</f>
        <v>-</v>
      </c>
      <c r="AC57" s="2401"/>
      <c r="AD57" s="2276"/>
      <c r="AE57" s="2401"/>
      <c r="AF57" s="2276"/>
      <c r="AG57" s="1170"/>
      <c r="AH57" s="259"/>
      <c r="AI57" s="259"/>
      <c r="AJ57" s="259"/>
      <c r="AK57" s="262" t="str">
        <f>AL55&amp;"-"&amp;AN55</f>
        <v>-</v>
      </c>
      <c r="AL57" s="2401"/>
      <c r="AM57" s="2276"/>
      <c r="AN57" s="2401"/>
      <c r="AO57" s="2276"/>
      <c r="AP57" s="1137"/>
      <c r="AQ57" s="2419"/>
      <c r="AS57" s="433"/>
      <c r="AT57" s="433" t="str">
        <f t="shared" si="2"/>
        <v/>
      </c>
      <c r="AU57" s="433"/>
      <c r="AV57" s="433"/>
      <c r="AW57" s="956">
        <v>0</v>
      </c>
    </row>
    <row r="58" spans="1:49" ht="11.45" customHeight="1">
      <c r="A58" s="1055" t="s">
        <v>260</v>
      </c>
      <c r="B58" s="1055" t="s">
        <v>261</v>
      </c>
      <c r="C58" s="1055" t="s">
        <v>262</v>
      </c>
      <c r="D58" s="1055" t="s">
        <v>263</v>
      </c>
      <c r="E58" s="2422"/>
      <c r="F58" s="2422"/>
      <c r="G58" s="2422"/>
      <c r="H58" s="2422"/>
      <c r="I58" s="2247"/>
      <c r="J58" s="2247"/>
      <c r="K58" s="2266"/>
      <c r="L58" s="1055"/>
      <c r="M58" s="1098"/>
      <c r="Q58" s="2399"/>
      <c r="R58" s="2399"/>
      <c r="S58" s="1119"/>
      <c r="T58" s="289"/>
      <c r="U58" s="1066"/>
      <c r="V58" s="222" t="s">
        <v>538</v>
      </c>
      <c r="W58" s="300"/>
      <c r="X58" s="300"/>
      <c r="Y58" s="300"/>
      <c r="Z58" s="300"/>
      <c r="AA58" s="300"/>
      <c r="AB58" s="300"/>
      <c r="AC58" s="2401"/>
      <c r="AD58" s="2276"/>
      <c r="AE58" s="2401"/>
      <c r="AF58" s="2276"/>
      <c r="AG58" s="300"/>
      <c r="AH58" s="300"/>
      <c r="AI58" s="300"/>
      <c r="AJ58" s="300"/>
      <c r="AK58" s="300"/>
      <c r="AL58" s="2401"/>
      <c r="AM58" s="2276"/>
      <c r="AN58" s="2401"/>
      <c r="AO58" s="2276"/>
      <c r="AP58" s="258"/>
      <c r="AQ58" s="2419"/>
      <c r="AS58" s="433"/>
      <c r="AT58" s="433" t="str">
        <f t="shared" si="2"/>
        <v>Добавить наименование поставщика</v>
      </c>
      <c r="AU58" s="433"/>
      <c r="AV58" s="433"/>
      <c r="AW58" s="956">
        <v>11</v>
      </c>
    </row>
    <row r="59" spans="1:49" ht="11.45" customHeight="1">
      <c r="A59" s="1055" t="s">
        <v>260</v>
      </c>
      <c r="B59" s="1055" t="s">
        <v>261</v>
      </c>
      <c r="C59" s="1055" t="s">
        <v>262</v>
      </c>
      <c r="D59" s="1055" t="s">
        <v>263</v>
      </c>
      <c r="E59" s="2422"/>
      <c r="F59" s="2422"/>
      <c r="G59" s="2422"/>
      <c r="H59" s="2422"/>
      <c r="I59" s="2247"/>
      <c r="J59" s="2266"/>
      <c r="K59" s="1055"/>
      <c r="L59" s="1055"/>
      <c r="M59" s="1098"/>
      <c r="Q59" s="2399"/>
      <c r="R59" s="2399"/>
      <c r="S59" s="1119"/>
      <c r="T59" s="289"/>
      <c r="U59" s="1066"/>
      <c r="V59" s="221" t="s">
        <v>495</v>
      </c>
      <c r="W59" s="300"/>
      <c r="X59" s="300"/>
      <c r="Y59" s="300"/>
      <c r="Z59" s="300"/>
      <c r="AA59" s="300"/>
      <c r="AB59" s="300"/>
      <c r="AC59" s="1196"/>
      <c r="AD59" s="1196"/>
      <c r="AE59" s="1196"/>
      <c r="AF59" s="1196"/>
      <c r="AG59" s="300"/>
      <c r="AH59" s="300"/>
      <c r="AI59" s="300"/>
      <c r="AJ59" s="300"/>
      <c r="AK59" s="300"/>
      <c r="AL59" s="300"/>
      <c r="AM59" s="300"/>
      <c r="AN59" s="300"/>
      <c r="AO59" s="300"/>
      <c r="AP59" s="258"/>
      <c r="AQ59" s="2420"/>
      <c r="AS59" s="433"/>
      <c r="AT59" s="433" t="str">
        <f t="shared" si="2"/>
        <v>Добавить вид теплоносителя (параметры теплоносителя)</v>
      </c>
      <c r="AU59" s="433"/>
      <c r="AV59" s="433"/>
      <c r="AW59" s="956">
        <v>11</v>
      </c>
    </row>
    <row r="60" spans="1:49" ht="11.45" customHeight="1">
      <c r="A60" s="1055" t="s">
        <v>260</v>
      </c>
      <c r="B60" s="1055" t="s">
        <v>261</v>
      </c>
      <c r="C60" s="1055" t="s">
        <v>262</v>
      </c>
      <c r="D60" s="1055" t="s">
        <v>263</v>
      </c>
      <c r="E60" s="2422"/>
      <c r="F60" s="2422"/>
      <c r="G60" s="2422"/>
      <c r="H60" s="2422"/>
      <c r="I60" s="2266"/>
      <c r="J60" s="1055"/>
      <c r="K60" s="1055"/>
      <c r="L60" s="1055"/>
      <c r="M60" s="1098"/>
      <c r="Q60" s="2399"/>
      <c r="R60" s="1119"/>
      <c r="S60" s="1119"/>
      <c r="T60" s="289"/>
      <c r="U60" s="1066"/>
      <c r="V60" s="298" t="s">
        <v>496</v>
      </c>
      <c r="W60" s="300"/>
      <c r="X60" s="300"/>
      <c r="Y60" s="300"/>
      <c r="Z60" s="300"/>
      <c r="AA60" s="300"/>
      <c r="AB60" s="300"/>
      <c r="AC60" s="300"/>
      <c r="AD60" s="300"/>
      <c r="AE60" s="300"/>
      <c r="AF60" s="299"/>
      <c r="AG60" s="300"/>
      <c r="AH60" s="300"/>
      <c r="AI60" s="300"/>
      <c r="AJ60" s="300"/>
      <c r="AK60" s="300"/>
      <c r="AL60" s="300"/>
      <c r="AM60" s="300"/>
      <c r="AN60" s="300"/>
      <c r="AO60" s="299"/>
      <c r="AP60" s="300"/>
      <c r="AQ60" s="237"/>
      <c r="AS60" s="433"/>
      <c r="AT60" s="433" t="str">
        <f t="shared" si="2"/>
        <v>Добавить группу потребителей</v>
      </c>
      <c r="AU60" s="433"/>
      <c r="AV60" s="433"/>
      <c r="AW60" s="956">
        <v>11</v>
      </c>
    </row>
    <row r="61" spans="1:49" ht="0" hidden="1" customHeight="1">
      <c r="A61" s="1055" t="s">
        <v>260</v>
      </c>
      <c r="B61" s="1055" t="s">
        <v>261</v>
      </c>
      <c r="C61" s="1055" t="s">
        <v>262</v>
      </c>
      <c r="D61" s="1055" t="s">
        <v>263</v>
      </c>
      <c r="E61" s="2422"/>
      <c r="F61" s="2422"/>
      <c r="G61" s="2422"/>
      <c r="H61" s="2421"/>
      <c r="I61" s="1055"/>
      <c r="J61" s="1055"/>
      <c r="K61" s="1055"/>
      <c r="L61" s="1055"/>
      <c r="M61" s="1098"/>
      <c r="N61" s="609"/>
      <c r="O61" s="609"/>
      <c r="P61" s="442"/>
      <c r="Q61" s="293"/>
      <c r="R61" s="308"/>
      <c r="S61" s="288"/>
      <c r="T61" s="293"/>
      <c r="U61" s="1174"/>
      <c r="V61" s="1175"/>
      <c r="W61" s="1176"/>
      <c r="X61" s="1176"/>
      <c r="Y61" s="1176"/>
      <c r="Z61" s="1176"/>
      <c r="AA61" s="1176"/>
      <c r="AB61" s="1176"/>
      <c r="AC61" s="1176"/>
      <c r="AD61" s="1176"/>
      <c r="AE61" s="1176"/>
      <c r="AF61" s="1176"/>
      <c r="AG61" s="1176"/>
      <c r="AH61" s="1176"/>
      <c r="AI61" s="1176"/>
      <c r="AJ61" s="1176"/>
      <c r="AK61" s="1176"/>
      <c r="AL61" s="1176"/>
      <c r="AM61" s="1176"/>
      <c r="AN61" s="1176"/>
      <c r="AO61" s="1176"/>
      <c r="AP61" s="1176"/>
      <c r="AQ61" s="1177"/>
      <c r="AS61" s="433"/>
      <c r="AT61" s="433" t="str">
        <f t="shared" si="2"/>
        <v/>
      </c>
      <c r="AU61" s="433"/>
      <c r="AV61" s="433"/>
      <c r="AW61" s="956">
        <v>0</v>
      </c>
    </row>
    <row r="62" spans="1:49" s="1430" customFormat="1" ht="0" hidden="1" customHeight="1">
      <c r="A62" s="1163" t="s">
        <v>260</v>
      </c>
      <c r="B62" s="1163" t="s">
        <v>261</v>
      </c>
      <c r="C62" s="1163" t="s">
        <v>262</v>
      </c>
      <c r="D62" s="1162"/>
      <c r="E62" s="2422"/>
      <c r="F62" s="2422"/>
      <c r="G62" s="2421"/>
      <c r="H62" s="1162"/>
      <c r="I62" s="1162"/>
      <c r="J62" s="1162"/>
      <c r="K62" s="1162"/>
      <c r="L62" s="1162"/>
      <c r="M62" s="1165"/>
      <c r="N62" s="1166"/>
      <c r="O62" s="1166"/>
      <c r="P62" s="284"/>
      <c r="Q62" s="1104"/>
      <c r="R62" s="1105"/>
      <c r="S62" s="1104"/>
      <c r="T62" s="1104"/>
      <c r="U62" s="1110"/>
      <c r="V62" s="1113" t="s">
        <v>498</v>
      </c>
      <c r="W62" s="1112"/>
      <c r="X62" s="1112"/>
      <c r="Y62" s="1112"/>
      <c r="Z62" s="1112"/>
      <c r="AA62" s="1112"/>
      <c r="AB62" s="1112"/>
      <c r="AC62" s="1112"/>
      <c r="AD62" s="1112"/>
      <c r="AE62" s="1112"/>
      <c r="AF62" s="1112"/>
      <c r="AG62" s="1112"/>
      <c r="AH62" s="1112"/>
      <c r="AI62" s="1112"/>
      <c r="AJ62" s="1112"/>
      <c r="AK62" s="1112"/>
      <c r="AL62" s="1112"/>
      <c r="AM62" s="1112"/>
      <c r="AN62" s="1112"/>
      <c r="AO62" s="1112"/>
      <c r="AP62" s="1112"/>
      <c r="AQ62" s="1112"/>
      <c r="AS62" s="688"/>
      <c r="AT62" s="688" t="str">
        <f t="shared" si="2"/>
        <v>Добавить источник для дифференциации</v>
      </c>
      <c r="AU62" s="688"/>
      <c r="AV62" s="688"/>
      <c r="AW62" s="451">
        <v>0</v>
      </c>
    </row>
    <row r="63" spans="1:49" s="1430" customFormat="1" ht="0" hidden="1" customHeight="1">
      <c r="A63" s="1163" t="s">
        <v>260</v>
      </c>
      <c r="B63" s="1163" t="s">
        <v>261</v>
      </c>
      <c r="C63" s="1162"/>
      <c r="D63" s="1162"/>
      <c r="E63" s="2422"/>
      <c r="F63" s="2421"/>
      <c r="G63" s="1162"/>
      <c r="H63" s="1162"/>
      <c r="I63" s="1162"/>
      <c r="J63" s="1162"/>
      <c r="K63" s="1162"/>
      <c r="L63" s="1162"/>
      <c r="M63" s="1165"/>
      <c r="N63" s="1167"/>
      <c r="O63" s="1167"/>
      <c r="P63" s="284"/>
      <c r="Q63" s="1104"/>
      <c r="R63" s="1105"/>
      <c r="S63" s="1104"/>
      <c r="T63" s="1104"/>
      <c r="U63" s="1110"/>
      <c r="V63" s="1113" t="s">
        <v>499</v>
      </c>
      <c r="W63" s="1112"/>
      <c r="X63" s="1112"/>
      <c r="Y63" s="1112"/>
      <c r="Z63" s="1112"/>
      <c r="AA63" s="1112"/>
      <c r="AB63" s="1112"/>
      <c r="AC63" s="1112"/>
      <c r="AD63" s="1112"/>
      <c r="AE63" s="1112"/>
      <c r="AF63" s="1112"/>
      <c r="AG63" s="1112"/>
      <c r="AH63" s="1112"/>
      <c r="AI63" s="1112"/>
      <c r="AJ63" s="1112"/>
      <c r="AK63" s="1112"/>
      <c r="AL63" s="1112"/>
      <c r="AM63" s="1112"/>
      <c r="AN63" s="1112"/>
      <c r="AO63" s="1112"/>
      <c r="AP63" s="1112"/>
      <c r="AQ63" s="1112"/>
      <c r="AS63" s="688"/>
      <c r="AT63" s="688" t="str">
        <f t="shared" si="2"/>
        <v>Добавить централизованную систему для дифференциации</v>
      </c>
      <c r="AU63" s="688"/>
      <c r="AV63" s="688"/>
      <c r="AW63" s="451">
        <v>0</v>
      </c>
    </row>
    <row r="64" spans="1:49" s="1430" customFormat="1" ht="0" hidden="1" customHeight="1">
      <c r="A64" s="1163" t="s">
        <v>260</v>
      </c>
      <c r="B64" s="1163"/>
      <c r="C64" s="1163"/>
      <c r="D64" s="1163"/>
      <c r="E64" s="2421"/>
      <c r="F64" s="1163"/>
      <c r="G64" s="1163"/>
      <c r="H64" s="1163"/>
      <c r="I64" s="1163"/>
      <c r="J64" s="1163"/>
      <c r="K64" s="1163"/>
      <c r="L64" s="1163"/>
      <c r="M64" s="1169"/>
      <c r="N64" s="1167"/>
      <c r="O64" s="1167"/>
      <c r="P64" s="284"/>
      <c r="Q64" s="313"/>
      <c r="R64" s="1132"/>
      <c r="S64" s="313"/>
      <c r="T64" s="313"/>
      <c r="U64" s="1110"/>
      <c r="V64" s="1113" t="s">
        <v>500</v>
      </c>
      <c r="W64" s="1112"/>
      <c r="X64" s="1112"/>
      <c r="Y64" s="1112"/>
      <c r="Z64" s="1112"/>
      <c r="AA64" s="1112"/>
      <c r="AB64" s="1112"/>
      <c r="AC64" s="1112"/>
      <c r="AD64" s="1112"/>
      <c r="AE64" s="1112"/>
      <c r="AF64" s="1112"/>
      <c r="AG64" s="1112"/>
      <c r="AH64" s="1112"/>
      <c r="AI64" s="1112"/>
      <c r="AJ64" s="1112"/>
      <c r="AK64" s="1112"/>
      <c r="AL64" s="1112"/>
      <c r="AM64" s="1112"/>
      <c r="AN64" s="1112"/>
      <c r="AO64" s="1112"/>
      <c r="AP64" s="1112"/>
      <c r="AQ64" s="1112"/>
      <c r="AS64" s="433"/>
      <c r="AT64" s="433" t="str">
        <f t="shared" si="2"/>
        <v>Добавить территорию для дифференциации</v>
      </c>
      <c r="AU64" s="433"/>
      <c r="AV64" s="433"/>
      <c r="AW64" s="444">
        <v>0</v>
      </c>
    </row>
    <row r="65" spans="1:49" s="1430" customFormat="1" ht="4.1500000000000004" customHeight="1">
      <c r="A65" s="1162"/>
      <c r="B65" s="1162"/>
      <c r="C65" s="1162"/>
      <c r="D65" s="1162"/>
      <c r="E65" s="1163"/>
      <c r="F65" s="1162"/>
      <c r="G65" s="1162"/>
      <c r="H65" s="1162"/>
      <c r="I65" s="1162"/>
      <c r="J65" s="1162"/>
      <c r="K65" s="1162"/>
      <c r="L65" s="1162"/>
      <c r="M65" s="1165"/>
      <c r="N65" s="1167"/>
      <c r="O65" s="1167"/>
      <c r="P65" s="284"/>
      <c r="Q65" s="1104"/>
      <c r="R65" s="1105"/>
      <c r="S65" s="1104"/>
      <c r="T65" s="1104"/>
      <c r="U65" s="1110"/>
      <c r="V65" s="1113" t="s">
        <v>532</v>
      </c>
      <c r="W65" s="1112"/>
      <c r="X65" s="1112"/>
      <c r="Y65" s="1112"/>
      <c r="Z65" s="1112"/>
      <c r="AA65" s="1112"/>
      <c r="AB65" s="1112"/>
      <c r="AC65" s="1112"/>
      <c r="AD65" s="1112"/>
      <c r="AE65" s="1112"/>
      <c r="AF65" s="1112"/>
      <c r="AG65" s="1112"/>
      <c r="AH65" s="1112"/>
      <c r="AI65" s="1112"/>
      <c r="AJ65" s="1112"/>
      <c r="AK65" s="1112"/>
      <c r="AL65" s="1112"/>
      <c r="AM65" s="1112"/>
      <c r="AN65" s="1112"/>
      <c r="AO65" s="1112"/>
      <c r="AP65" s="1112"/>
      <c r="AQ65" s="1112"/>
      <c r="AS65" s="688"/>
      <c r="AT65" s="688" t="str">
        <f t="shared" si="2"/>
        <v>Добавить наименование тарифа</v>
      </c>
      <c r="AU65" s="688"/>
      <c r="AV65" s="688"/>
      <c r="AW65" s="451">
        <v>4</v>
      </c>
    </row>
    <row r="66" spans="1:49" ht="11.45" customHeight="1">
      <c r="N66" s="956"/>
      <c r="O66" s="956"/>
      <c r="P66" s="442"/>
      <c r="Q66" s="956"/>
      <c r="R66" s="956"/>
      <c r="S66" s="956"/>
      <c r="T66" s="956"/>
      <c r="U66" s="956"/>
      <c r="AR66" s="956"/>
      <c r="AS66" s="956"/>
      <c r="AT66" s="956"/>
      <c r="AU66" s="956"/>
      <c r="AV66" s="956"/>
      <c r="AW66" s="956">
        <v>11</v>
      </c>
    </row>
    <row r="67" spans="1:49" ht="35.65" customHeight="1">
      <c r="P67" s="442"/>
      <c r="U67" s="1041"/>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W67" s="956">
        <v>34</v>
      </c>
    </row>
    <row r="68" spans="1:49" ht="21" customHeight="1">
      <c r="P68" s="442"/>
      <c r="V68" s="2394"/>
      <c r="W68" s="2394"/>
      <c r="X68" s="2394"/>
      <c r="Y68" s="2394"/>
      <c r="Z68" s="2394"/>
      <c r="AA68" s="2394"/>
      <c r="AB68" s="2394"/>
      <c r="AC68" s="2394"/>
      <c r="AD68" s="2394"/>
      <c r="AE68" s="2394"/>
      <c r="AF68" s="2394"/>
      <c r="AG68" s="2394"/>
      <c r="AH68" s="2394"/>
      <c r="AI68" s="2394"/>
      <c r="AJ68" s="2394"/>
      <c r="AK68" s="2394"/>
      <c r="AL68" s="2394"/>
      <c r="AM68" s="2394"/>
      <c r="AN68" s="2394"/>
      <c r="AO68" s="2394"/>
      <c r="AP68" s="2394"/>
      <c r="AQ68" s="2394"/>
      <c r="AW68" s="956">
        <v>20</v>
      </c>
    </row>
    <row r="69" spans="1:49" ht="14.65" customHeight="1">
      <c r="P69" s="442"/>
      <c r="AW69" s="956">
        <v>14</v>
      </c>
    </row>
    <row r="70" spans="1:49" ht="28.5" customHeight="1">
      <c r="P70" s="442"/>
      <c r="V70" s="2394"/>
      <c r="W70" s="2394"/>
      <c r="X70" s="2394"/>
      <c r="Y70" s="2394"/>
      <c r="Z70" s="2394"/>
      <c r="AA70" s="2394"/>
      <c r="AB70" s="2394"/>
      <c r="AC70" s="2394"/>
      <c r="AD70" s="2394"/>
      <c r="AE70" s="2394"/>
      <c r="AF70" s="2394"/>
      <c r="AG70" s="2394"/>
      <c r="AH70" s="2394"/>
      <c r="AI70" s="2394"/>
      <c r="AJ70" s="2394"/>
      <c r="AK70" s="2394"/>
      <c r="AL70" s="2394"/>
      <c r="AM70" s="2394"/>
      <c r="AN70" s="2394"/>
      <c r="AO70" s="2394"/>
      <c r="AP70" s="2394"/>
      <c r="AQ70" s="2394"/>
      <c r="AW70" s="956">
        <v>27</v>
      </c>
    </row>
    <row r="71" spans="1:49" ht="18.75" customHeight="1">
      <c r="P71" s="442"/>
      <c r="V71" s="2394"/>
      <c r="W71" s="2394"/>
      <c r="X71" s="2394"/>
      <c r="Y71" s="2394"/>
      <c r="Z71" s="2394"/>
      <c r="AA71" s="2394"/>
      <c r="AB71" s="2394"/>
      <c r="AC71" s="2394"/>
      <c r="AD71" s="2394"/>
      <c r="AE71" s="2394"/>
      <c r="AF71" s="2394"/>
      <c r="AG71" s="2394"/>
      <c r="AH71" s="2394"/>
      <c r="AI71" s="2394"/>
      <c r="AJ71" s="2394"/>
      <c r="AK71" s="2394"/>
      <c r="AL71" s="2394"/>
      <c r="AM71" s="2394"/>
      <c r="AN71" s="2394"/>
      <c r="AO71" s="2394"/>
      <c r="AP71" s="2394"/>
      <c r="AQ71" s="2394"/>
      <c r="AW71" s="956">
        <v>18</v>
      </c>
    </row>
    <row r="72" spans="1:49" ht="22.5" hidden="1" customHeight="1">
      <c r="A72" s="956" t="s">
        <v>69</v>
      </c>
      <c r="B72" s="956">
        <v>0</v>
      </c>
      <c r="C72" s="956">
        <v>0</v>
      </c>
      <c r="D72" s="956">
        <v>0</v>
      </c>
      <c r="E72" s="956">
        <v>0</v>
      </c>
      <c r="F72" s="956">
        <v>0</v>
      </c>
      <c r="G72" s="956">
        <v>0</v>
      </c>
      <c r="H72" s="956">
        <v>0</v>
      </c>
      <c r="I72" s="956">
        <v>0</v>
      </c>
      <c r="J72" s="956">
        <v>0</v>
      </c>
      <c r="K72" s="956">
        <v>0</v>
      </c>
      <c r="L72" s="956">
        <v>0</v>
      </c>
      <c r="M72" s="1115">
        <v>0</v>
      </c>
      <c r="N72" s="1116">
        <v>0</v>
      </c>
      <c r="O72" s="1116">
        <v>0</v>
      </c>
      <c r="P72" s="1116">
        <v>0</v>
      </c>
      <c r="Q72" s="1116">
        <v>0</v>
      </c>
      <c r="R72" s="278">
        <v>3</v>
      </c>
      <c r="S72" s="278">
        <v>3</v>
      </c>
      <c r="T72" s="278">
        <v>3</v>
      </c>
      <c r="U72" s="512">
        <v>12</v>
      </c>
      <c r="V72" s="956">
        <v>31</v>
      </c>
      <c r="W72" s="956">
        <v>0</v>
      </c>
      <c r="X72" s="956">
        <v>0</v>
      </c>
      <c r="Y72" s="956">
        <v>0</v>
      </c>
      <c r="Z72" s="956">
        <v>0</v>
      </c>
      <c r="AA72" s="956">
        <v>0</v>
      </c>
      <c r="AB72" s="956">
        <v>0</v>
      </c>
      <c r="AC72" s="956">
        <v>0</v>
      </c>
      <c r="AD72" s="956">
        <v>0</v>
      </c>
      <c r="AE72" s="956">
        <v>0</v>
      </c>
      <c r="AF72" s="956">
        <v>0</v>
      </c>
      <c r="AG72" s="956">
        <v>21</v>
      </c>
      <c r="AH72" s="956">
        <v>21</v>
      </c>
      <c r="AI72" s="956">
        <v>21</v>
      </c>
      <c r="AJ72" s="956">
        <v>21</v>
      </c>
      <c r="AK72" s="956">
        <v>21</v>
      </c>
      <c r="AL72" s="956">
        <v>11</v>
      </c>
      <c r="AM72" s="956">
        <v>3</v>
      </c>
      <c r="AN72" s="956">
        <v>11</v>
      </c>
      <c r="AO72" s="956">
        <v>8</v>
      </c>
      <c r="AP72" s="956">
        <v>4</v>
      </c>
      <c r="AQ72" s="956">
        <v>115</v>
      </c>
      <c r="AR72" s="444">
        <v>10</v>
      </c>
      <c r="AS72" s="444">
        <v>10</v>
      </c>
      <c r="AT72" s="444">
        <v>10</v>
      </c>
      <c r="AU72" s="444">
        <v>10</v>
      </c>
      <c r="AV72" s="444">
        <v>10</v>
      </c>
      <c r="AW72" s="956">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154" hidden="1"/>
    <col min="2" max="2" width="11" style="1154" hidden="1" customWidth="1"/>
    <col min="3" max="3" width="10.5703125" style="1154" hidden="1"/>
    <col min="4" max="4" width="11.85546875" style="1154" hidden="1" customWidth="1"/>
    <col min="5" max="5" width="10" style="1154" hidden="1" customWidth="1"/>
    <col min="6" max="6" width="8.7109375" style="1154" hidden="1" customWidth="1"/>
    <col min="7" max="7" width="7.5703125" style="1154" hidden="1" customWidth="1"/>
    <col min="8" max="8" width="11.42578125" style="1154" hidden="1" customWidth="1"/>
    <col min="9" max="9" width="12" style="1154" hidden="1" customWidth="1"/>
    <col min="10" max="10" width="9.85546875" style="1154" hidden="1" customWidth="1"/>
    <col min="11" max="11" width="11.42578125" style="1154" hidden="1" customWidth="1"/>
    <col min="12" max="12" width="19.140625" style="1866" hidden="1" customWidth="1"/>
    <col min="13" max="14" width="12.28515625" style="1535" hidden="1" customWidth="1"/>
    <col min="15" max="15" width="23.42578125" style="1535" hidden="1" customWidth="1"/>
    <col min="16" max="16" width="3" style="1535" customWidth="1"/>
    <col min="17" max="17" width="3" style="1159" customWidth="1"/>
    <col min="18" max="18" width="3" style="278" customWidth="1"/>
    <col min="19" max="19" width="12" style="1858" customWidth="1"/>
    <col min="20" max="20" width="31" style="1423" customWidth="1"/>
    <col min="21" max="21" width="0.140625" style="1423" customWidth="1"/>
    <col min="22" max="23" width="21.7109375" style="1423" hidden="1" customWidth="1"/>
    <col min="24" max="24" width="11.7109375" style="1423" hidden="1" customWidth="1"/>
    <col min="25" max="25" width="3.7109375" style="1423" hidden="1" customWidth="1"/>
    <col min="26" max="26" width="11.7109375" style="1423" hidden="1" customWidth="1"/>
    <col min="27" max="27" width="8.5703125" style="1423" hidden="1" customWidth="1"/>
    <col min="28" max="28" width="5.42578125" style="1423" customWidth="1"/>
    <col min="29" max="30" width="3" style="1423" customWidth="1"/>
    <col min="31" max="31" width="24" style="1423" customWidth="1"/>
    <col min="32" max="32" width="3.7109375" style="1423" customWidth="1"/>
    <col min="33" max="34" width="3" style="1423" customWidth="1"/>
    <col min="35" max="35" width="24" style="1423" customWidth="1"/>
    <col min="36" max="36" width="3.7109375" style="1423" customWidth="1"/>
    <col min="37" max="38" width="3" style="1423" customWidth="1"/>
    <col min="39" max="39" width="18" style="1423" customWidth="1"/>
    <col min="40" max="41" width="21" style="1423" customWidth="1"/>
    <col min="42" max="42" width="11" style="1423" customWidth="1"/>
    <col min="43" max="43" width="3.7109375" style="1423" customWidth="1"/>
    <col min="44" max="44" width="11" style="1423" customWidth="1"/>
    <col min="45" max="45" width="8.5703125" style="1423" hidden="1" customWidth="1"/>
    <col min="46" max="46" width="4" style="1423" customWidth="1"/>
    <col min="47" max="47" width="115" style="1423" customWidth="1"/>
    <col min="48" max="52" width="10" style="1430" customWidth="1"/>
    <col min="53" max="53" width="10.5703125" style="1423" hidden="1"/>
  </cols>
  <sheetData>
    <row r="1" spans="1:53" ht="22.5" hidden="1" customHeight="1">
      <c r="W1" s="261"/>
      <c r="X1" s="261"/>
      <c r="AO1" s="261"/>
      <c r="AP1" s="261"/>
      <c r="BA1" s="956" t="s">
        <v>1</v>
      </c>
    </row>
    <row r="2" spans="1:53" ht="21" hidden="1" customHeight="1">
      <c r="A2" s="1151"/>
      <c r="B2" s="1151"/>
      <c r="C2" s="1151"/>
      <c r="D2" s="1151"/>
      <c r="E2" s="2395">
        <v>1</v>
      </c>
      <c r="F2" s="1151"/>
      <c r="G2" s="1151"/>
      <c r="H2" s="1151"/>
      <c r="I2" s="1151"/>
      <c r="J2" s="1151"/>
      <c r="K2" s="1151"/>
      <c r="L2" s="1152"/>
      <c r="M2" s="1153"/>
      <c r="N2" s="1153"/>
      <c r="O2" s="1153"/>
      <c r="P2" s="1197"/>
      <c r="Q2" s="772"/>
      <c r="R2" s="288"/>
      <c r="S2" s="1124" t="e">
        <f>INDEX(PT_DIFFERENTIATION_NUM_NTAR,MATCH(A2,PT_DIFFERENTIATION_NTAR_ID,0))</f>
        <v>#N/A</v>
      </c>
      <c r="T2" s="232" t="s">
        <v>214</v>
      </c>
      <c r="U2" s="234"/>
      <c r="V2" s="2390"/>
      <c r="W2" s="2390"/>
      <c r="X2" s="2390"/>
      <c r="Y2" s="2390"/>
      <c r="Z2" s="2390"/>
      <c r="AA2" s="2391"/>
      <c r="AB2" s="2389" t="e">
        <f>INDEX(PT_DIFFERENTIATION_NTAR,MATCH(A2,PT_DIFFERENTIATION_NTAR_ID,0))</f>
        <v>#N/A</v>
      </c>
      <c r="AC2" s="2390"/>
      <c r="AD2" s="2390"/>
      <c r="AE2" s="2390"/>
      <c r="AF2" s="2390"/>
      <c r="AG2" s="2390"/>
      <c r="AH2" s="2390"/>
      <c r="AI2" s="2390"/>
      <c r="AJ2" s="2390"/>
      <c r="AK2" s="2390"/>
      <c r="AL2" s="2390"/>
      <c r="AM2" s="2390"/>
      <c r="AN2" s="2390"/>
      <c r="AO2" s="2390"/>
      <c r="AP2" s="2390"/>
      <c r="AQ2" s="2390"/>
      <c r="AR2" s="2390"/>
      <c r="AS2" s="2390"/>
      <c r="AT2" s="2391"/>
      <c r="AU2" s="1046" t="s">
        <v>480</v>
      </c>
      <c r="AW2" s="433"/>
      <c r="AX2" s="433" t="str">
        <f t="shared" ref="AX2:AX8" si="0">IF(T2="","",T2)</f>
        <v>Наименование тарифа</v>
      </c>
      <c r="AY2" s="433"/>
      <c r="AZ2" s="433"/>
      <c r="BA2" s="956">
        <v>0</v>
      </c>
    </row>
    <row r="3" spans="1:53" ht="21" hidden="1" customHeight="1">
      <c r="A3" s="1151"/>
      <c r="B3" s="1151"/>
      <c r="C3" s="1151"/>
      <c r="D3" s="1151"/>
      <c r="E3" s="2396"/>
      <c r="F3" s="2395">
        <v>1</v>
      </c>
      <c r="G3" s="1151"/>
      <c r="H3" s="1151"/>
      <c r="I3" s="1151"/>
      <c r="J3" s="1151"/>
      <c r="K3" s="1151"/>
      <c r="L3" s="1152"/>
      <c r="M3" s="1153"/>
      <c r="N3" s="1153"/>
      <c r="O3" s="1153"/>
      <c r="P3" s="1198"/>
      <c r="Q3" s="1199"/>
      <c r="R3" s="286"/>
      <c r="S3" s="1124" t="e">
        <f>INDEX(PT_DIFFERENTIATION_NUM_TER,MATCH(B3,PT_DIFFERENTIATION_TER_ID,0))</f>
        <v>#N/A</v>
      </c>
      <c r="T3" s="242" t="s">
        <v>481</v>
      </c>
      <c r="U3" s="234"/>
      <c r="V3" s="2390"/>
      <c r="W3" s="2390"/>
      <c r="X3" s="2390"/>
      <c r="Y3" s="2390"/>
      <c r="Z3" s="2390"/>
      <c r="AA3" s="2391"/>
      <c r="AB3" s="2389" t="e">
        <f>INDEX(PT_DIFFERENTIATION_TER,MATCH(B3,PT_DIFFERENTIATION_TER_ID,0))</f>
        <v>#N/A</v>
      </c>
      <c r="AC3" s="2390"/>
      <c r="AD3" s="2390"/>
      <c r="AE3" s="2390"/>
      <c r="AF3" s="2390"/>
      <c r="AG3" s="2390"/>
      <c r="AH3" s="2390"/>
      <c r="AI3" s="2390"/>
      <c r="AJ3" s="2390"/>
      <c r="AK3" s="2390"/>
      <c r="AL3" s="2390"/>
      <c r="AM3" s="2390"/>
      <c r="AN3" s="2390"/>
      <c r="AO3" s="2390"/>
      <c r="AP3" s="2390"/>
      <c r="AQ3" s="2390"/>
      <c r="AR3" s="2390"/>
      <c r="AS3" s="2390"/>
      <c r="AT3" s="2391"/>
      <c r="AU3" s="1046" t="s">
        <v>482</v>
      </c>
      <c r="AW3" s="433"/>
      <c r="AX3" s="433" t="str">
        <f t="shared" si="0"/>
        <v>Территория действия тарифа</v>
      </c>
      <c r="AY3" s="433"/>
      <c r="AZ3" s="433"/>
      <c r="BA3" s="956">
        <v>0</v>
      </c>
    </row>
    <row r="4" spans="1:53" ht="22.5" hidden="1" customHeight="1">
      <c r="A4" s="1151"/>
      <c r="B4" s="1151"/>
      <c r="C4" s="1151"/>
      <c r="D4" s="1151"/>
      <c r="E4" s="2396"/>
      <c r="F4" s="2396"/>
      <c r="G4" s="2395">
        <v>1</v>
      </c>
      <c r="H4" s="1151"/>
      <c r="I4" s="1151"/>
      <c r="J4" s="1151"/>
      <c r="K4" s="1151"/>
      <c r="L4" s="1152"/>
      <c r="M4" s="1153"/>
      <c r="N4" s="1153"/>
      <c r="O4" s="1153"/>
      <c r="P4" s="1200"/>
      <c r="Q4" s="1199"/>
      <c r="R4" s="286"/>
      <c r="S4" s="1124" t="e">
        <f>INDEX(PT_DIFFERENTIATION_NUM_CS,MATCH(C4,PT_DIFFERENTIATION_CS_ID,0))</f>
        <v>#N/A</v>
      </c>
      <c r="T4" s="243" t="s">
        <v>483</v>
      </c>
      <c r="U4" s="234"/>
      <c r="V4" s="2390"/>
      <c r="W4" s="2390"/>
      <c r="X4" s="2390"/>
      <c r="Y4" s="2390"/>
      <c r="Z4" s="2390"/>
      <c r="AA4" s="2391"/>
      <c r="AB4" s="2389" t="e">
        <f>INDEX(PT_DIFFERENTIATION_CS,MATCH(C4,PT_DIFFERENTIATION_CS_ID,0))</f>
        <v>#N/A</v>
      </c>
      <c r="AC4" s="2390"/>
      <c r="AD4" s="2390"/>
      <c r="AE4" s="2390"/>
      <c r="AF4" s="2390"/>
      <c r="AG4" s="2390"/>
      <c r="AH4" s="2390"/>
      <c r="AI4" s="2390"/>
      <c r="AJ4" s="2390"/>
      <c r="AK4" s="2390"/>
      <c r="AL4" s="2390"/>
      <c r="AM4" s="2390"/>
      <c r="AN4" s="2390"/>
      <c r="AO4" s="2390"/>
      <c r="AP4" s="2390"/>
      <c r="AQ4" s="2390"/>
      <c r="AR4" s="2390"/>
      <c r="AS4" s="2390"/>
      <c r="AT4" s="2391"/>
      <c r="AU4" s="1046" t="s">
        <v>484</v>
      </c>
      <c r="AW4" s="433"/>
      <c r="AX4" s="433" t="str">
        <f t="shared" si="0"/>
        <v xml:space="preserve">Наименование системы теплоснабжения </v>
      </c>
      <c r="AY4" s="433"/>
      <c r="AZ4" s="433"/>
      <c r="BA4" s="956">
        <v>0</v>
      </c>
    </row>
    <row r="5" spans="1:53" ht="21" hidden="1" customHeight="1">
      <c r="A5" s="1151"/>
      <c r="B5" s="1151"/>
      <c r="C5" s="1151"/>
      <c r="D5" s="1151"/>
      <c r="E5" s="2396"/>
      <c r="F5" s="2396"/>
      <c r="G5" s="2396"/>
      <c r="H5" s="2395">
        <v>1</v>
      </c>
      <c r="I5" s="1151"/>
      <c r="J5" s="1151"/>
      <c r="K5" s="1151"/>
      <c r="L5" s="1152"/>
      <c r="M5" s="1153"/>
      <c r="N5" s="1153"/>
      <c r="O5" s="1153"/>
      <c r="P5" s="1200"/>
      <c r="Q5" s="1199"/>
      <c r="R5" s="286"/>
      <c r="S5" s="1124" t="e">
        <f>INDEX(PT_DIFFERENTIATION_NUM_IST_TE,MATCH(D5,PT_DIFFERENTIATION_IST_TE_ID,0))</f>
        <v>#N/A</v>
      </c>
      <c r="T5" s="244" t="s">
        <v>485</v>
      </c>
      <c r="U5" s="234"/>
      <c r="V5" s="2390"/>
      <c r="W5" s="2390"/>
      <c r="X5" s="2390"/>
      <c r="Y5" s="2390"/>
      <c r="Z5" s="2390"/>
      <c r="AA5" s="2391"/>
      <c r="AB5" s="2389" t="e">
        <f>INDEX(PT_DIFFERENTIATION_IST_TE,MATCH(D5,PT_DIFFERENTIATION_IST_TE_ID,0))</f>
        <v>#N/A</v>
      </c>
      <c r="AC5" s="2390"/>
      <c r="AD5" s="2390"/>
      <c r="AE5" s="2390"/>
      <c r="AF5" s="2390"/>
      <c r="AG5" s="2390"/>
      <c r="AH5" s="2390"/>
      <c r="AI5" s="2390"/>
      <c r="AJ5" s="2390"/>
      <c r="AK5" s="2390"/>
      <c r="AL5" s="2390"/>
      <c r="AM5" s="2390"/>
      <c r="AN5" s="2390"/>
      <c r="AO5" s="2390"/>
      <c r="AP5" s="2390"/>
      <c r="AQ5" s="2390"/>
      <c r="AR5" s="2390"/>
      <c r="AS5" s="2390"/>
      <c r="AT5" s="2391"/>
      <c r="AU5" s="1046" t="s">
        <v>486</v>
      </c>
      <c r="AW5" s="433"/>
      <c r="AX5" s="433" t="str">
        <f t="shared" si="0"/>
        <v xml:space="preserve">Источник тепловой энергии  </v>
      </c>
      <c r="AY5" s="433"/>
      <c r="AZ5" s="433"/>
      <c r="BA5" s="956">
        <v>0</v>
      </c>
    </row>
    <row r="6" spans="1:53" s="1430" customFormat="1" ht="0.75" hidden="1" customHeight="1">
      <c r="A6" s="1131"/>
      <c r="B6" s="1131"/>
      <c r="C6" s="1131"/>
      <c r="D6" s="1131"/>
      <c r="E6" s="2396"/>
      <c r="F6" s="2396"/>
      <c r="G6" s="2396"/>
      <c r="H6" s="2396"/>
      <c r="I6" s="2397" t="e">
        <f>S5&amp;".1"</f>
        <v>#N/A</v>
      </c>
      <c r="J6" s="1131"/>
      <c r="K6" s="1131"/>
      <c r="L6" s="1134" t="s">
        <v>487</v>
      </c>
      <c r="M6" s="443"/>
      <c r="N6" s="443"/>
      <c r="O6" s="443"/>
      <c r="P6" s="2399">
        <v>1</v>
      </c>
      <c r="Q6" s="1119"/>
      <c r="R6" s="289"/>
      <c r="S6" s="881"/>
      <c r="T6" s="1171"/>
      <c r="U6" s="1172"/>
      <c r="V6" s="2427"/>
      <c r="W6" s="2427"/>
      <c r="X6" s="2427"/>
      <c r="Y6" s="2427"/>
      <c r="Z6" s="2427"/>
      <c r="AA6" s="2428"/>
      <c r="AB6" s="2426"/>
      <c r="AC6" s="2427"/>
      <c r="AD6" s="2427"/>
      <c r="AE6" s="2427"/>
      <c r="AF6" s="2427"/>
      <c r="AG6" s="2427"/>
      <c r="AH6" s="2427"/>
      <c r="AI6" s="2427"/>
      <c r="AJ6" s="2427"/>
      <c r="AK6" s="2427"/>
      <c r="AL6" s="2427"/>
      <c r="AM6" s="2427"/>
      <c r="AN6" s="2427"/>
      <c r="AO6" s="2427"/>
      <c r="AP6" s="2427"/>
      <c r="AQ6" s="2427"/>
      <c r="AR6" s="2427"/>
      <c r="AS6" s="2427"/>
      <c r="AT6" s="2428"/>
      <c r="AU6" s="1173"/>
      <c r="AW6" s="433"/>
      <c r="AX6" s="433" t="str">
        <f t="shared" si="0"/>
        <v/>
      </c>
      <c r="AY6" s="433"/>
      <c r="AZ6" s="433"/>
      <c r="BA6" s="444">
        <v>0</v>
      </c>
    </row>
    <row r="7" spans="1:53" s="1430" customFormat="1" ht="0.75" hidden="1" customHeight="1">
      <c r="A7" s="1131"/>
      <c r="B7" s="1131"/>
      <c r="C7" s="1131"/>
      <c r="D7" s="1131"/>
      <c r="E7" s="2396"/>
      <c r="F7" s="2396"/>
      <c r="G7" s="2396"/>
      <c r="H7" s="2396"/>
      <c r="I7" s="2398"/>
      <c r="J7" s="2397" t="e">
        <f>S5&amp;".1"</f>
        <v>#N/A</v>
      </c>
      <c r="K7" s="1131"/>
      <c r="L7" s="1134"/>
      <c r="M7" s="443"/>
      <c r="N7" s="443"/>
      <c r="O7" s="443"/>
      <c r="P7" s="2399"/>
      <c r="Q7" s="2399">
        <v>1</v>
      </c>
      <c r="R7" s="290"/>
      <c r="S7" s="881"/>
      <c r="T7" s="1187"/>
      <c r="U7" s="1172"/>
      <c r="V7" s="2427"/>
      <c r="W7" s="2427"/>
      <c r="X7" s="2427"/>
      <c r="Y7" s="2427"/>
      <c r="Z7" s="2427"/>
      <c r="AA7" s="2428"/>
      <c r="AB7" s="2426"/>
      <c r="AC7" s="2427"/>
      <c r="AD7" s="2427"/>
      <c r="AE7" s="2427"/>
      <c r="AF7" s="2427"/>
      <c r="AG7" s="2427"/>
      <c r="AH7" s="2427"/>
      <c r="AI7" s="2427"/>
      <c r="AJ7" s="2427"/>
      <c r="AK7" s="2427"/>
      <c r="AL7" s="2427"/>
      <c r="AM7" s="2427"/>
      <c r="AN7" s="2427"/>
      <c r="AO7" s="2427"/>
      <c r="AP7" s="2427"/>
      <c r="AQ7" s="2427"/>
      <c r="AR7" s="2427"/>
      <c r="AS7" s="2427"/>
      <c r="AT7" s="2428"/>
      <c r="AU7" s="1173"/>
      <c r="AW7" s="433"/>
      <c r="AX7" s="433" t="str">
        <f t="shared" si="0"/>
        <v/>
      </c>
      <c r="AY7" s="433"/>
      <c r="AZ7" s="433"/>
      <c r="BA7" s="444">
        <v>0</v>
      </c>
    </row>
    <row r="8" spans="1:53" ht="21" hidden="1" customHeight="1">
      <c r="A8" s="1151"/>
      <c r="B8" s="1151"/>
      <c r="C8" s="1151"/>
      <c r="D8" s="1151"/>
      <c r="E8" s="2396"/>
      <c r="F8" s="2396"/>
      <c r="G8" s="2396"/>
      <c r="H8" s="2396"/>
      <c r="I8" s="2398"/>
      <c r="J8" s="2398"/>
      <c r="K8" s="2397" t="e">
        <f>S5&amp;".1"</f>
        <v>#N/A</v>
      </c>
      <c r="L8" s="1152"/>
      <c r="P8" s="2399"/>
      <c r="Q8" s="2399"/>
      <c r="R8" s="2455">
        <v>1</v>
      </c>
      <c r="S8" s="2452" t="e">
        <f>$K8</f>
        <v>#N/A</v>
      </c>
      <c r="T8" s="2449"/>
      <c r="U8" s="234"/>
      <c r="V8" s="658"/>
      <c r="W8" s="1045"/>
      <c r="X8" s="2400"/>
      <c r="Y8" s="2276" t="s">
        <v>52</v>
      </c>
      <c r="Z8" s="2400"/>
      <c r="AA8" s="2276" t="s">
        <v>52</v>
      </c>
      <c r="AB8" s="2276" t="s">
        <v>6</v>
      </c>
      <c r="AC8" s="2448"/>
      <c r="AD8" s="2353">
        <v>1</v>
      </c>
      <c r="AE8" s="2462"/>
      <c r="AF8" s="2276" t="s">
        <v>6</v>
      </c>
      <c r="AG8" s="2448"/>
      <c r="AH8" s="2353">
        <v>1</v>
      </c>
      <c r="AI8" s="2462"/>
      <c r="AJ8" s="2276" t="s">
        <v>6</v>
      </c>
      <c r="AK8" s="245"/>
      <c r="AL8" s="1125">
        <v>1</v>
      </c>
      <c r="AM8" s="1186"/>
      <c r="AN8" s="658"/>
      <c r="AO8" s="1045"/>
      <c r="AP8" s="1493"/>
      <c r="AQ8" s="1247" t="s">
        <v>52</v>
      </c>
      <c r="AR8" s="1493"/>
      <c r="AS8" s="1247" t="s">
        <v>52</v>
      </c>
      <c r="AT8" s="1136"/>
      <c r="AU8" s="2418" t="s">
        <v>548</v>
      </c>
      <c r="AV8" s="444" t="e">
        <f ca="1">STRCHECKDATE(V11:AT11)</f>
        <v>#NAME?</v>
      </c>
      <c r="AW8" s="433"/>
      <c r="AX8" s="433" t="str">
        <f t="shared" si="0"/>
        <v/>
      </c>
      <c r="AY8" s="433"/>
      <c r="AZ8" s="433"/>
      <c r="BA8" s="956">
        <v>0</v>
      </c>
    </row>
    <row r="9" spans="1:53" ht="11.25" hidden="1" customHeight="1">
      <c r="A9" s="1151"/>
      <c r="B9" s="1151"/>
      <c r="C9" s="1151"/>
      <c r="D9" s="1151"/>
      <c r="E9" s="2396"/>
      <c r="F9" s="2396"/>
      <c r="G9" s="2396"/>
      <c r="H9" s="2396"/>
      <c r="I9" s="2398"/>
      <c r="J9" s="2398"/>
      <c r="K9" s="2397"/>
      <c r="L9" s="1152"/>
      <c r="P9" s="2399"/>
      <c r="Q9" s="2399"/>
      <c r="R9" s="2455"/>
      <c r="S9" s="2453"/>
      <c r="T9" s="2450"/>
      <c r="U9" s="234"/>
      <c r="V9" s="1181"/>
      <c r="W9" s="1185"/>
      <c r="X9" s="2400"/>
      <c r="Y9" s="2276"/>
      <c r="Z9" s="2400"/>
      <c r="AA9" s="2276"/>
      <c r="AB9" s="2276"/>
      <c r="AC9" s="2448"/>
      <c r="AD9" s="2353"/>
      <c r="AE9" s="2462"/>
      <c r="AF9" s="2276"/>
      <c r="AG9" s="2448"/>
      <c r="AH9" s="2353"/>
      <c r="AI9" s="2462"/>
      <c r="AJ9" s="2276"/>
      <c r="AK9" s="250"/>
      <c r="AL9" s="349"/>
      <c r="AM9" s="348" t="s">
        <v>549</v>
      </c>
      <c r="AN9" s="1181"/>
      <c r="AO9" s="1284"/>
      <c r="AP9" s="1181"/>
      <c r="AQ9" s="1181"/>
      <c r="AR9" s="1181"/>
      <c r="AS9" s="1181"/>
      <c r="AT9" s="1178"/>
      <c r="AU9" s="2419"/>
      <c r="AW9" s="433"/>
      <c r="AX9" s="433"/>
      <c r="AY9" s="433"/>
      <c r="AZ9" s="433"/>
      <c r="BA9" s="956">
        <v>0</v>
      </c>
    </row>
    <row r="10" spans="1:53" ht="11.25" hidden="1" customHeight="1">
      <c r="A10" s="1151"/>
      <c r="B10" s="1151"/>
      <c r="C10" s="1151"/>
      <c r="D10" s="1151"/>
      <c r="E10" s="2396"/>
      <c r="F10" s="2396"/>
      <c r="G10" s="2396"/>
      <c r="H10" s="2396"/>
      <c r="I10" s="2398"/>
      <c r="J10" s="2398"/>
      <c r="K10" s="2397"/>
      <c r="L10" s="1152"/>
      <c r="P10" s="2399"/>
      <c r="Q10" s="2399"/>
      <c r="R10" s="2455"/>
      <c r="S10" s="2453"/>
      <c r="T10" s="2450"/>
      <c r="U10" s="234"/>
      <c r="V10" s="1181"/>
      <c r="W10" s="1185"/>
      <c r="X10" s="2400"/>
      <c r="Y10" s="2276"/>
      <c r="Z10" s="2400"/>
      <c r="AA10" s="2276"/>
      <c r="AB10" s="2276"/>
      <c r="AC10" s="2448"/>
      <c r="AD10" s="2353"/>
      <c r="AE10" s="2462"/>
      <c r="AF10" s="2276"/>
      <c r="AG10" s="228"/>
      <c r="AH10" s="348"/>
      <c r="AI10" s="348" t="s">
        <v>550</v>
      </c>
      <c r="AJ10" s="1181"/>
      <c r="AK10" s="1181"/>
      <c r="AL10" s="1181"/>
      <c r="AM10" s="1181"/>
      <c r="AN10" s="1181"/>
      <c r="AO10" s="1284"/>
      <c r="AP10" s="1181"/>
      <c r="AQ10" s="1181"/>
      <c r="AR10" s="1181"/>
      <c r="AS10" s="1181"/>
      <c r="AT10" s="1178"/>
      <c r="AU10" s="2419"/>
      <c r="AW10" s="433"/>
      <c r="AX10" s="433"/>
      <c r="AY10" s="433"/>
      <c r="AZ10" s="433"/>
      <c r="BA10" s="956">
        <v>0</v>
      </c>
    </row>
    <row r="11" spans="1:53" ht="11.25" hidden="1" customHeight="1">
      <c r="A11" s="1151"/>
      <c r="B11" s="1151"/>
      <c r="C11" s="1151"/>
      <c r="D11" s="1151"/>
      <c r="E11" s="2396"/>
      <c r="F11" s="2396"/>
      <c r="G11" s="2396"/>
      <c r="H11" s="2396"/>
      <c r="I11" s="2398"/>
      <c r="J11" s="2398"/>
      <c r="K11" s="2397"/>
      <c r="L11" s="1152"/>
      <c r="P11" s="2399"/>
      <c r="Q11" s="2399"/>
      <c r="R11" s="2455"/>
      <c r="S11" s="2454"/>
      <c r="T11" s="2451"/>
      <c r="U11" s="234"/>
      <c r="V11" s="1181"/>
      <c r="W11" s="1184" t="str">
        <f>X8&amp;"-"&amp;Z8</f>
        <v>-</v>
      </c>
      <c r="X11" s="2401"/>
      <c r="Y11" s="2276"/>
      <c r="Z11" s="2401"/>
      <c r="AA11" s="2276"/>
      <c r="AB11" s="2276"/>
      <c r="AC11" s="246"/>
      <c r="AD11" s="248"/>
      <c r="AE11" s="348" t="s">
        <v>551</v>
      </c>
      <c r="AF11" s="1181"/>
      <c r="AG11" s="1181"/>
      <c r="AH11" s="1181"/>
      <c r="AI11" s="1181"/>
      <c r="AJ11" s="1181"/>
      <c r="AK11" s="1181"/>
      <c r="AL11" s="1181"/>
      <c r="AM11" s="1181"/>
      <c r="AN11" s="1181"/>
      <c r="AO11" s="1182" t="str">
        <f>AP8&amp;"-"&amp;AR8</f>
        <v>-</v>
      </c>
      <c r="AP11" s="1181"/>
      <c r="AQ11" s="1181"/>
      <c r="AR11" s="1181"/>
      <c r="AS11" s="1181"/>
      <c r="AT11" s="1137"/>
      <c r="AU11" s="2419"/>
      <c r="AW11" s="433"/>
      <c r="AX11" s="433" t="str">
        <f t="shared" ref="AX11:AX17" si="1">IF(T11="","",T11)</f>
        <v/>
      </c>
      <c r="AY11" s="433"/>
      <c r="AZ11" s="433"/>
      <c r="BA11" s="956">
        <v>0</v>
      </c>
    </row>
    <row r="12" spans="1:53" ht="11.25" hidden="1" customHeight="1">
      <c r="A12" s="1151"/>
      <c r="B12" s="1151"/>
      <c r="C12" s="1151"/>
      <c r="D12" s="1151"/>
      <c r="E12" s="2396"/>
      <c r="F12" s="2396"/>
      <c r="G12" s="2396"/>
      <c r="H12" s="2396"/>
      <c r="I12" s="2398"/>
      <c r="J12" s="2397"/>
      <c r="K12" s="1151"/>
      <c r="L12" s="1152"/>
      <c r="P12" s="2399"/>
      <c r="Q12" s="2399"/>
      <c r="R12" s="289"/>
      <c r="S12" s="1066"/>
      <c r="T12" s="221" t="s">
        <v>552</v>
      </c>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258"/>
      <c r="AU12" s="2420"/>
      <c r="AW12" s="433"/>
      <c r="AX12" s="433" t="str">
        <f t="shared" si="1"/>
        <v>Добавить строку</v>
      </c>
      <c r="AY12" s="433"/>
      <c r="AZ12" s="433"/>
      <c r="BA12" s="956">
        <v>0</v>
      </c>
    </row>
    <row r="13" spans="1:53" s="1430" customFormat="1" ht="0.75" hidden="1" customHeight="1">
      <c r="A13" s="1131"/>
      <c r="B13" s="1131"/>
      <c r="C13" s="1131"/>
      <c r="D13" s="1131"/>
      <c r="E13" s="2396"/>
      <c r="F13" s="2396"/>
      <c r="G13" s="2396"/>
      <c r="H13" s="2396"/>
      <c r="I13" s="2397"/>
      <c r="J13" s="1131"/>
      <c r="K13" s="1131"/>
      <c r="L13" s="1134"/>
      <c r="M13" s="443"/>
      <c r="N13" s="443"/>
      <c r="O13" s="443"/>
      <c r="P13" s="2399"/>
      <c r="Q13" s="1119"/>
      <c r="R13" s="289"/>
      <c r="S13" s="1174"/>
      <c r="T13" s="1175"/>
      <c r="U13" s="1176"/>
      <c r="V13" s="1176"/>
      <c r="W13" s="1176"/>
      <c r="X13" s="1176"/>
      <c r="Y13" s="1176"/>
      <c r="Z13" s="1176"/>
      <c r="AA13" s="1176"/>
      <c r="AB13" s="1176"/>
      <c r="AC13" s="1176"/>
      <c r="AD13" s="1176"/>
      <c r="AE13" s="1176"/>
      <c r="AF13" s="1176"/>
      <c r="AG13" s="1176"/>
      <c r="AH13" s="1176"/>
      <c r="AI13" s="1176"/>
      <c r="AJ13" s="1176"/>
      <c r="AK13" s="1176"/>
      <c r="AL13" s="1176"/>
      <c r="AM13" s="1176"/>
      <c r="AN13" s="1176"/>
      <c r="AO13" s="1176"/>
      <c r="AP13" s="1176"/>
      <c r="AQ13" s="1176"/>
      <c r="AR13" s="1176"/>
      <c r="AS13" s="1176"/>
      <c r="AT13" s="1176"/>
      <c r="AU13" s="1177"/>
      <c r="AW13" s="433"/>
      <c r="AX13" s="433" t="str">
        <f t="shared" si="1"/>
        <v/>
      </c>
      <c r="AY13" s="433"/>
      <c r="AZ13" s="433"/>
      <c r="BA13" s="444">
        <v>0</v>
      </c>
    </row>
    <row r="14" spans="1:53" s="1430" customFormat="1" ht="0.75" hidden="1" customHeight="1">
      <c r="A14" s="1131"/>
      <c r="B14" s="1131"/>
      <c r="C14" s="1131"/>
      <c r="D14" s="1131"/>
      <c r="E14" s="2396"/>
      <c r="F14" s="2396"/>
      <c r="G14" s="2396"/>
      <c r="H14" s="2395"/>
      <c r="I14" s="1131"/>
      <c r="J14" s="1131"/>
      <c r="K14" s="1131"/>
      <c r="L14" s="1134"/>
      <c r="M14" s="1103"/>
      <c r="N14" s="1103"/>
      <c r="O14" s="451"/>
      <c r="P14" s="313"/>
      <c r="Q14" s="1132"/>
      <c r="R14" s="1189"/>
      <c r="S14" s="1174"/>
      <c r="T14" s="1175"/>
      <c r="U14" s="1176"/>
      <c r="V14" s="1176"/>
      <c r="W14" s="1176"/>
      <c r="X14" s="1176"/>
      <c r="Y14" s="1176"/>
      <c r="Z14" s="1176"/>
      <c r="AA14" s="1176"/>
      <c r="AB14" s="1176"/>
      <c r="AC14" s="1176"/>
      <c r="AD14" s="1176"/>
      <c r="AE14" s="1176"/>
      <c r="AF14" s="1176"/>
      <c r="AG14" s="1176"/>
      <c r="AH14" s="1176"/>
      <c r="AI14" s="1176"/>
      <c r="AJ14" s="1176"/>
      <c r="AK14" s="1176"/>
      <c r="AL14" s="1176"/>
      <c r="AM14" s="1176"/>
      <c r="AN14" s="1176"/>
      <c r="AO14" s="1176"/>
      <c r="AP14" s="1176"/>
      <c r="AQ14" s="1176"/>
      <c r="AR14" s="1176"/>
      <c r="AS14" s="1176"/>
      <c r="AT14" s="1176"/>
      <c r="AU14" s="1177"/>
      <c r="AW14" s="433"/>
      <c r="AX14" s="433" t="str">
        <f t="shared" si="1"/>
        <v/>
      </c>
      <c r="AY14" s="433"/>
      <c r="AZ14" s="433"/>
      <c r="BA14" s="444">
        <v>0</v>
      </c>
    </row>
    <row r="15" spans="1:53" s="1430" customFormat="1" ht="0.75" hidden="1" customHeight="1">
      <c r="A15" s="1131"/>
      <c r="B15" s="1131"/>
      <c r="C15" s="1131"/>
      <c r="D15" s="1102"/>
      <c r="E15" s="2396"/>
      <c r="F15" s="2396"/>
      <c r="G15" s="2395"/>
      <c r="H15" s="1102"/>
      <c r="I15" s="1102"/>
      <c r="J15" s="1102"/>
      <c r="K15" s="1102"/>
      <c r="L15" s="1127"/>
      <c r="M15" s="1103"/>
      <c r="N15" s="1103"/>
      <c r="P15" s="1104"/>
      <c r="Q15" s="1105"/>
      <c r="R15" s="1104"/>
      <c r="S15" s="1110"/>
      <c r="T15" s="1113" t="s">
        <v>498</v>
      </c>
      <c r="U15" s="1112"/>
      <c r="V15" s="1112"/>
      <c r="W15" s="1112"/>
      <c r="X15" s="1112"/>
      <c r="Y15" s="1112"/>
      <c r="Z15" s="1112"/>
      <c r="AA15" s="1112"/>
      <c r="AB15" s="1112"/>
      <c r="AC15" s="1112"/>
      <c r="AD15" s="1112"/>
      <c r="AE15" s="1112"/>
      <c r="AF15" s="1112"/>
      <c r="AG15" s="1112"/>
      <c r="AH15" s="1112"/>
      <c r="AI15" s="1112"/>
      <c r="AJ15" s="1112"/>
      <c r="AK15" s="1112"/>
      <c r="AL15" s="1112"/>
      <c r="AM15" s="1112"/>
      <c r="AN15" s="1112"/>
      <c r="AO15" s="1112"/>
      <c r="AP15" s="1112"/>
      <c r="AQ15" s="1112"/>
      <c r="AR15" s="1112"/>
      <c r="AS15" s="1112"/>
      <c r="AT15" s="1112"/>
      <c r="AU15" s="1112"/>
      <c r="AW15" s="688"/>
      <c r="AX15" s="688" t="str">
        <f t="shared" si="1"/>
        <v>Добавить источник для дифференциации</v>
      </c>
      <c r="AY15" s="688"/>
      <c r="AZ15" s="688"/>
      <c r="BA15" s="451">
        <v>0</v>
      </c>
    </row>
    <row r="16" spans="1:53" s="1430" customFormat="1" ht="0.75" hidden="1" customHeight="1">
      <c r="A16" s="1131"/>
      <c r="B16" s="1131"/>
      <c r="C16" s="1102"/>
      <c r="D16" s="1102"/>
      <c r="E16" s="2396"/>
      <c r="F16" s="2395"/>
      <c r="G16" s="1102"/>
      <c r="H16" s="1102"/>
      <c r="I16" s="1102"/>
      <c r="J16" s="1102"/>
      <c r="K16" s="1102"/>
      <c r="L16" s="1127"/>
      <c r="M16" s="1109"/>
      <c r="N16" s="1109"/>
      <c r="P16" s="1104"/>
      <c r="Q16" s="1105"/>
      <c r="R16" s="1104"/>
      <c r="S16" s="1110"/>
      <c r="T16" s="1113" t="s">
        <v>499</v>
      </c>
      <c r="U16" s="1112"/>
      <c r="V16" s="1112"/>
      <c r="W16" s="1112"/>
      <c r="X16" s="1112"/>
      <c r="Y16" s="1112"/>
      <c r="Z16" s="1112"/>
      <c r="AA16" s="1112"/>
      <c r="AB16" s="1112"/>
      <c r="AC16" s="1112"/>
      <c r="AD16" s="1112"/>
      <c r="AE16" s="1112"/>
      <c r="AF16" s="1112"/>
      <c r="AG16" s="1112"/>
      <c r="AH16" s="1112"/>
      <c r="AI16" s="1112"/>
      <c r="AJ16" s="1112"/>
      <c r="AK16" s="1112"/>
      <c r="AL16" s="1112"/>
      <c r="AM16" s="1112"/>
      <c r="AN16" s="1112"/>
      <c r="AO16" s="1112"/>
      <c r="AP16" s="1112"/>
      <c r="AQ16" s="1112"/>
      <c r="AR16" s="1112"/>
      <c r="AS16" s="1112"/>
      <c r="AT16" s="1112"/>
      <c r="AU16" s="1112"/>
      <c r="AW16" s="688"/>
      <c r="AX16" s="688" t="str">
        <f t="shared" si="1"/>
        <v>Добавить централизованную систему для дифференциации</v>
      </c>
      <c r="AY16" s="688"/>
      <c r="AZ16" s="688"/>
      <c r="BA16" s="451">
        <v>0</v>
      </c>
    </row>
    <row r="17" spans="1:53" s="1430" customFormat="1" ht="0.75" hidden="1" customHeight="1">
      <c r="A17" s="1131"/>
      <c r="B17" s="1131"/>
      <c r="C17" s="1131"/>
      <c r="D17" s="1131"/>
      <c r="E17" s="2395"/>
      <c r="F17" s="1131"/>
      <c r="G17" s="1131"/>
      <c r="H17" s="1131"/>
      <c r="I17" s="1131"/>
      <c r="J17" s="1131"/>
      <c r="K17" s="1131"/>
      <c r="L17" s="1134"/>
      <c r="M17" s="1109"/>
      <c r="N17" s="1109"/>
      <c r="O17" s="451"/>
      <c r="P17" s="313"/>
      <c r="Q17" s="1132"/>
      <c r="R17" s="313"/>
      <c r="S17" s="1110"/>
      <c r="T17" s="1113" t="s">
        <v>500</v>
      </c>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112"/>
      <c r="AS17" s="1112"/>
      <c r="AT17" s="1112"/>
      <c r="AU17" s="1112"/>
      <c r="AW17" s="433"/>
      <c r="AX17" s="433" t="str">
        <f t="shared" si="1"/>
        <v>Добавить территорию для дифференциации</v>
      </c>
      <c r="AY17" s="433"/>
      <c r="AZ17" s="433"/>
      <c r="BA17" s="444">
        <v>0</v>
      </c>
    </row>
    <row r="18" spans="1:53" ht="14.25" hidden="1" customHeight="1">
      <c r="AA18" s="261"/>
      <c r="AS18" s="261"/>
      <c r="BA18" s="956">
        <v>0</v>
      </c>
    </row>
    <row r="19" spans="1:53" ht="14.25" hidden="1" customHeight="1">
      <c r="AB19" s="1112" t="s">
        <v>6</v>
      </c>
      <c r="AC19" s="1289"/>
      <c r="AD19" s="480">
        <v>1</v>
      </c>
      <c r="AE19" s="1290"/>
      <c r="AF19" s="1112" t="s">
        <v>6</v>
      </c>
      <c r="AG19" s="1289"/>
      <c r="AH19" s="480">
        <v>1</v>
      </c>
      <c r="AI19" s="1290"/>
      <c r="AJ19" s="1112" t="s">
        <v>6</v>
      </c>
      <c r="AK19" s="1291"/>
      <c r="AL19" s="480">
        <v>1</v>
      </c>
      <c r="AM19" s="1294"/>
      <c r="AN19" s="1191"/>
      <c r="AO19" s="1192"/>
      <c r="AP19" s="1495"/>
      <c r="AQ19" s="1248" t="s">
        <v>52</v>
      </c>
      <c r="AR19" s="1495"/>
      <c r="AS19" s="1248" t="s">
        <v>52</v>
      </c>
      <c r="BA19" s="956">
        <v>0</v>
      </c>
    </row>
    <row r="20" spans="1:53" ht="14.25" hidden="1" customHeight="1">
      <c r="AV20" s="429"/>
      <c r="AW20" s="429"/>
      <c r="AX20" s="429"/>
      <c r="AY20" s="429"/>
      <c r="AZ20" s="429"/>
      <c r="BA20" s="956">
        <v>0</v>
      </c>
    </row>
    <row r="21" spans="1:53" ht="14.25" hidden="1" customHeight="1">
      <c r="O21" s="1155" t="s">
        <v>501</v>
      </c>
      <c r="X21" s="1133"/>
      <c r="Z21" s="1133"/>
      <c r="AA21" s="261"/>
      <c r="AP21" s="1133"/>
      <c r="AR21" s="1133"/>
      <c r="AS21" s="261"/>
      <c r="AV21" s="429"/>
      <c r="AW21" s="429"/>
      <c r="AX21" s="429"/>
      <c r="AY21" s="429"/>
      <c r="AZ21" s="429"/>
      <c r="BA21" s="956">
        <v>0</v>
      </c>
    </row>
    <row r="22" spans="1:53" ht="14.25" hidden="1" customHeight="1">
      <c r="AA22" s="261"/>
      <c r="AS22" s="261"/>
      <c r="AV22" s="429"/>
      <c r="AW22" s="429"/>
      <c r="AX22" s="429"/>
      <c r="AY22" s="429"/>
      <c r="AZ22" s="429"/>
      <c r="BA22" s="956">
        <v>0</v>
      </c>
    </row>
    <row r="23" spans="1:53" s="1297" customFormat="1" ht="14.25" hidden="1" customHeight="1">
      <c r="M23" s="1296"/>
      <c r="N23" s="1296"/>
      <c r="O23" s="1297" t="s">
        <v>502</v>
      </c>
      <c r="P23" s="1296"/>
      <c r="Q23" s="1298"/>
      <c r="R23" s="1298"/>
      <c r="Y23" s="1295" t="s">
        <v>504</v>
      </c>
      <c r="AA23" s="1295" t="s">
        <v>505</v>
      </c>
      <c r="AB23" s="1295" t="s">
        <v>553</v>
      </c>
      <c r="AE23" s="1295" t="s">
        <v>554</v>
      </c>
      <c r="AF23" s="1295" t="s">
        <v>553</v>
      </c>
      <c r="AI23" s="1295" t="s">
        <v>555</v>
      </c>
      <c r="AJ23" s="1295" t="s">
        <v>553</v>
      </c>
      <c r="AM23" s="1295" t="s">
        <v>556</v>
      </c>
      <c r="AQ23" s="1295" t="s">
        <v>504</v>
      </c>
      <c r="AS23" s="1295" t="s">
        <v>505</v>
      </c>
      <c r="AV23" s="1299"/>
      <c r="AW23" s="1299"/>
      <c r="AX23" s="1299"/>
      <c r="AY23" s="1299"/>
      <c r="AZ23" s="1299"/>
      <c r="BA23" s="1295">
        <v>0</v>
      </c>
    </row>
    <row r="24" spans="1:53" ht="14.25" hidden="1" customHeight="1">
      <c r="O24" s="1152"/>
      <c r="AV24" s="429"/>
      <c r="AW24" s="429"/>
      <c r="AX24" s="429"/>
      <c r="AY24" s="429"/>
      <c r="AZ24" s="429"/>
      <c r="BA24" s="956">
        <v>0</v>
      </c>
    </row>
    <row r="25" spans="1:53" ht="14.25" hidden="1" customHeight="1">
      <c r="O25" s="1152"/>
      <c r="AV25" s="429"/>
      <c r="AW25" s="429"/>
      <c r="AX25" s="429"/>
      <c r="AY25" s="429"/>
      <c r="AZ25" s="429"/>
      <c r="BA25" s="956">
        <v>0</v>
      </c>
    </row>
    <row r="26" spans="1:53" ht="14.65" customHeight="1">
      <c r="Q26" s="225"/>
      <c r="R26" s="309"/>
      <c r="S26" s="1063"/>
      <c r="T26" s="296"/>
      <c r="U26" s="296"/>
      <c r="V26" s="442"/>
      <c r="W26" s="442"/>
      <c r="X26" s="442"/>
      <c r="Y26" s="442"/>
      <c r="Z26" s="442"/>
      <c r="AA26" s="442"/>
      <c r="AB26" s="442"/>
      <c r="AC26" s="442"/>
      <c r="AD26" s="442"/>
      <c r="AE26" s="442"/>
      <c r="AF26" s="442"/>
      <c r="AG26" s="442"/>
      <c r="AH26" s="442"/>
      <c r="AI26" s="442"/>
      <c r="AJ26" s="442"/>
      <c r="AK26" s="442"/>
      <c r="AL26" s="442"/>
      <c r="AM26" s="442"/>
      <c r="AN26" s="442"/>
      <c r="AO26" s="442"/>
      <c r="AP26" s="442"/>
      <c r="AQ26" s="442"/>
      <c r="AR26" s="442"/>
      <c r="AS26" s="442"/>
      <c r="BA26" s="956">
        <v>14</v>
      </c>
    </row>
    <row r="27" spans="1:53" ht="27.4" customHeight="1">
      <c r="Q27" s="225"/>
      <c r="R27" s="309"/>
      <c r="S27" s="237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76"/>
      <c r="U27" s="2376"/>
      <c r="V27" s="2376"/>
      <c r="W27" s="2376"/>
      <c r="X27" s="2376"/>
      <c r="Y27" s="2376"/>
      <c r="Z27" s="2376"/>
      <c r="AA27" s="2376"/>
      <c r="AB27" s="2376"/>
      <c r="AC27" s="2376"/>
      <c r="AD27" s="2376"/>
      <c r="AE27" s="2376"/>
      <c r="AF27" s="2376"/>
      <c r="AG27" s="2376"/>
      <c r="AH27" s="2376"/>
      <c r="AI27" s="2376"/>
      <c r="AJ27" s="2376"/>
      <c r="AK27" s="2376"/>
      <c r="AL27" s="2376"/>
      <c r="AM27" s="2376"/>
      <c r="AN27" s="2376"/>
      <c r="AO27" s="2376"/>
      <c r="AP27" s="2376"/>
      <c r="AQ27" s="2376"/>
      <c r="AR27" s="2376"/>
      <c r="AS27" s="1031"/>
      <c r="BA27" s="956">
        <v>26</v>
      </c>
    </row>
    <row r="28" spans="1:53" ht="14.65" customHeight="1">
      <c r="Q28" s="225"/>
      <c r="R28" s="309"/>
      <c r="S28" s="2349" t="str">
        <f>IF(org=0,"Не определено",org)</f>
        <v>ООО "Смоленскрегионтеплоэнерго"</v>
      </c>
      <c r="T28" s="2349"/>
      <c r="U28" s="2349"/>
      <c r="V28" s="2349"/>
      <c r="W28" s="2349"/>
      <c r="X28" s="2349"/>
      <c r="Y28" s="2349"/>
      <c r="Z28" s="2349"/>
      <c r="AA28" s="2349"/>
      <c r="AB28" s="2349"/>
      <c r="AC28" s="2349"/>
      <c r="AD28" s="2349"/>
      <c r="AE28" s="2349"/>
      <c r="AF28" s="2349"/>
      <c r="AG28" s="2349"/>
      <c r="AH28" s="2349"/>
      <c r="AI28" s="2349"/>
      <c r="AJ28" s="2349"/>
      <c r="AK28" s="2349"/>
      <c r="AL28" s="2349"/>
      <c r="AM28" s="2349"/>
      <c r="AN28" s="2349"/>
      <c r="AO28" s="2349"/>
      <c r="AP28" s="2349"/>
      <c r="AQ28" s="2349"/>
      <c r="AR28" s="2349"/>
      <c r="AS28" s="1031"/>
      <c r="BA28" s="956">
        <v>14</v>
      </c>
    </row>
    <row r="29" spans="1:53" ht="14.25" hidden="1" customHeight="1">
      <c r="Q29" s="225"/>
      <c r="R29" s="309"/>
      <c r="S29" s="1063"/>
      <c r="T29" s="296"/>
      <c r="U29" s="296"/>
      <c r="V29" s="256"/>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442"/>
      <c r="BA29" s="956">
        <v>0</v>
      </c>
    </row>
    <row r="30" spans="1:53" s="1609" customFormat="1" ht="25.5" hidden="1" customHeight="1">
      <c r="A30" s="1156"/>
      <c r="B30" s="1156"/>
      <c r="C30" s="1156"/>
      <c r="D30" s="1156"/>
      <c r="E30" s="1156"/>
      <c r="F30" s="1156"/>
      <c r="G30" s="1156"/>
      <c r="H30" s="1156"/>
      <c r="I30" s="1156"/>
      <c r="J30" s="1156"/>
      <c r="K30" s="1156"/>
      <c r="L30" s="1157"/>
      <c r="M30" s="1156"/>
      <c r="N30" s="1156"/>
      <c r="O30" s="1156"/>
      <c r="P30" s="1156"/>
      <c r="Q30" s="1156"/>
      <c r="S30" s="2386" t="s">
        <v>28</v>
      </c>
      <c r="T30" s="2386"/>
      <c r="U30" s="1160"/>
      <c r="V30" s="2388" t="str">
        <f>IF(TITLE_NAME_OR_PR_CHANGE="",IF(TITLE_NAME_OR_PR="","",TITLE_NAME_OR_PR),TITLE_NAME_OR_PR_CHANGE)</f>
        <v/>
      </c>
      <c r="W30" s="2388"/>
      <c r="X30" s="2388"/>
      <c r="Y30" s="2388"/>
      <c r="Z30" s="2388"/>
      <c r="AA30" s="260"/>
      <c r="AB30" s="2388" t="str">
        <f>IF(TITLE_NAME_OR_PR_CHANGE="",IF(TITLE_NAME_OR_PR="","",TITLE_NAME_OR_PR),TITLE_NAME_OR_PR_CHANGE)</f>
        <v/>
      </c>
      <c r="AC30" s="2388"/>
      <c r="AD30" s="2388"/>
      <c r="AE30" s="2388"/>
      <c r="AF30" s="2388"/>
      <c r="AG30" s="2388"/>
      <c r="AH30" s="2388"/>
      <c r="AI30" s="2388"/>
      <c r="AJ30" s="2388"/>
      <c r="AK30" s="2388"/>
      <c r="AL30" s="2388"/>
      <c r="AM30" s="2388"/>
      <c r="AN30" s="2388"/>
      <c r="AO30" s="2388"/>
      <c r="AP30" s="2388"/>
      <c r="AQ30" s="2388"/>
      <c r="AR30" s="2388"/>
      <c r="AS30" s="260"/>
      <c r="AT30" s="260"/>
      <c r="AU30" s="214"/>
      <c r="AV30" s="301"/>
      <c r="AW30" s="301"/>
      <c r="AX30" s="301"/>
      <c r="AY30" s="301"/>
      <c r="AZ30" s="301"/>
      <c r="BA30" s="351">
        <v>0</v>
      </c>
    </row>
    <row r="31" spans="1:53" s="1609" customFormat="1" ht="18.75" hidden="1" customHeight="1">
      <c r="A31" s="1156"/>
      <c r="B31" s="1156"/>
      <c r="C31" s="1156"/>
      <c r="D31" s="1156"/>
      <c r="E31" s="1156"/>
      <c r="F31" s="1156"/>
      <c r="G31" s="1156"/>
      <c r="H31" s="1156"/>
      <c r="I31" s="1156"/>
      <c r="J31" s="1156"/>
      <c r="K31" s="1156"/>
      <c r="L31" s="1157"/>
      <c r="M31" s="1156"/>
      <c r="N31" s="1156"/>
      <c r="O31" s="1156"/>
      <c r="P31" s="1156"/>
      <c r="Q31" s="1156"/>
      <c r="S31" s="2386" t="s">
        <v>507</v>
      </c>
      <c r="T31" s="2386"/>
      <c r="U31" s="1160"/>
      <c r="V31" s="2387" t="str">
        <f>IF(TITLE_DATE_PR_CHANGE="",IF(TITLE_DATE_PR="","",TITLE_DATE_PR),TITLE_DATE_PR_CHANGE)</f>
        <v/>
      </c>
      <c r="W31" s="2387"/>
      <c r="X31" s="2387"/>
      <c r="Y31" s="2387"/>
      <c r="Z31" s="2387"/>
      <c r="AA31" s="260"/>
      <c r="AB31" s="2387" t="str">
        <f>IF(TITLE_DATE_PR_CHANGE="",IF(TITLE_DATE_PR="","",TITLE_DATE_PR),TITLE_DATE_PR_CHANGE)</f>
        <v/>
      </c>
      <c r="AC31" s="2387"/>
      <c r="AD31" s="2387"/>
      <c r="AE31" s="2387"/>
      <c r="AF31" s="2387"/>
      <c r="AG31" s="2387"/>
      <c r="AH31" s="2387"/>
      <c r="AI31" s="2387"/>
      <c r="AJ31" s="2387"/>
      <c r="AK31" s="2387"/>
      <c r="AL31" s="2387"/>
      <c r="AM31" s="2387"/>
      <c r="AN31" s="2387"/>
      <c r="AO31" s="2387"/>
      <c r="AP31" s="2387"/>
      <c r="AQ31" s="2387"/>
      <c r="AR31" s="2387"/>
      <c r="AS31" s="260"/>
      <c r="AT31" s="260"/>
      <c r="AU31" s="214"/>
      <c r="AV31" s="301"/>
      <c r="AW31" s="301"/>
      <c r="AX31" s="301"/>
      <c r="AY31" s="301"/>
      <c r="AZ31" s="301"/>
      <c r="BA31" s="351">
        <v>0</v>
      </c>
    </row>
    <row r="32" spans="1:53" s="1609" customFormat="1" ht="18.75" hidden="1" customHeight="1">
      <c r="A32" s="1156"/>
      <c r="B32" s="1156"/>
      <c r="C32" s="1156"/>
      <c r="D32" s="1156"/>
      <c r="E32" s="1156"/>
      <c r="F32" s="1156"/>
      <c r="G32" s="1156"/>
      <c r="H32" s="1156"/>
      <c r="I32" s="1156"/>
      <c r="J32" s="1156"/>
      <c r="K32" s="1156"/>
      <c r="L32" s="1157"/>
      <c r="M32" s="1156"/>
      <c r="N32" s="1156"/>
      <c r="O32" s="1156"/>
      <c r="P32" s="1156"/>
      <c r="Q32" s="1156"/>
      <c r="S32" s="2386" t="s">
        <v>508</v>
      </c>
      <c r="T32" s="2386"/>
      <c r="U32" s="1160"/>
      <c r="V32" s="2388" t="str">
        <f>IF(TITLE_NUMBER_PR_CHANGE="",IF(TITLE_NUMBER_PR="","",TITLE_NUMBER_PR),TITLE_NUMBER_PR_CHANGE)</f>
        <v/>
      </c>
      <c r="W32" s="2388"/>
      <c r="X32" s="2388"/>
      <c r="Y32" s="2388"/>
      <c r="Z32" s="2388"/>
      <c r="AA32" s="260"/>
      <c r="AB32" s="2388" t="str">
        <f>IF(TITLE_NUMBER_PR_CHANGE="",IF(TITLE_NUMBER_PR="","",TITLE_NUMBER_PR),TITLE_NUMBER_PR_CHANGE)</f>
        <v/>
      </c>
      <c r="AC32" s="2388"/>
      <c r="AD32" s="2388"/>
      <c r="AE32" s="2388"/>
      <c r="AF32" s="2388"/>
      <c r="AG32" s="2388"/>
      <c r="AH32" s="2388"/>
      <c r="AI32" s="2388"/>
      <c r="AJ32" s="2388"/>
      <c r="AK32" s="2388"/>
      <c r="AL32" s="2388"/>
      <c r="AM32" s="2388"/>
      <c r="AN32" s="2388"/>
      <c r="AO32" s="2388"/>
      <c r="AP32" s="2388"/>
      <c r="AQ32" s="2388"/>
      <c r="AR32" s="2388"/>
      <c r="AS32" s="260"/>
      <c r="AT32" s="260"/>
      <c r="AU32" s="214"/>
      <c r="AV32" s="301"/>
      <c r="AW32" s="301"/>
      <c r="AX32" s="301"/>
      <c r="AY32" s="301"/>
      <c r="AZ32" s="301"/>
      <c r="BA32" s="351">
        <v>0</v>
      </c>
    </row>
    <row r="33" spans="1:53" s="1609" customFormat="1" ht="18.75" hidden="1" customHeight="1">
      <c r="A33" s="1156"/>
      <c r="B33" s="1156"/>
      <c r="C33" s="1156"/>
      <c r="D33" s="1156"/>
      <c r="E33" s="1156"/>
      <c r="F33" s="1156"/>
      <c r="G33" s="1156"/>
      <c r="H33" s="1156"/>
      <c r="I33" s="1156"/>
      <c r="J33" s="1156"/>
      <c r="K33" s="1156"/>
      <c r="L33" s="1157"/>
      <c r="M33" s="1156"/>
      <c r="N33" s="1156"/>
      <c r="O33" s="1156"/>
      <c r="P33" s="1156"/>
      <c r="Q33" s="1156"/>
      <c r="S33" s="2386" t="s">
        <v>29</v>
      </c>
      <c r="T33" s="2386"/>
      <c r="U33" s="1160"/>
      <c r="V33" s="2388" t="str">
        <f>IF(TITLE_IST_PUB_CHANGE="",IF(TITLE_IST_PUB="","",TITLE_IST_PUB),TITLE_IST_PUB_CHANGE)</f>
        <v/>
      </c>
      <c r="W33" s="2388"/>
      <c r="X33" s="2388"/>
      <c r="Y33" s="2388"/>
      <c r="Z33" s="2388"/>
      <c r="AA33" s="260"/>
      <c r="AB33" s="2388" t="str">
        <f>IF(TITLE_IST_PUB_CHANGE="",IF(TITLE_IST_PUB="","",TITLE_IST_PUB),TITLE_IST_PUB_CHANGE)</f>
        <v/>
      </c>
      <c r="AC33" s="2388"/>
      <c r="AD33" s="2388"/>
      <c r="AE33" s="2388"/>
      <c r="AF33" s="2388"/>
      <c r="AG33" s="2388"/>
      <c r="AH33" s="2388"/>
      <c r="AI33" s="2388"/>
      <c r="AJ33" s="2388"/>
      <c r="AK33" s="2388"/>
      <c r="AL33" s="2388"/>
      <c r="AM33" s="2388"/>
      <c r="AN33" s="2388"/>
      <c r="AO33" s="2388"/>
      <c r="AP33" s="2388"/>
      <c r="AQ33" s="2388"/>
      <c r="AR33" s="2388"/>
      <c r="AS33" s="260"/>
      <c r="AT33" s="260"/>
      <c r="AU33" s="214"/>
      <c r="AV33" s="301"/>
      <c r="AW33" s="301"/>
      <c r="AX33" s="301"/>
      <c r="AY33" s="301"/>
      <c r="AZ33" s="301"/>
      <c r="BA33" s="351">
        <v>0</v>
      </c>
    </row>
    <row r="34" spans="1:53" ht="14.25" hidden="1" customHeight="1">
      <c r="Q34" s="225"/>
      <c r="R34" s="309"/>
      <c r="S34" s="1063"/>
      <c r="T34" s="296"/>
      <c r="U34" s="296"/>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442"/>
      <c r="BA34" s="956">
        <v>0</v>
      </c>
    </row>
    <row r="35" spans="1:53" s="1609" customFormat="1" ht="18.75" hidden="1" customHeight="1">
      <c r="A35" s="1156"/>
      <c r="B35" s="1156"/>
      <c r="C35" s="1156"/>
      <c r="D35" s="1156"/>
      <c r="E35" s="1156"/>
      <c r="F35" s="1156"/>
      <c r="G35" s="1156"/>
      <c r="H35" s="1156"/>
      <c r="I35" s="1156"/>
      <c r="J35" s="1156"/>
      <c r="K35" s="1156"/>
      <c r="L35" s="1157"/>
      <c r="M35" s="1156"/>
      <c r="N35" s="1156"/>
      <c r="O35" s="1156"/>
      <c r="P35" s="1156"/>
      <c r="Q35" s="1156"/>
      <c r="S35" s="2386" t="s">
        <v>507</v>
      </c>
      <c r="T35" s="2386"/>
      <c r="U35" s="1160"/>
      <c r="V35" s="2387" t="str">
        <f>IF(TITLE_DATE_PR_CHANGE="",IF(TITLE_DATE_PR="","",TITLE_DATE_PR),TITLE_DATE_PR_CHANGE)</f>
        <v/>
      </c>
      <c r="W35" s="2387"/>
      <c r="X35" s="2387"/>
      <c r="Y35" s="2387"/>
      <c r="Z35" s="2387"/>
      <c r="AA35" s="260"/>
      <c r="AB35" s="2387" t="str">
        <f>IF(TITLE_DATE_PR_CHANGE="",IF(TITLE_DATE_PR="","",TITLE_DATE_PR),TITLE_DATE_PR_CHANGE)</f>
        <v/>
      </c>
      <c r="AC35" s="2387"/>
      <c r="AD35" s="2387"/>
      <c r="AE35" s="2387"/>
      <c r="AF35" s="2387"/>
      <c r="AG35" s="2387"/>
      <c r="AH35" s="2387"/>
      <c r="AI35" s="2387"/>
      <c r="AJ35" s="2387"/>
      <c r="AK35" s="2387"/>
      <c r="AL35" s="2387"/>
      <c r="AM35" s="2387"/>
      <c r="AN35" s="2387"/>
      <c r="AO35" s="2387"/>
      <c r="AP35" s="2387"/>
      <c r="AQ35" s="2387"/>
      <c r="AR35" s="2387"/>
      <c r="AS35" s="260"/>
      <c r="AT35" s="260"/>
      <c r="AU35" s="214"/>
      <c r="AV35" s="301"/>
      <c r="AW35" s="301"/>
      <c r="AX35" s="301"/>
      <c r="AY35" s="301"/>
      <c r="AZ35" s="301"/>
      <c r="BA35" s="351">
        <v>0</v>
      </c>
    </row>
    <row r="36" spans="1:53" s="1609" customFormat="1" ht="18" hidden="1" customHeight="1">
      <c r="A36" s="1156"/>
      <c r="B36" s="1156"/>
      <c r="C36" s="1156"/>
      <c r="D36" s="1156"/>
      <c r="E36" s="1156"/>
      <c r="F36" s="1156"/>
      <c r="G36" s="1156"/>
      <c r="H36" s="1156"/>
      <c r="I36" s="1156"/>
      <c r="J36" s="1156"/>
      <c r="K36" s="1156"/>
      <c r="L36" s="1157"/>
      <c r="M36" s="1156"/>
      <c r="N36" s="1156"/>
      <c r="O36" s="1156"/>
      <c r="P36" s="1156"/>
      <c r="Q36" s="1156"/>
      <c r="S36" s="2386" t="s">
        <v>508</v>
      </c>
      <c r="T36" s="2386"/>
      <c r="U36" s="1160"/>
      <c r="V36" s="2388" t="str">
        <f>IF(TITLE_NUMBER_PR_CHANGE="",IF(TITLE_NUMBER_PR="","",TITLE_NUMBER_PR),TITLE_NUMBER_PR_CHANGE)</f>
        <v/>
      </c>
      <c r="W36" s="2388"/>
      <c r="X36" s="2388"/>
      <c r="Y36" s="2388"/>
      <c r="Z36" s="2388"/>
      <c r="AA36" s="260"/>
      <c r="AB36" s="2388" t="str">
        <f>IF(TITLE_NUMBER_PR_CHANGE="",IF(TITLE_NUMBER_PR="","",TITLE_NUMBER_PR),TITLE_NUMBER_PR_CHANGE)</f>
        <v/>
      </c>
      <c r="AC36" s="2388"/>
      <c r="AD36" s="2388"/>
      <c r="AE36" s="2388"/>
      <c r="AF36" s="2388"/>
      <c r="AG36" s="2388"/>
      <c r="AH36" s="2388"/>
      <c r="AI36" s="2388"/>
      <c r="AJ36" s="2388"/>
      <c r="AK36" s="2388"/>
      <c r="AL36" s="2388"/>
      <c r="AM36" s="2388"/>
      <c r="AN36" s="2388"/>
      <c r="AO36" s="2388"/>
      <c r="AP36" s="2388"/>
      <c r="AQ36" s="2388"/>
      <c r="AR36" s="2388"/>
      <c r="AS36" s="260"/>
      <c r="AT36" s="260"/>
      <c r="AU36" s="214"/>
      <c r="AV36" s="301"/>
      <c r="AW36" s="301"/>
      <c r="AX36" s="301"/>
      <c r="AY36" s="301"/>
      <c r="AZ36" s="301"/>
      <c r="BA36" s="351">
        <v>0</v>
      </c>
    </row>
    <row r="37" spans="1:53" s="1609" customFormat="1" ht="1.1499999999999999" customHeight="1">
      <c r="A37" s="1156"/>
      <c r="B37" s="1156"/>
      <c r="C37" s="1156"/>
      <c r="D37" s="1156"/>
      <c r="E37" s="1156"/>
      <c r="F37" s="1156"/>
      <c r="G37" s="1156"/>
      <c r="H37" s="1156"/>
      <c r="I37" s="1156"/>
      <c r="J37" s="1156"/>
      <c r="K37" s="1156"/>
      <c r="L37" s="1157"/>
      <c r="M37" s="1156"/>
      <c r="N37" s="1156"/>
      <c r="O37" s="1156"/>
      <c r="P37" s="1156"/>
      <c r="Q37" s="1156"/>
      <c r="S37" s="257"/>
      <c r="T37" s="257"/>
      <c r="U37" s="1128"/>
      <c r="V37" s="260"/>
      <c r="W37" s="260"/>
      <c r="X37" s="260"/>
      <c r="Y37" s="260"/>
      <c r="Z37" s="260"/>
      <c r="AA37" s="212" t="s">
        <v>511</v>
      </c>
      <c r="AB37" s="260"/>
      <c r="AC37" s="260"/>
      <c r="AD37" s="260"/>
      <c r="AE37" s="260"/>
      <c r="AF37" s="260"/>
      <c r="AG37" s="260"/>
      <c r="AH37" s="260"/>
      <c r="AI37" s="260"/>
      <c r="AJ37" s="260"/>
      <c r="AK37" s="260"/>
      <c r="AL37" s="260"/>
      <c r="AM37" s="260"/>
      <c r="AN37" s="260"/>
      <c r="AO37" s="260"/>
      <c r="AP37" s="260"/>
      <c r="AQ37" s="260"/>
      <c r="AR37" s="260"/>
      <c r="AS37" s="212" t="s">
        <v>511</v>
      </c>
      <c r="AV37" s="301"/>
      <c r="AW37" s="301"/>
      <c r="AX37" s="301"/>
      <c r="AY37" s="301"/>
      <c r="AZ37" s="301"/>
      <c r="BA37" s="351">
        <v>1</v>
      </c>
    </row>
    <row r="38" spans="1:53" ht="14.65" customHeight="1">
      <c r="Q38" s="225"/>
      <c r="R38" s="309"/>
      <c r="S38" s="1063"/>
      <c r="T38" s="296"/>
      <c r="U38" s="1032"/>
      <c r="V38" s="2407"/>
      <c r="W38" s="2407"/>
      <c r="X38" s="2407"/>
      <c r="Y38" s="2407"/>
      <c r="Z38" s="2407"/>
      <c r="AA38" s="2407"/>
      <c r="AB38" s="2407"/>
      <c r="AC38" s="2407"/>
      <c r="AD38" s="2407"/>
      <c r="AE38" s="2407"/>
      <c r="AF38" s="2407"/>
      <c r="AG38" s="2407"/>
      <c r="AH38" s="2407"/>
      <c r="AI38" s="2407"/>
      <c r="AJ38" s="2407"/>
      <c r="AK38" s="2407"/>
      <c r="AL38" s="2407"/>
      <c r="AM38" s="2407"/>
      <c r="AN38" s="2407"/>
      <c r="AO38" s="2407"/>
      <c r="AP38" s="2407"/>
      <c r="AQ38" s="2407"/>
      <c r="AR38" s="2407"/>
      <c r="AS38" s="2407"/>
      <c r="BA38" s="956">
        <v>14</v>
      </c>
    </row>
    <row r="39" spans="1:53" ht="14.65" customHeight="1">
      <c r="Q39" s="225"/>
      <c r="R39" s="309"/>
      <c r="S39" s="2266" t="s">
        <v>384</v>
      </c>
      <c r="T39" s="2266"/>
      <c r="U39" s="2266"/>
      <c r="V39" s="2266"/>
      <c r="W39" s="2266"/>
      <c r="X39" s="2266"/>
      <c r="Y39" s="2266"/>
      <c r="Z39" s="2266"/>
      <c r="AA39" s="2266"/>
      <c r="AB39" s="2327"/>
      <c r="AC39" s="2327"/>
      <c r="AD39" s="2327"/>
      <c r="AE39" s="2327"/>
      <c r="AF39" s="2266"/>
      <c r="AG39" s="2266"/>
      <c r="AH39" s="2266"/>
      <c r="AI39" s="2266"/>
      <c r="AJ39" s="2266"/>
      <c r="AK39" s="2266"/>
      <c r="AL39" s="2266"/>
      <c r="AM39" s="2266"/>
      <c r="AN39" s="2266"/>
      <c r="AO39" s="2266"/>
      <c r="AP39" s="2266"/>
      <c r="AQ39" s="2266"/>
      <c r="AR39" s="2266"/>
      <c r="AS39" s="2266"/>
      <c r="AT39" s="2266"/>
      <c r="AU39" s="2266" t="s">
        <v>385</v>
      </c>
      <c r="BA39" s="956">
        <v>14</v>
      </c>
    </row>
    <row r="40" spans="1:53" ht="14.65" customHeight="1">
      <c r="Q40" s="225"/>
      <c r="R40" s="309"/>
      <c r="S40" s="2408" t="s">
        <v>75</v>
      </c>
      <c r="T40" s="2357" t="s">
        <v>557</v>
      </c>
      <c r="U40" s="235"/>
      <c r="V40" s="2410"/>
      <c r="W40" s="2410"/>
      <c r="X40" s="2410"/>
      <c r="Y40" s="2410"/>
      <c r="Z40" s="2411"/>
      <c r="AA40" s="2457" t="s">
        <v>514</v>
      </c>
      <c r="AB40" s="2441" t="s">
        <v>558</v>
      </c>
      <c r="AC40" s="2425"/>
      <c r="AD40" s="2425"/>
      <c r="AE40" s="2442"/>
      <c r="AF40" s="2425" t="s">
        <v>559</v>
      </c>
      <c r="AG40" s="2425"/>
      <c r="AH40" s="2425"/>
      <c r="AI40" s="2442"/>
      <c r="AJ40" s="2441" t="s">
        <v>560</v>
      </c>
      <c r="AK40" s="2425"/>
      <c r="AL40" s="2425"/>
      <c r="AM40" s="2442"/>
      <c r="AN40" s="2441" t="s">
        <v>513</v>
      </c>
      <c r="AO40" s="2425"/>
      <c r="AP40" s="2410"/>
      <c r="AQ40" s="2410"/>
      <c r="AR40" s="2411"/>
      <c r="AS40" s="2412" t="s">
        <v>514</v>
      </c>
      <c r="AT40" s="2415" t="s">
        <v>516</v>
      </c>
      <c r="AU40" s="2266"/>
      <c r="BA40" s="956">
        <v>14</v>
      </c>
    </row>
    <row r="41" spans="1:53" ht="35.65" customHeight="1">
      <c r="Q41" s="225"/>
      <c r="R41" s="309"/>
      <c r="S41" s="2408"/>
      <c r="T41" s="2357"/>
      <c r="U41" s="874"/>
      <c r="V41" s="2266" t="s">
        <v>561</v>
      </c>
      <c r="W41" s="2266"/>
      <c r="X41" s="2328" t="s">
        <v>520</v>
      </c>
      <c r="Y41" s="2437"/>
      <c r="Z41" s="2329"/>
      <c r="AA41" s="2458"/>
      <c r="AB41" s="2443"/>
      <c r="AC41" s="2444"/>
      <c r="AD41" s="2444"/>
      <c r="AE41" s="2456"/>
      <c r="AF41" s="2444"/>
      <c r="AG41" s="2444"/>
      <c r="AH41" s="2444"/>
      <c r="AI41" s="2456"/>
      <c r="AJ41" s="2443"/>
      <c r="AK41" s="2444"/>
      <c r="AL41" s="2444"/>
      <c r="AM41" s="2444"/>
      <c r="AN41" s="2266" t="s">
        <v>561</v>
      </c>
      <c r="AO41" s="2266"/>
      <c r="AP41" s="2437" t="s">
        <v>520</v>
      </c>
      <c r="AQ41" s="2437"/>
      <c r="AR41" s="2329"/>
      <c r="AS41" s="2413"/>
      <c r="AT41" s="2416"/>
      <c r="AU41" s="2266"/>
      <c r="BA41" s="956">
        <v>34</v>
      </c>
    </row>
    <row r="42" spans="1:53" ht="14.65" customHeight="1">
      <c r="Q42" s="225"/>
      <c r="R42" s="309"/>
      <c r="S42" s="2408"/>
      <c r="T42" s="2357"/>
      <c r="U42" s="874"/>
      <c r="V42" s="2461" t="str">
        <f>IF($AN$42&lt;&gt;"",$AN$42,"")</f>
        <v/>
      </c>
      <c r="W42" s="2461"/>
      <c r="X42" s="2333"/>
      <c r="Y42" s="2438"/>
      <c r="Z42" s="2334"/>
      <c r="AA42" s="2458"/>
      <c r="AB42" s="2443"/>
      <c r="AC42" s="2444"/>
      <c r="AD42" s="2444"/>
      <c r="AE42" s="2456"/>
      <c r="AF42" s="2444"/>
      <c r="AG42" s="2444"/>
      <c r="AH42" s="2444"/>
      <c r="AI42" s="2456"/>
      <c r="AJ42" s="2443"/>
      <c r="AK42" s="2444"/>
      <c r="AL42" s="2444"/>
      <c r="AM42" s="2444"/>
      <c r="AN42" s="2460"/>
      <c r="AO42" s="2460"/>
      <c r="AP42" s="2438"/>
      <c r="AQ42" s="2438"/>
      <c r="AR42" s="2334"/>
      <c r="AS42" s="2413"/>
      <c r="AT42" s="2416"/>
      <c r="AU42" s="2266"/>
      <c r="BA42" s="956">
        <v>14</v>
      </c>
    </row>
    <row r="43" spans="1:53" ht="14.65" customHeight="1">
      <c r="A43" s="1158"/>
      <c r="B43" s="1158" t="s">
        <v>226</v>
      </c>
      <c r="C43" s="1158" t="s">
        <v>227</v>
      </c>
      <c r="D43" s="1158" t="s">
        <v>228</v>
      </c>
      <c r="E43" s="1152" t="s">
        <v>521</v>
      </c>
      <c r="F43" s="1152" t="s">
        <v>522</v>
      </c>
      <c r="G43" s="1152" t="s">
        <v>523</v>
      </c>
      <c r="H43" s="1152" t="s">
        <v>524</v>
      </c>
      <c r="I43" s="1152" t="s">
        <v>525</v>
      </c>
      <c r="J43" s="1152" t="s">
        <v>526</v>
      </c>
      <c r="K43" s="1152" t="s">
        <v>527</v>
      </c>
      <c r="L43" s="1152" t="s">
        <v>502</v>
      </c>
      <c r="Q43" s="225"/>
      <c r="R43" s="309"/>
      <c r="S43" s="2408"/>
      <c r="T43" s="2357"/>
      <c r="U43" s="236"/>
      <c r="V43" s="1118" t="s">
        <v>562</v>
      </c>
      <c r="W43" s="1118" t="s">
        <v>563</v>
      </c>
      <c r="X43" s="1126" t="s">
        <v>530</v>
      </c>
      <c r="Y43" s="2362" t="s">
        <v>531</v>
      </c>
      <c r="Z43" s="2375"/>
      <c r="AA43" s="2459"/>
      <c r="AB43" s="2445"/>
      <c r="AC43" s="2446"/>
      <c r="AD43" s="2446"/>
      <c r="AE43" s="2447"/>
      <c r="AF43" s="2446"/>
      <c r="AG43" s="2446"/>
      <c r="AH43" s="2446"/>
      <c r="AI43" s="2447"/>
      <c r="AJ43" s="2445"/>
      <c r="AK43" s="2446"/>
      <c r="AL43" s="2446"/>
      <c r="AM43" s="2447"/>
      <c r="AN43" s="1616" t="s">
        <v>562</v>
      </c>
      <c r="AO43" s="1616" t="s">
        <v>563</v>
      </c>
      <c r="AP43" s="1126" t="s">
        <v>530</v>
      </c>
      <c r="AQ43" s="2362" t="s">
        <v>531</v>
      </c>
      <c r="AR43" s="2375"/>
      <c r="AS43" s="2414"/>
      <c r="AT43" s="2417"/>
      <c r="AU43" s="2266"/>
      <c r="BA43" s="956">
        <v>14</v>
      </c>
    </row>
    <row r="44" spans="1:53" s="1429" customFormat="1" ht="11.25" hidden="1" customHeight="1">
      <c r="A44" s="1158"/>
      <c r="B44" s="1158"/>
      <c r="C44" s="1158"/>
      <c r="D44" s="1158"/>
      <c r="E44" s="1158"/>
      <c r="F44" s="1158"/>
      <c r="G44" s="1158"/>
      <c r="H44" s="1158"/>
      <c r="I44" s="1158"/>
      <c r="J44" s="1158"/>
      <c r="K44" s="1158"/>
      <c r="L44" s="1152"/>
      <c r="M44" s="1150"/>
      <c r="N44" s="1150"/>
      <c r="O44" s="1150"/>
      <c r="P44" s="443"/>
      <c r="Q44" s="1042"/>
      <c r="R44" s="1042">
        <v>1</v>
      </c>
      <c r="S44" s="1065" t="s">
        <v>161</v>
      </c>
      <c r="T44" s="1043" t="s">
        <v>89</v>
      </c>
      <c r="U44" s="1033" t="str">
        <f ca="1">OFFSET(U44,0,-1)</f>
        <v>2</v>
      </c>
      <c r="V44" s="1123">
        <f ca="1">OFFSET(V44,0,-1)+1</f>
        <v>3</v>
      </c>
      <c r="W44" s="1123">
        <f ca="1">OFFSET(W44,0,-1)+1</f>
        <v>4</v>
      </c>
      <c r="X44" s="1123">
        <f ca="1">OFFSET(X44,0,-1)+1</f>
        <v>5</v>
      </c>
      <c r="Y44" s="2406">
        <f ca="1">OFFSET(Y44,0,-1)+1</f>
        <v>6</v>
      </c>
      <c r="Z44" s="2406"/>
      <c r="AA44" s="1123">
        <f ca="1">OFFSET(AA44,0,-2)+1</f>
        <v>7</v>
      </c>
      <c r="AB44" s="1129">
        <f ca="1">OFFSET(AB44,0,-1)+1</f>
        <v>8</v>
      </c>
      <c r="AC44" s="1129"/>
      <c r="AD44" s="1129"/>
      <c r="AE44" s="1129"/>
      <c r="AF44" s="1123"/>
      <c r="AG44" s="1123"/>
      <c r="AH44" s="1123"/>
      <c r="AI44" s="1123"/>
      <c r="AJ44" s="1123"/>
      <c r="AK44" s="1123"/>
      <c r="AL44" s="1123"/>
      <c r="AM44" s="1123"/>
      <c r="AN44" s="1123">
        <f ca="1">OFFSET(AN44,0,-1)+1</f>
        <v>1</v>
      </c>
      <c r="AO44" s="1123">
        <f ca="1">OFFSET(AO44,0,-1)+1</f>
        <v>2</v>
      </c>
      <c r="AP44" s="1123">
        <f ca="1">OFFSET(AP44,0,-1)+1</f>
        <v>3</v>
      </c>
      <c r="AQ44" s="2406">
        <f ca="1">OFFSET(AQ44,0,-1)+1</f>
        <v>4</v>
      </c>
      <c r="AR44" s="2406"/>
      <c r="AS44" s="1123">
        <f ca="1">OFFSET(AS44,0,-2)+1</f>
        <v>5</v>
      </c>
      <c r="AT44" s="1033">
        <f ca="1">OFFSET(AT44,0,-1)</f>
        <v>5</v>
      </c>
      <c r="AU44" s="1123">
        <f ca="1">OFFSET(AU44,0,-1)+1</f>
        <v>6</v>
      </c>
      <c r="AV44" s="444"/>
      <c r="AW44" s="444"/>
      <c r="AX44" s="444"/>
      <c r="AY44" s="444"/>
      <c r="AZ44" s="444"/>
      <c r="BA44" s="429">
        <v>0</v>
      </c>
    </row>
    <row r="45" spans="1:53" ht="107.25" customHeight="1">
      <c r="A45" s="1151" t="s">
        <v>284</v>
      </c>
      <c r="B45" s="1151"/>
      <c r="C45" s="1151"/>
      <c r="D45" s="1151"/>
      <c r="E45" s="2395">
        <v>1</v>
      </c>
      <c r="F45" s="1151"/>
      <c r="G45" s="1151"/>
      <c r="H45" s="1151"/>
      <c r="I45" s="1151"/>
      <c r="J45" s="1151"/>
      <c r="K45" s="1151"/>
      <c r="L45" s="1152"/>
      <c r="M45" s="1153"/>
      <c r="N45" s="1153"/>
      <c r="O45" s="1153"/>
      <c r="P45" s="1197"/>
      <c r="Q45" s="772"/>
      <c r="R45" s="288"/>
      <c r="S45" s="1124">
        <f>INDEX(PT_DIFFERENTIATION_NUM_NTAR,MATCH(A45,PT_DIFFERENTIATION_NTAR_ID,0))</f>
        <v>0</v>
      </c>
      <c r="T45" s="232" t="s">
        <v>214</v>
      </c>
      <c r="U45" s="234"/>
      <c r="V45" s="2390"/>
      <c r="W45" s="2390"/>
      <c r="X45" s="2390"/>
      <c r="Y45" s="2390"/>
      <c r="Z45" s="2390"/>
      <c r="AA45" s="2391"/>
      <c r="AB45" s="2389" t="str">
        <f>INDEX(PT_DIFFERENTIATION_NTAR,MATCH(A45,PT_DIFFERENTIATION_NTAR_ID,0))</f>
        <v/>
      </c>
      <c r="AC45" s="2390"/>
      <c r="AD45" s="2390"/>
      <c r="AE45" s="2390"/>
      <c r="AF45" s="2390"/>
      <c r="AG45" s="2390"/>
      <c r="AH45" s="2390"/>
      <c r="AI45" s="2390"/>
      <c r="AJ45" s="2390"/>
      <c r="AK45" s="2390"/>
      <c r="AL45" s="2390"/>
      <c r="AM45" s="2390"/>
      <c r="AN45" s="2390"/>
      <c r="AO45" s="2390"/>
      <c r="AP45" s="2390"/>
      <c r="AQ45" s="2390"/>
      <c r="AR45" s="2390"/>
      <c r="AS45" s="2390"/>
      <c r="AT45" s="2391"/>
      <c r="AU45" s="104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3"/>
      <c r="AX45" s="433" t="str">
        <f t="shared" ref="AX45:AX51" si="2">IF(T45="","",T45)</f>
        <v>Наименование тарифа</v>
      </c>
      <c r="AY45" s="433"/>
      <c r="AZ45" s="433"/>
      <c r="BA45" s="956">
        <v>102</v>
      </c>
    </row>
    <row r="46" spans="1:53" ht="21.95" customHeight="1">
      <c r="A46" s="1151" t="s">
        <v>284</v>
      </c>
      <c r="B46" s="1151" t="s">
        <v>285</v>
      </c>
      <c r="C46" s="1151"/>
      <c r="D46" s="1151"/>
      <c r="E46" s="2396"/>
      <c r="F46" s="2395">
        <v>1</v>
      </c>
      <c r="G46" s="1151"/>
      <c r="H46" s="1151"/>
      <c r="I46" s="1151"/>
      <c r="J46" s="1151"/>
      <c r="K46" s="1151"/>
      <c r="L46" s="1152"/>
      <c r="M46" s="1153"/>
      <c r="N46" s="1153"/>
      <c r="O46" s="1153"/>
      <c r="P46" s="1198"/>
      <c r="Q46" s="1199"/>
      <c r="R46" s="286"/>
      <c r="S46" s="1124" t="str">
        <f>INDEX(PT_DIFFERENTIATION_NUM_TER,MATCH(B46,PT_DIFFERENTIATION_TER_ID,0))</f>
        <v>.</v>
      </c>
      <c r="T46" s="242" t="s">
        <v>481</v>
      </c>
      <c r="U46" s="234"/>
      <c r="V46" s="2390"/>
      <c r="W46" s="2390"/>
      <c r="X46" s="2390"/>
      <c r="Y46" s="2390"/>
      <c r="Z46" s="2390"/>
      <c r="AA46" s="2391"/>
      <c r="AB46" s="2389" t="str">
        <f>INDEX(PT_DIFFERENTIATION_TER,MATCH(B46,PT_DIFFERENTIATION_TER_ID,0))</f>
        <v/>
      </c>
      <c r="AC46" s="2390"/>
      <c r="AD46" s="2390"/>
      <c r="AE46" s="2390"/>
      <c r="AF46" s="2390"/>
      <c r="AG46" s="2390"/>
      <c r="AH46" s="2390"/>
      <c r="AI46" s="2390"/>
      <c r="AJ46" s="2390"/>
      <c r="AK46" s="2390"/>
      <c r="AL46" s="2390"/>
      <c r="AM46" s="2390"/>
      <c r="AN46" s="2390"/>
      <c r="AO46" s="2390"/>
      <c r="AP46" s="2390"/>
      <c r="AQ46" s="2390"/>
      <c r="AR46" s="2390"/>
      <c r="AS46" s="2390"/>
      <c r="AT46" s="2391"/>
      <c r="AU46" s="1046" t="s">
        <v>482</v>
      </c>
      <c r="AW46" s="433"/>
      <c r="AX46" s="433" t="str">
        <f t="shared" si="2"/>
        <v>Территория действия тарифа</v>
      </c>
      <c r="AY46" s="433"/>
      <c r="AZ46" s="433"/>
      <c r="BA46" s="956">
        <v>21</v>
      </c>
    </row>
    <row r="47" spans="1:53" ht="24" customHeight="1">
      <c r="A47" s="1151" t="s">
        <v>284</v>
      </c>
      <c r="B47" s="1151" t="s">
        <v>285</v>
      </c>
      <c r="C47" s="1151" t="s">
        <v>286</v>
      </c>
      <c r="D47" s="1151"/>
      <c r="E47" s="2396"/>
      <c r="F47" s="2396"/>
      <c r="G47" s="2395">
        <v>1</v>
      </c>
      <c r="H47" s="1151"/>
      <c r="I47" s="1151"/>
      <c r="J47" s="1151"/>
      <c r="K47" s="1151"/>
      <c r="L47" s="1152"/>
      <c r="M47" s="1153"/>
      <c r="N47" s="1153"/>
      <c r="O47" s="1153"/>
      <c r="P47" s="1200"/>
      <c r="Q47" s="1199"/>
      <c r="R47" s="286"/>
      <c r="S47" s="1124" t="str">
        <f>INDEX(PT_DIFFERENTIATION_NUM_CS,MATCH(C47,PT_DIFFERENTIATION_CS_ID,0))</f>
        <v>..</v>
      </c>
      <c r="T47" s="243" t="s">
        <v>483</v>
      </c>
      <c r="U47" s="234"/>
      <c r="V47" s="2390"/>
      <c r="W47" s="2390"/>
      <c r="X47" s="2390"/>
      <c r="Y47" s="2390"/>
      <c r="Z47" s="2390"/>
      <c r="AA47" s="2391"/>
      <c r="AB47" s="2389" t="str">
        <f>INDEX(PT_DIFFERENTIATION_CS,MATCH(C47,PT_DIFFERENTIATION_CS_ID,0))</f>
        <v/>
      </c>
      <c r="AC47" s="2390"/>
      <c r="AD47" s="2390"/>
      <c r="AE47" s="2390"/>
      <c r="AF47" s="2390"/>
      <c r="AG47" s="2390"/>
      <c r="AH47" s="2390"/>
      <c r="AI47" s="2390"/>
      <c r="AJ47" s="2390"/>
      <c r="AK47" s="2390"/>
      <c r="AL47" s="2390"/>
      <c r="AM47" s="2390"/>
      <c r="AN47" s="2390"/>
      <c r="AO47" s="2390"/>
      <c r="AP47" s="2390"/>
      <c r="AQ47" s="2390"/>
      <c r="AR47" s="2390"/>
      <c r="AS47" s="2390"/>
      <c r="AT47" s="2391"/>
      <c r="AU47" s="1046" t="s">
        <v>484</v>
      </c>
      <c r="AW47" s="433"/>
      <c r="AX47" s="433" t="str">
        <f t="shared" si="2"/>
        <v xml:space="preserve">Наименование системы теплоснабжения </v>
      </c>
      <c r="AY47" s="433"/>
      <c r="AZ47" s="433"/>
      <c r="BA47" s="956">
        <v>23</v>
      </c>
    </row>
    <row r="48" spans="1:53" ht="21" customHeight="1">
      <c r="A48" s="1151" t="s">
        <v>284</v>
      </c>
      <c r="B48" s="1151" t="s">
        <v>285</v>
      </c>
      <c r="C48" s="1151" t="s">
        <v>286</v>
      </c>
      <c r="D48" s="1151" t="s">
        <v>287</v>
      </c>
      <c r="E48" s="2396"/>
      <c r="F48" s="2396"/>
      <c r="G48" s="2396"/>
      <c r="H48" s="2395">
        <v>1</v>
      </c>
      <c r="I48" s="1151"/>
      <c r="J48" s="1151"/>
      <c r="K48" s="1151"/>
      <c r="L48" s="1152"/>
      <c r="M48" s="1153"/>
      <c r="N48" s="1153"/>
      <c r="O48" s="1153"/>
      <c r="P48" s="1200"/>
      <c r="Q48" s="1199"/>
      <c r="R48" s="286"/>
      <c r="S48" s="1124" t="str">
        <f>INDEX(PT_DIFFERENTIATION_NUM_IST_TE,MATCH(D48,PT_DIFFERENTIATION_IST_TE_ID,0))</f>
        <v>...</v>
      </c>
      <c r="T48" s="244" t="s">
        <v>485</v>
      </c>
      <c r="U48" s="234"/>
      <c r="V48" s="2390"/>
      <c r="W48" s="2390"/>
      <c r="X48" s="2390"/>
      <c r="Y48" s="2390"/>
      <c r="Z48" s="2390"/>
      <c r="AA48" s="2391"/>
      <c r="AB48" s="2389" t="str">
        <f>INDEX(PT_DIFFERENTIATION_IST_TE,MATCH(D48,PT_DIFFERENTIATION_IST_TE_ID,0))</f>
        <v/>
      </c>
      <c r="AC48" s="2390"/>
      <c r="AD48" s="2390"/>
      <c r="AE48" s="2390"/>
      <c r="AF48" s="2390"/>
      <c r="AG48" s="2390"/>
      <c r="AH48" s="2390"/>
      <c r="AI48" s="2390"/>
      <c r="AJ48" s="2390"/>
      <c r="AK48" s="2390"/>
      <c r="AL48" s="2390"/>
      <c r="AM48" s="2390"/>
      <c r="AN48" s="2390"/>
      <c r="AO48" s="2390"/>
      <c r="AP48" s="2390"/>
      <c r="AQ48" s="2390"/>
      <c r="AR48" s="2390"/>
      <c r="AS48" s="2390"/>
      <c r="AT48" s="2391"/>
      <c r="AU48" s="1046" t="s">
        <v>486</v>
      </c>
      <c r="AW48" s="433"/>
      <c r="AX48" s="433" t="str">
        <f t="shared" si="2"/>
        <v xml:space="preserve">Источник тепловой энергии  </v>
      </c>
      <c r="AY48" s="433"/>
      <c r="AZ48" s="433"/>
      <c r="BA48" s="956">
        <v>20</v>
      </c>
    </row>
    <row r="49" spans="1:53" s="1430" customFormat="1" ht="1.1499999999999999" customHeight="1">
      <c r="A49" s="1131" t="s">
        <v>284</v>
      </c>
      <c r="B49" s="1131" t="s">
        <v>285</v>
      </c>
      <c r="C49" s="1131" t="s">
        <v>286</v>
      </c>
      <c r="D49" s="1131" t="s">
        <v>287</v>
      </c>
      <c r="E49" s="2396"/>
      <c r="F49" s="2396"/>
      <c r="G49" s="2396"/>
      <c r="H49" s="2396"/>
      <c r="I49" s="2397" t="str">
        <f>S48&amp;".1"</f>
        <v>....1</v>
      </c>
      <c r="J49" s="1131"/>
      <c r="K49" s="1131"/>
      <c r="L49" s="1134" t="s">
        <v>487</v>
      </c>
      <c r="M49" s="443"/>
      <c r="N49" s="443"/>
      <c r="O49" s="443"/>
      <c r="P49" s="2399">
        <v>1</v>
      </c>
      <c r="Q49" s="1119"/>
      <c r="R49" s="289"/>
      <c r="S49" s="881"/>
      <c r="T49" s="1171"/>
      <c r="U49" s="1172"/>
      <c r="V49" s="2427"/>
      <c r="W49" s="2427"/>
      <c r="X49" s="2427"/>
      <c r="Y49" s="2427"/>
      <c r="Z49" s="2427"/>
      <c r="AA49" s="2428"/>
      <c r="AB49" s="2426"/>
      <c r="AC49" s="2427"/>
      <c r="AD49" s="2427"/>
      <c r="AE49" s="2427"/>
      <c r="AF49" s="2427"/>
      <c r="AG49" s="2427"/>
      <c r="AH49" s="2427"/>
      <c r="AI49" s="2427"/>
      <c r="AJ49" s="2427"/>
      <c r="AK49" s="2427"/>
      <c r="AL49" s="2427"/>
      <c r="AM49" s="2427"/>
      <c r="AN49" s="2427"/>
      <c r="AO49" s="2427"/>
      <c r="AP49" s="2427"/>
      <c r="AQ49" s="2427"/>
      <c r="AR49" s="2427"/>
      <c r="AS49" s="2427"/>
      <c r="AT49" s="2428"/>
      <c r="AU49" s="1173"/>
      <c r="AW49" s="433"/>
      <c r="AX49" s="433" t="str">
        <f t="shared" si="2"/>
        <v/>
      </c>
      <c r="AY49" s="433"/>
      <c r="AZ49" s="433"/>
      <c r="BA49" s="444">
        <v>1</v>
      </c>
    </row>
    <row r="50" spans="1:53" s="1430" customFormat="1" ht="1.1499999999999999" customHeight="1">
      <c r="A50" s="1131" t="s">
        <v>284</v>
      </c>
      <c r="B50" s="1131" t="s">
        <v>285</v>
      </c>
      <c r="C50" s="1131" t="s">
        <v>286</v>
      </c>
      <c r="D50" s="1131" t="s">
        <v>287</v>
      </c>
      <c r="E50" s="2396"/>
      <c r="F50" s="2396"/>
      <c r="G50" s="2396"/>
      <c r="H50" s="2396"/>
      <c r="I50" s="2398"/>
      <c r="J50" s="2397" t="str">
        <f>S48&amp;".1"</f>
        <v>....1</v>
      </c>
      <c r="K50" s="1131"/>
      <c r="L50" s="1134"/>
      <c r="M50" s="443"/>
      <c r="N50" s="443"/>
      <c r="O50" s="443"/>
      <c r="P50" s="2399"/>
      <c r="Q50" s="2399">
        <v>1</v>
      </c>
      <c r="R50" s="290"/>
      <c r="S50" s="881"/>
      <c r="T50" s="1187"/>
      <c r="U50" s="1172"/>
      <c r="V50" s="2427"/>
      <c r="W50" s="2427"/>
      <c r="X50" s="2427"/>
      <c r="Y50" s="2427"/>
      <c r="Z50" s="2427"/>
      <c r="AA50" s="2428"/>
      <c r="AB50" s="2426"/>
      <c r="AC50" s="2427"/>
      <c r="AD50" s="2427"/>
      <c r="AE50" s="2427"/>
      <c r="AF50" s="2427"/>
      <c r="AG50" s="2427"/>
      <c r="AH50" s="2427"/>
      <c r="AI50" s="2427"/>
      <c r="AJ50" s="2427"/>
      <c r="AK50" s="2427"/>
      <c r="AL50" s="2427"/>
      <c r="AM50" s="2427"/>
      <c r="AN50" s="2427"/>
      <c r="AO50" s="2427"/>
      <c r="AP50" s="2427"/>
      <c r="AQ50" s="2427"/>
      <c r="AR50" s="2427"/>
      <c r="AS50" s="2427"/>
      <c r="AT50" s="2428"/>
      <c r="AU50" s="1173"/>
      <c r="AW50" s="433"/>
      <c r="AX50" s="433" t="str">
        <f t="shared" si="2"/>
        <v/>
      </c>
      <c r="AY50" s="433"/>
      <c r="AZ50" s="433"/>
      <c r="BA50" s="444">
        <v>1</v>
      </c>
    </row>
    <row r="51" spans="1:53" ht="21.95" customHeight="1">
      <c r="A51" s="1151" t="s">
        <v>284</v>
      </c>
      <c r="B51" s="1151" t="s">
        <v>285</v>
      </c>
      <c r="C51" s="1151" t="s">
        <v>286</v>
      </c>
      <c r="D51" s="1151" t="s">
        <v>287</v>
      </c>
      <c r="E51" s="2396"/>
      <c r="F51" s="2396"/>
      <c r="G51" s="2396"/>
      <c r="H51" s="2396"/>
      <c r="I51" s="2398"/>
      <c r="J51" s="2398"/>
      <c r="K51" s="2397" t="str">
        <f>S48&amp;".1"</f>
        <v>....1</v>
      </c>
      <c r="L51" s="1152"/>
      <c r="P51" s="2399"/>
      <c r="Q51" s="2399"/>
      <c r="R51" s="290">
        <v>1</v>
      </c>
      <c r="S51" s="2452" t="str">
        <f>$K51</f>
        <v>....1</v>
      </c>
      <c r="T51" s="2449"/>
      <c r="U51" s="234"/>
      <c r="V51" s="658"/>
      <c r="W51" s="1045"/>
      <c r="X51" s="1493"/>
      <c r="Y51" s="1247" t="s">
        <v>52</v>
      </c>
      <c r="Z51" s="1493"/>
      <c r="AA51" s="1247" t="s">
        <v>52</v>
      </c>
      <c r="AB51" s="2276" t="s">
        <v>6</v>
      </c>
      <c r="AC51" s="2448"/>
      <c r="AD51" s="2353">
        <v>1</v>
      </c>
      <c r="AE51" s="2440" t="s">
        <v>9</v>
      </c>
      <c r="AF51" s="2276" t="s">
        <v>6</v>
      </c>
      <c r="AG51" s="2448"/>
      <c r="AH51" s="2353">
        <v>1</v>
      </c>
      <c r="AI51" s="2440" t="s">
        <v>9</v>
      </c>
      <c r="AJ51" s="2276" t="s">
        <v>6</v>
      </c>
      <c r="AK51" s="245"/>
      <c r="AL51" s="1125">
        <v>1</v>
      </c>
      <c r="AM51" s="1190"/>
      <c r="AN51" s="658"/>
      <c r="AO51" s="1045"/>
      <c r="AP51" s="1493"/>
      <c r="AQ51" s="1247" t="s">
        <v>52</v>
      </c>
      <c r="AR51" s="1493"/>
      <c r="AS51" s="1247" t="s">
        <v>52</v>
      </c>
      <c r="AT51" s="1136"/>
      <c r="AU51" s="2418" t="s">
        <v>564</v>
      </c>
      <c r="AV51" s="444" t="e">
        <f ca="1">STRCHECKDATE(V54:AT54)</f>
        <v>#NAME?</v>
      </c>
      <c r="AW51" s="433"/>
      <c r="AX51" s="433" t="str">
        <f t="shared" si="2"/>
        <v/>
      </c>
      <c r="AY51" s="433"/>
      <c r="AZ51" s="433"/>
      <c r="BA51" s="956">
        <v>21</v>
      </c>
    </row>
    <row r="52" spans="1:53" ht="11.45" customHeight="1">
      <c r="A52" s="1151" t="s">
        <v>284</v>
      </c>
      <c r="B52" s="1151"/>
      <c r="C52" s="1151"/>
      <c r="D52" s="1151"/>
      <c r="E52" s="2396"/>
      <c r="F52" s="2396"/>
      <c r="G52" s="2396"/>
      <c r="H52" s="2396"/>
      <c r="I52" s="2398"/>
      <c r="J52" s="2398"/>
      <c r="K52" s="2397"/>
      <c r="L52" s="1152"/>
      <c r="P52" s="2399"/>
      <c r="Q52" s="2399"/>
      <c r="R52" s="290"/>
      <c r="S52" s="2453"/>
      <c r="T52" s="2450"/>
      <c r="U52" s="234"/>
      <c r="V52" s="1181"/>
      <c r="W52" s="1284"/>
      <c r="X52" s="1181"/>
      <c r="Y52" s="1181"/>
      <c r="Z52" s="1181"/>
      <c r="AA52" s="1181"/>
      <c r="AB52" s="2276"/>
      <c r="AC52" s="2448"/>
      <c r="AD52" s="2353"/>
      <c r="AE52" s="2440"/>
      <c r="AF52" s="2276"/>
      <c r="AG52" s="2448"/>
      <c r="AH52" s="2353"/>
      <c r="AI52" s="2440"/>
      <c r="AJ52" s="2276"/>
      <c r="AK52" s="250"/>
      <c r="AL52" s="349"/>
      <c r="AM52" s="348" t="s">
        <v>549</v>
      </c>
      <c r="AN52" s="1181"/>
      <c r="AO52" s="1284"/>
      <c r="AP52" s="1181"/>
      <c r="AQ52" s="1181"/>
      <c r="AR52" s="1181"/>
      <c r="AS52" s="1181"/>
      <c r="AT52" s="1178"/>
      <c r="AU52" s="2419"/>
      <c r="AW52" s="433"/>
      <c r="AX52" s="433"/>
      <c r="AY52" s="433"/>
      <c r="AZ52" s="433"/>
      <c r="BA52" s="956">
        <v>11</v>
      </c>
    </row>
    <row r="53" spans="1:53" ht="11.45" customHeight="1">
      <c r="A53" s="1151" t="s">
        <v>284</v>
      </c>
      <c r="B53" s="1151"/>
      <c r="C53" s="1151"/>
      <c r="D53" s="1151"/>
      <c r="E53" s="2396"/>
      <c r="F53" s="2396"/>
      <c r="G53" s="2396"/>
      <c r="H53" s="2396"/>
      <c r="I53" s="2398"/>
      <c r="J53" s="2398"/>
      <c r="K53" s="2397"/>
      <c r="L53" s="1152"/>
      <c r="P53" s="2399"/>
      <c r="Q53" s="2399"/>
      <c r="R53" s="290"/>
      <c r="S53" s="2453"/>
      <c r="T53" s="2450"/>
      <c r="U53" s="234"/>
      <c r="V53" s="1181"/>
      <c r="W53" s="1284"/>
      <c r="X53" s="1181"/>
      <c r="Y53" s="1181"/>
      <c r="Z53" s="1181"/>
      <c r="AA53" s="1181"/>
      <c r="AB53" s="2276"/>
      <c r="AC53" s="2448"/>
      <c r="AD53" s="2353"/>
      <c r="AE53" s="2440"/>
      <c r="AF53" s="2276"/>
      <c r="AG53" s="228"/>
      <c r="AH53" s="348"/>
      <c r="AI53" s="348" t="s">
        <v>550</v>
      </c>
      <c r="AJ53" s="1181"/>
      <c r="AK53" s="1181"/>
      <c r="AL53" s="1181"/>
      <c r="AM53" s="1181"/>
      <c r="AN53" s="1181"/>
      <c r="AO53" s="1284"/>
      <c r="AP53" s="1181"/>
      <c r="AQ53" s="1181"/>
      <c r="AR53" s="1181"/>
      <c r="AS53" s="1181"/>
      <c r="AT53" s="1178"/>
      <c r="AU53" s="2419"/>
      <c r="AW53" s="433"/>
      <c r="AX53" s="433"/>
      <c r="AY53" s="433"/>
      <c r="AZ53" s="433"/>
      <c r="BA53" s="956">
        <v>11</v>
      </c>
    </row>
    <row r="54" spans="1:53" ht="11.45" customHeight="1">
      <c r="A54" s="1151" t="s">
        <v>284</v>
      </c>
      <c r="B54" s="1151" t="s">
        <v>285</v>
      </c>
      <c r="C54" s="1151" t="s">
        <v>286</v>
      </c>
      <c r="D54" s="1151" t="s">
        <v>287</v>
      </c>
      <c r="E54" s="2396"/>
      <c r="F54" s="2396"/>
      <c r="G54" s="2396"/>
      <c r="H54" s="2396"/>
      <c r="I54" s="2398"/>
      <c r="J54" s="2398"/>
      <c r="K54" s="2397"/>
      <c r="L54" s="1152"/>
      <c r="P54" s="2399"/>
      <c r="Q54" s="2399"/>
      <c r="R54" s="290"/>
      <c r="S54" s="2454"/>
      <c r="T54" s="2451"/>
      <c r="U54" s="234"/>
      <c r="V54" s="1181"/>
      <c r="W54" s="1182" t="str">
        <f>X51&amp;"-"&amp;Z51</f>
        <v>-</v>
      </c>
      <c r="X54" s="1181"/>
      <c r="Y54" s="1181"/>
      <c r="Z54" s="1181"/>
      <c r="AA54" s="1181"/>
      <c r="AB54" s="2276"/>
      <c r="AC54" s="246"/>
      <c r="AD54" s="248"/>
      <c r="AE54" s="348" t="s">
        <v>551</v>
      </c>
      <c r="AF54" s="1181"/>
      <c r="AG54" s="1181"/>
      <c r="AH54" s="1181"/>
      <c r="AI54" s="1181"/>
      <c r="AJ54" s="1181"/>
      <c r="AK54" s="1181"/>
      <c r="AL54" s="1181"/>
      <c r="AM54" s="1181"/>
      <c r="AN54" s="1181"/>
      <c r="AO54" s="1182" t="str">
        <f>AP51&amp;"-"&amp;AR51</f>
        <v>-</v>
      </c>
      <c r="AP54" s="1181"/>
      <c r="AQ54" s="1181"/>
      <c r="AR54" s="1181"/>
      <c r="AS54" s="1181"/>
      <c r="AT54" s="1137"/>
      <c r="AU54" s="2419"/>
      <c r="AW54" s="433"/>
      <c r="AX54" s="433" t="str">
        <f t="shared" ref="AX54:AX62" si="3">IF(T54="","",T54)</f>
        <v/>
      </c>
      <c r="AY54" s="433"/>
      <c r="AZ54" s="433"/>
      <c r="BA54" s="956">
        <v>11</v>
      </c>
    </row>
    <row r="55" spans="1:53" ht="11.45" customHeight="1">
      <c r="A55" s="1151" t="s">
        <v>284</v>
      </c>
      <c r="B55" s="1151" t="s">
        <v>285</v>
      </c>
      <c r="C55" s="1151" t="s">
        <v>286</v>
      </c>
      <c r="D55" s="1151" t="s">
        <v>287</v>
      </c>
      <c r="E55" s="2396"/>
      <c r="F55" s="2396"/>
      <c r="G55" s="2396"/>
      <c r="H55" s="2396"/>
      <c r="I55" s="2398"/>
      <c r="J55" s="2397"/>
      <c r="K55" s="1151"/>
      <c r="L55" s="1152"/>
      <c r="P55" s="2399"/>
      <c r="Q55" s="2399"/>
      <c r="R55" s="289"/>
      <c r="S55" s="1066"/>
      <c r="T55" s="221" t="s">
        <v>552</v>
      </c>
      <c r="U55" s="300"/>
      <c r="V55" s="300"/>
      <c r="W55" s="300"/>
      <c r="X55" s="300"/>
      <c r="Y55" s="300"/>
      <c r="Z55" s="300"/>
      <c r="AA55" s="258"/>
      <c r="AB55" s="1293"/>
      <c r="AC55" s="300"/>
      <c r="AD55" s="300"/>
      <c r="AE55" s="300"/>
      <c r="AF55" s="300"/>
      <c r="AG55" s="300"/>
      <c r="AH55" s="300"/>
      <c r="AI55" s="300"/>
      <c r="AJ55" s="300"/>
      <c r="AK55" s="300"/>
      <c r="AL55" s="300"/>
      <c r="AM55" s="300"/>
      <c r="AN55" s="300"/>
      <c r="AO55" s="300"/>
      <c r="AP55" s="300"/>
      <c r="AQ55" s="300"/>
      <c r="AR55" s="300"/>
      <c r="AS55" s="300"/>
      <c r="AT55" s="258"/>
      <c r="AU55" s="2420"/>
      <c r="AW55" s="433"/>
      <c r="AX55" s="433" t="str">
        <f t="shared" si="3"/>
        <v>Добавить строку</v>
      </c>
      <c r="AY55" s="433"/>
      <c r="AZ55" s="433"/>
      <c r="BA55" s="956">
        <v>11</v>
      </c>
    </row>
    <row r="56" spans="1:53" s="1430" customFormat="1" ht="1.1499999999999999" customHeight="1">
      <c r="A56" s="1131" t="s">
        <v>284</v>
      </c>
      <c r="B56" s="1131" t="s">
        <v>285</v>
      </c>
      <c r="C56" s="1131" t="s">
        <v>286</v>
      </c>
      <c r="D56" s="1131" t="s">
        <v>287</v>
      </c>
      <c r="E56" s="2396"/>
      <c r="F56" s="2396"/>
      <c r="G56" s="2396"/>
      <c r="H56" s="2396"/>
      <c r="I56" s="2397"/>
      <c r="J56" s="1131"/>
      <c r="K56" s="1131"/>
      <c r="L56" s="1134"/>
      <c r="M56" s="443"/>
      <c r="N56" s="443"/>
      <c r="O56" s="443"/>
      <c r="P56" s="2399"/>
      <c r="Q56" s="1119"/>
      <c r="R56" s="289"/>
      <c r="S56" s="1174"/>
      <c r="T56" s="1175" t="s">
        <v>496</v>
      </c>
      <c r="U56" s="1176"/>
      <c r="V56" s="1176"/>
      <c r="W56" s="1176"/>
      <c r="X56" s="1176"/>
      <c r="Y56" s="1176"/>
      <c r="Z56" s="1176"/>
      <c r="AA56" s="1176"/>
      <c r="AB56" s="1176"/>
      <c r="AC56" s="1176"/>
      <c r="AD56" s="1176"/>
      <c r="AE56" s="1176"/>
      <c r="AF56" s="1176"/>
      <c r="AG56" s="1176"/>
      <c r="AH56" s="1176"/>
      <c r="AI56" s="1176"/>
      <c r="AJ56" s="1176"/>
      <c r="AK56" s="1176"/>
      <c r="AL56" s="1176"/>
      <c r="AM56" s="1176"/>
      <c r="AN56" s="1176"/>
      <c r="AO56" s="1176"/>
      <c r="AP56" s="1176"/>
      <c r="AQ56" s="1176"/>
      <c r="AR56" s="1176"/>
      <c r="AS56" s="1176"/>
      <c r="AT56" s="1176"/>
      <c r="AU56" s="1177"/>
      <c r="AW56" s="433"/>
      <c r="AX56" s="433" t="str">
        <f t="shared" si="3"/>
        <v>Добавить группу потребителей</v>
      </c>
      <c r="AY56" s="433"/>
      <c r="AZ56" s="433"/>
      <c r="BA56" s="444">
        <v>1</v>
      </c>
    </row>
    <row r="57" spans="1:53" s="1429" customFormat="1" ht="1.1499999999999999" customHeight="1">
      <c r="A57" s="1131" t="s">
        <v>284</v>
      </c>
      <c r="B57" s="1131" t="s">
        <v>285</v>
      </c>
      <c r="C57" s="1131" t="s">
        <v>286</v>
      </c>
      <c r="D57" s="1131" t="s">
        <v>287</v>
      </c>
      <c r="E57" s="2396"/>
      <c r="F57" s="2396"/>
      <c r="G57" s="2396"/>
      <c r="H57" s="2395"/>
      <c r="I57" s="1131"/>
      <c r="J57" s="1131"/>
      <c r="K57" s="1131"/>
      <c r="L57" s="1134"/>
      <c r="M57" s="1103"/>
      <c r="N57" s="1103"/>
      <c r="O57" s="451"/>
      <c r="P57" s="313"/>
      <c r="Q57" s="1132"/>
      <c r="R57" s="1188"/>
      <c r="S57" s="1174"/>
      <c r="T57" s="1175"/>
      <c r="U57" s="1176"/>
      <c r="V57" s="1176"/>
      <c r="W57" s="1176"/>
      <c r="X57" s="1176"/>
      <c r="Y57" s="1176"/>
      <c r="Z57" s="1176"/>
      <c r="AA57" s="1176"/>
      <c r="AB57" s="1176"/>
      <c r="AC57" s="1176"/>
      <c r="AD57" s="1176"/>
      <c r="AE57" s="1176"/>
      <c r="AF57" s="1176"/>
      <c r="AG57" s="1176"/>
      <c r="AH57" s="1176"/>
      <c r="AI57" s="1176"/>
      <c r="AJ57" s="1176"/>
      <c r="AK57" s="1176"/>
      <c r="AL57" s="1176"/>
      <c r="AM57" s="1176"/>
      <c r="AN57" s="1176"/>
      <c r="AO57" s="1176"/>
      <c r="AP57" s="1176"/>
      <c r="AQ57" s="1176"/>
      <c r="AR57" s="1176"/>
      <c r="AS57" s="1176"/>
      <c r="AT57" s="1176"/>
      <c r="AU57" s="1177"/>
      <c r="AV57" s="444"/>
      <c r="AW57" s="433"/>
      <c r="AX57" s="433" t="str">
        <f t="shared" si="3"/>
        <v/>
      </c>
      <c r="AY57" s="433"/>
      <c r="AZ57" s="433"/>
      <c r="BA57" s="429">
        <v>1</v>
      </c>
    </row>
    <row r="58" spans="1:53" s="1430" customFormat="1" ht="1.1499999999999999" customHeight="1">
      <c r="A58" s="1131" t="s">
        <v>284</v>
      </c>
      <c r="B58" s="1131" t="s">
        <v>285</v>
      </c>
      <c r="C58" s="1131" t="s">
        <v>286</v>
      </c>
      <c r="D58" s="1102"/>
      <c r="E58" s="2396"/>
      <c r="F58" s="2396"/>
      <c r="G58" s="2395"/>
      <c r="H58" s="1102"/>
      <c r="I58" s="1102"/>
      <c r="J58" s="1102"/>
      <c r="K58" s="1102"/>
      <c r="L58" s="1127"/>
      <c r="M58" s="1103"/>
      <c r="N58" s="1103"/>
      <c r="P58" s="1104"/>
      <c r="Q58" s="1105"/>
      <c r="R58" s="1104"/>
      <c r="S58" s="1110"/>
      <c r="T58" s="1113" t="s">
        <v>498</v>
      </c>
      <c r="U58" s="1112"/>
      <c r="V58" s="1112"/>
      <c r="W58" s="1112"/>
      <c r="X58" s="1112"/>
      <c r="Y58" s="1112"/>
      <c r="Z58" s="1112"/>
      <c r="AA58" s="1112"/>
      <c r="AB58" s="1112"/>
      <c r="AC58" s="1112"/>
      <c r="AD58" s="1112"/>
      <c r="AE58" s="1112"/>
      <c r="AF58" s="1112"/>
      <c r="AG58" s="1112"/>
      <c r="AH58" s="1112"/>
      <c r="AI58" s="1112"/>
      <c r="AJ58" s="1112"/>
      <c r="AK58" s="1112"/>
      <c r="AL58" s="1112"/>
      <c r="AM58" s="1112"/>
      <c r="AN58" s="1112"/>
      <c r="AO58" s="1112"/>
      <c r="AP58" s="1112"/>
      <c r="AQ58" s="1112"/>
      <c r="AR58" s="1112"/>
      <c r="AS58" s="1112"/>
      <c r="AT58" s="1112"/>
      <c r="AU58" s="1112"/>
      <c r="AW58" s="688"/>
      <c r="AX58" s="688" t="str">
        <f t="shared" si="3"/>
        <v>Добавить источник для дифференциации</v>
      </c>
      <c r="AY58" s="688"/>
      <c r="AZ58" s="688"/>
      <c r="BA58" s="451">
        <v>1</v>
      </c>
    </row>
    <row r="59" spans="1:53" s="1430" customFormat="1" ht="1.1499999999999999" customHeight="1">
      <c r="A59" s="1131" t="s">
        <v>284</v>
      </c>
      <c r="B59" s="1131" t="s">
        <v>285</v>
      </c>
      <c r="C59" s="1102"/>
      <c r="D59" s="1102"/>
      <c r="E59" s="2396"/>
      <c r="F59" s="2395"/>
      <c r="G59" s="1102"/>
      <c r="H59" s="1102"/>
      <c r="I59" s="1102"/>
      <c r="J59" s="1102"/>
      <c r="K59" s="1102"/>
      <c r="L59" s="1127"/>
      <c r="M59" s="1109"/>
      <c r="N59" s="1109"/>
      <c r="P59" s="1104"/>
      <c r="Q59" s="1105"/>
      <c r="R59" s="1104"/>
      <c r="S59" s="1110"/>
      <c r="T59" s="1113" t="s">
        <v>499</v>
      </c>
      <c r="U59" s="1112"/>
      <c r="V59" s="1112"/>
      <c r="W59" s="1112"/>
      <c r="X59" s="1112"/>
      <c r="Y59" s="1112"/>
      <c r="Z59" s="1112"/>
      <c r="AA59" s="1112"/>
      <c r="AB59" s="1112"/>
      <c r="AC59" s="1112"/>
      <c r="AD59" s="1112"/>
      <c r="AE59" s="1112"/>
      <c r="AF59" s="1112"/>
      <c r="AG59" s="1112"/>
      <c r="AH59" s="1112"/>
      <c r="AI59" s="1112"/>
      <c r="AJ59" s="1112"/>
      <c r="AK59" s="1112"/>
      <c r="AL59" s="1112"/>
      <c r="AM59" s="1112"/>
      <c r="AN59" s="1112"/>
      <c r="AO59" s="1112"/>
      <c r="AP59" s="1112"/>
      <c r="AQ59" s="1112"/>
      <c r="AR59" s="1112"/>
      <c r="AS59" s="1112"/>
      <c r="AT59" s="1112"/>
      <c r="AU59" s="1112"/>
      <c r="AW59" s="688"/>
      <c r="AX59" s="688" t="str">
        <f t="shared" si="3"/>
        <v>Добавить централизованную систему для дифференциации</v>
      </c>
      <c r="AY59" s="688"/>
      <c r="AZ59" s="688"/>
      <c r="BA59" s="451">
        <v>1</v>
      </c>
    </row>
    <row r="60" spans="1:53" s="1430" customFormat="1" ht="1.1499999999999999" customHeight="1">
      <c r="A60" s="1131" t="s">
        <v>284</v>
      </c>
      <c r="B60" s="1131"/>
      <c r="C60" s="1131"/>
      <c r="D60" s="1131"/>
      <c r="E60" s="2396"/>
      <c r="F60" s="1131"/>
      <c r="G60" s="1131"/>
      <c r="H60" s="1131"/>
      <c r="I60" s="1131"/>
      <c r="J60" s="1131"/>
      <c r="K60" s="1131"/>
      <c r="L60" s="1134"/>
      <c r="M60" s="1109"/>
      <c r="N60" s="1109"/>
      <c r="O60" s="451"/>
      <c r="P60" s="313"/>
      <c r="Q60" s="1132"/>
      <c r="R60" s="313"/>
      <c r="S60" s="1110"/>
      <c r="T60" s="1113" t="s">
        <v>500</v>
      </c>
      <c r="U60" s="1112"/>
      <c r="V60" s="1112"/>
      <c r="W60" s="1112"/>
      <c r="X60" s="1112"/>
      <c r="Y60" s="1112"/>
      <c r="Z60" s="1112"/>
      <c r="AA60" s="1112"/>
      <c r="AB60" s="1112"/>
      <c r="AC60" s="1112"/>
      <c r="AD60" s="1112"/>
      <c r="AE60" s="1112"/>
      <c r="AF60" s="1112"/>
      <c r="AG60" s="1112"/>
      <c r="AH60" s="1112"/>
      <c r="AI60" s="1112"/>
      <c r="AJ60" s="1112"/>
      <c r="AK60" s="1112"/>
      <c r="AL60" s="1112"/>
      <c r="AM60" s="1112"/>
      <c r="AN60" s="1112"/>
      <c r="AO60" s="1112"/>
      <c r="AP60" s="1112"/>
      <c r="AQ60" s="1112"/>
      <c r="AR60" s="1112"/>
      <c r="AS60" s="1112"/>
      <c r="AT60" s="1112"/>
      <c r="AU60" s="1112"/>
      <c r="AW60" s="433"/>
      <c r="AX60" s="433" t="str">
        <f t="shared" si="3"/>
        <v>Добавить территорию для дифференциации</v>
      </c>
      <c r="AY60" s="433"/>
      <c r="AZ60" s="433"/>
      <c r="BA60" s="444">
        <v>1</v>
      </c>
    </row>
    <row r="61" spans="1:53" s="1430" customFormat="1" ht="1.1499999999999999" customHeight="1">
      <c r="A61" s="1131" t="s">
        <v>284</v>
      </c>
      <c r="B61" s="1131"/>
      <c r="C61" s="1131"/>
      <c r="D61" s="1131"/>
      <c r="E61" s="2395"/>
      <c r="F61" s="1131"/>
      <c r="G61" s="1131"/>
      <c r="H61" s="1131"/>
      <c r="I61" s="1131"/>
      <c r="J61" s="1131"/>
      <c r="K61" s="1131"/>
      <c r="L61" s="1134"/>
      <c r="M61" s="1109"/>
      <c r="N61" s="1109"/>
      <c r="O61" s="451"/>
      <c r="P61" s="313"/>
      <c r="Q61" s="1132"/>
      <c r="R61" s="313"/>
      <c r="S61" s="1110"/>
      <c r="T61" s="1113" t="s">
        <v>500</v>
      </c>
      <c r="U61" s="1112"/>
      <c r="V61" s="1112"/>
      <c r="W61" s="1112"/>
      <c r="X61" s="1112"/>
      <c r="Y61" s="1112"/>
      <c r="Z61" s="1112"/>
      <c r="AA61" s="1112"/>
      <c r="AB61" s="1112"/>
      <c r="AC61" s="1112"/>
      <c r="AD61" s="1112"/>
      <c r="AE61" s="1112"/>
      <c r="AF61" s="1112"/>
      <c r="AG61" s="1112"/>
      <c r="AH61" s="1112"/>
      <c r="AI61" s="1112"/>
      <c r="AJ61" s="1112"/>
      <c r="AK61" s="1112"/>
      <c r="AL61" s="1112"/>
      <c r="AM61" s="1112"/>
      <c r="AN61" s="1112"/>
      <c r="AO61" s="1112"/>
      <c r="AP61" s="1112"/>
      <c r="AQ61" s="1112"/>
      <c r="AR61" s="1112"/>
      <c r="AS61" s="1112"/>
      <c r="AT61" s="1112"/>
      <c r="AU61" s="1112"/>
      <c r="AW61" s="433"/>
      <c r="AX61" s="433" t="str">
        <f t="shared" si="3"/>
        <v>Добавить территорию для дифференциации</v>
      </c>
      <c r="AY61" s="433"/>
      <c r="AZ61" s="433"/>
      <c r="BA61" s="444">
        <v>1</v>
      </c>
    </row>
    <row r="62" spans="1:53" s="1430" customFormat="1" ht="1.1499999999999999" customHeight="1">
      <c r="A62" s="1102"/>
      <c r="B62" s="1102"/>
      <c r="C62" s="1102"/>
      <c r="D62" s="1102"/>
      <c r="E62" s="1131"/>
      <c r="F62" s="1102"/>
      <c r="G62" s="1102"/>
      <c r="H62" s="1102"/>
      <c r="I62" s="1102"/>
      <c r="J62" s="1102"/>
      <c r="K62" s="1102"/>
      <c r="L62" s="1127"/>
      <c r="M62" s="1109"/>
      <c r="N62" s="1109"/>
      <c r="P62" s="1104"/>
      <c r="Q62" s="1105"/>
      <c r="R62" s="1104"/>
      <c r="S62" s="1110"/>
      <c r="T62" s="1113" t="s">
        <v>532</v>
      </c>
      <c r="U62" s="1112"/>
      <c r="V62" s="1112"/>
      <c r="W62" s="1112"/>
      <c r="X62" s="1112"/>
      <c r="Y62" s="1112"/>
      <c r="Z62" s="1112"/>
      <c r="AA62" s="1112"/>
      <c r="AB62" s="1112"/>
      <c r="AC62" s="1112"/>
      <c r="AD62" s="1112"/>
      <c r="AE62" s="1112"/>
      <c r="AF62" s="1112"/>
      <c r="AG62" s="1112"/>
      <c r="AH62" s="1112"/>
      <c r="AI62" s="1112"/>
      <c r="AJ62" s="1112"/>
      <c r="AK62" s="1112"/>
      <c r="AL62" s="1112"/>
      <c r="AM62" s="1112"/>
      <c r="AN62" s="1112"/>
      <c r="AO62" s="1112"/>
      <c r="AP62" s="1112"/>
      <c r="AQ62" s="1112"/>
      <c r="AR62" s="1112"/>
      <c r="AS62" s="1112"/>
      <c r="AT62" s="1112"/>
      <c r="AU62" s="1112"/>
      <c r="AW62" s="688"/>
      <c r="AX62" s="688" t="str">
        <f t="shared" si="3"/>
        <v>Добавить наименование тарифа</v>
      </c>
      <c r="AY62" s="688"/>
      <c r="AZ62" s="688"/>
      <c r="BA62" s="451">
        <v>1</v>
      </c>
    </row>
    <row r="63" spans="1:53" ht="11.45" customHeight="1">
      <c r="M63" s="961"/>
      <c r="N63" s="961"/>
      <c r="O63" s="469"/>
      <c r="P63" s="961"/>
      <c r="Q63" s="961"/>
      <c r="R63" s="956"/>
      <c r="S63" s="956"/>
      <c r="AV63" s="956"/>
      <c r="AW63" s="956"/>
      <c r="AX63" s="956"/>
      <c r="AY63" s="956"/>
      <c r="AZ63" s="956"/>
      <c r="BA63" s="956">
        <v>11</v>
      </c>
    </row>
    <row r="64" spans="1:53" ht="19.899999999999999" customHeight="1">
      <c r="O64" s="469"/>
      <c r="S64" s="1041"/>
      <c r="T64" s="2394"/>
      <c r="U64" s="2394"/>
      <c r="V64" s="2394"/>
      <c r="W64" s="2394"/>
      <c r="X64" s="2394"/>
      <c r="Y64" s="2394"/>
      <c r="Z64" s="2394"/>
      <c r="AA64" s="2394"/>
      <c r="AB64" s="2394"/>
      <c r="AC64" s="2394"/>
      <c r="AD64" s="2394"/>
      <c r="AE64" s="2394"/>
      <c r="AF64" s="2394"/>
      <c r="AG64" s="2394"/>
      <c r="AH64" s="2394"/>
      <c r="AI64" s="2394"/>
      <c r="AJ64" s="2394"/>
      <c r="AK64" s="2394"/>
      <c r="AL64" s="2394"/>
      <c r="AM64" s="2394"/>
      <c r="AN64" s="2394"/>
      <c r="AO64" s="2394"/>
      <c r="AP64" s="2394"/>
      <c r="AQ64" s="2394"/>
      <c r="AR64" s="2394"/>
      <c r="AS64" s="2394"/>
      <c r="AT64" s="2394"/>
      <c r="AU64" s="2394"/>
      <c r="BA64" s="956">
        <v>19</v>
      </c>
    </row>
    <row r="65" spans="1:53" ht="21" customHeight="1">
      <c r="O65" s="469"/>
      <c r="T65" s="2394"/>
      <c r="U65" s="2394"/>
      <c r="V65" s="2394"/>
      <c r="W65" s="2394"/>
      <c r="X65" s="2394"/>
      <c r="Y65" s="2394"/>
      <c r="Z65" s="2394"/>
      <c r="AA65" s="2394"/>
      <c r="AB65" s="2394"/>
      <c r="AC65" s="2394"/>
      <c r="AD65" s="2394"/>
      <c r="AE65" s="2394"/>
      <c r="AF65" s="2394"/>
      <c r="AG65" s="2394"/>
      <c r="AH65" s="2394"/>
      <c r="AI65" s="2394"/>
      <c r="AJ65" s="2394"/>
      <c r="AK65" s="2394"/>
      <c r="AL65" s="2394"/>
      <c r="AM65" s="2394"/>
      <c r="AN65" s="2394"/>
      <c r="AO65" s="2394"/>
      <c r="AP65" s="2394"/>
      <c r="AQ65" s="2394"/>
      <c r="AR65" s="2394"/>
      <c r="AS65" s="2394"/>
      <c r="AT65" s="2394"/>
      <c r="AU65" s="2394"/>
      <c r="BA65" s="956">
        <v>20</v>
      </c>
    </row>
    <row r="66" spans="1:53" ht="14.65" customHeight="1">
      <c r="O66" s="469"/>
      <c r="T66" s="1121"/>
      <c r="U66" s="1121"/>
      <c r="V66" s="1121"/>
      <c r="W66" s="1121"/>
      <c r="X66" s="1121"/>
      <c r="Y66" s="1121"/>
      <c r="Z66" s="1121"/>
      <c r="AA66" s="1121"/>
      <c r="AB66" s="1121"/>
      <c r="AC66" s="1121"/>
      <c r="AD66" s="1121"/>
      <c r="AE66" s="1121"/>
      <c r="AF66" s="1121"/>
      <c r="AG66" s="1121"/>
      <c r="AH66" s="1121"/>
      <c r="AI66" s="1121"/>
      <c r="AJ66" s="1121"/>
      <c r="AK66" s="1121"/>
      <c r="AL66" s="1121"/>
      <c r="AM66" s="1121"/>
      <c r="AN66" s="1121"/>
      <c r="AO66" s="1121"/>
      <c r="AP66" s="1121"/>
      <c r="AQ66" s="1121"/>
      <c r="AR66" s="1121"/>
      <c r="AS66" s="1121"/>
      <c r="AT66" s="1121"/>
      <c r="AU66" s="1121"/>
      <c r="BA66" s="956">
        <v>14</v>
      </c>
    </row>
    <row r="67" spans="1:53" ht="19.899999999999999" customHeight="1">
      <c r="O67" s="469"/>
      <c r="T67" s="2394"/>
      <c r="U67" s="2394"/>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R67" s="2394"/>
      <c r="AS67" s="2394"/>
      <c r="AT67" s="2394"/>
      <c r="AU67" s="2394"/>
      <c r="BA67" s="956">
        <v>19</v>
      </c>
    </row>
    <row r="68" spans="1:53" ht="16.899999999999999" customHeight="1">
      <c r="O68" s="469"/>
      <c r="T68" s="2394"/>
      <c r="U68" s="2394"/>
      <c r="V68" s="2394"/>
      <c r="W68" s="2394"/>
      <c r="X68" s="2394"/>
      <c r="Y68" s="2394"/>
      <c r="Z68" s="2394"/>
      <c r="AA68" s="2394"/>
      <c r="AB68" s="2394"/>
      <c r="AC68" s="2394"/>
      <c r="AD68" s="2394"/>
      <c r="AE68" s="2394"/>
      <c r="AF68" s="2394"/>
      <c r="AG68" s="2394"/>
      <c r="AH68" s="2394"/>
      <c r="AI68" s="2394"/>
      <c r="AJ68" s="2394"/>
      <c r="AK68" s="2394"/>
      <c r="AL68" s="2394"/>
      <c r="AM68" s="2394"/>
      <c r="AN68" s="2394"/>
      <c r="AO68" s="2394"/>
      <c r="AP68" s="2394"/>
      <c r="AQ68" s="2394"/>
      <c r="AR68" s="2394"/>
      <c r="AS68" s="2394"/>
      <c r="AT68" s="2394"/>
      <c r="AU68" s="2394"/>
      <c r="BA68" s="956">
        <v>16</v>
      </c>
    </row>
    <row r="69" spans="1:53" ht="14.65" customHeight="1">
      <c r="O69" s="469"/>
      <c r="BA69" s="956">
        <v>14</v>
      </c>
    </row>
    <row r="70" spans="1:53" ht="22.5" hidden="1" customHeight="1">
      <c r="A70" s="961" t="s">
        <v>69</v>
      </c>
      <c r="B70" s="961">
        <v>0</v>
      </c>
      <c r="C70" s="961">
        <v>0</v>
      </c>
      <c r="D70" s="961">
        <v>0</v>
      </c>
      <c r="E70" s="961">
        <v>0</v>
      </c>
      <c r="F70" s="961">
        <v>0</v>
      </c>
      <c r="G70" s="961">
        <v>0</v>
      </c>
      <c r="H70" s="961">
        <v>0</v>
      </c>
      <c r="I70" s="961">
        <v>0</v>
      </c>
      <c r="J70" s="961">
        <v>0</v>
      </c>
      <c r="K70" s="961">
        <v>0</v>
      </c>
      <c r="L70" s="1117">
        <v>0</v>
      </c>
      <c r="M70" s="1150">
        <v>0</v>
      </c>
      <c r="N70" s="1150">
        <v>0</v>
      </c>
      <c r="O70" s="1150">
        <v>0</v>
      </c>
      <c r="P70" s="1150">
        <v>3</v>
      </c>
      <c r="Q70" s="1159">
        <v>3</v>
      </c>
      <c r="R70" s="278">
        <v>3</v>
      </c>
      <c r="S70" s="512">
        <v>12</v>
      </c>
      <c r="T70" s="956">
        <v>31</v>
      </c>
      <c r="U70" s="956">
        <v>0</v>
      </c>
      <c r="V70" s="956">
        <v>0</v>
      </c>
      <c r="W70" s="956">
        <v>0</v>
      </c>
      <c r="X70" s="956">
        <v>0</v>
      </c>
      <c r="Y70" s="956">
        <v>0</v>
      </c>
      <c r="Z70" s="956">
        <v>0</v>
      </c>
      <c r="AA70" s="956">
        <v>0</v>
      </c>
      <c r="AB70" s="956">
        <v>5</v>
      </c>
      <c r="AC70" s="956">
        <v>3</v>
      </c>
      <c r="AD70" s="956">
        <v>3</v>
      </c>
      <c r="AE70" s="956">
        <v>24</v>
      </c>
      <c r="AF70" s="956">
        <v>3</v>
      </c>
      <c r="AG70" s="956">
        <v>3</v>
      </c>
      <c r="AH70" s="956">
        <v>3</v>
      </c>
      <c r="AI70" s="956">
        <v>24</v>
      </c>
      <c r="AJ70" s="956">
        <v>3</v>
      </c>
      <c r="AK70" s="956">
        <v>3</v>
      </c>
      <c r="AL70" s="956">
        <v>3</v>
      </c>
      <c r="AM70" s="956">
        <v>18</v>
      </c>
      <c r="AN70" s="956">
        <v>21</v>
      </c>
      <c r="AO70" s="956">
        <v>21</v>
      </c>
      <c r="AP70" s="956">
        <v>11</v>
      </c>
      <c r="AQ70" s="956">
        <v>3</v>
      </c>
      <c r="AR70" s="956">
        <v>11</v>
      </c>
      <c r="AS70" s="956">
        <v>8</v>
      </c>
      <c r="AT70" s="956">
        <v>4</v>
      </c>
      <c r="AU70" s="956">
        <v>115</v>
      </c>
      <c r="AV70" s="444">
        <v>10</v>
      </c>
      <c r="AW70" s="444">
        <v>10</v>
      </c>
      <c r="AX70" s="444">
        <v>10</v>
      </c>
      <c r="AY70" s="444">
        <v>10</v>
      </c>
      <c r="AZ70" s="444">
        <v>10</v>
      </c>
      <c r="BA70" s="956">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74"/>
  <sheetViews>
    <sheetView showGridLines="0" zoomScale="90" workbookViewId="0">
      <pane xSplit="6" ySplit="11" topLeftCell="G24" activePane="bottomRight" state="frozen"/>
      <selection pane="topRight" activeCell="G1" sqref="G1"/>
      <selection pane="bottomLeft" activeCell="A12" sqref="A12"/>
      <selection pane="bottomRight" activeCell="G26" sqref="G26"/>
    </sheetView>
  </sheetViews>
  <sheetFormatPr defaultColWidth="9.140625" defaultRowHeight="14.25" customHeight="1"/>
  <cols>
    <col min="1" max="1" width="8" style="1423" hidden="1" customWidth="1"/>
    <col min="2" max="2" width="6" style="1154" hidden="1" customWidth="1"/>
    <col min="3" max="3" width="3" style="1423" customWidth="1"/>
    <col min="4" max="4" width="3" style="1598" customWidth="1"/>
    <col min="5" max="5" width="6" style="1423" customWidth="1"/>
    <col min="6" max="6" width="2.7109375" style="1423" hidden="1" customWidth="1"/>
    <col min="7" max="7" width="46.7109375" style="1423" customWidth="1"/>
    <col min="8" max="8" width="42" style="1423" customWidth="1"/>
    <col min="9" max="9" width="14" style="1423" customWidth="1"/>
    <col min="10" max="10" width="3" style="1412" customWidth="1"/>
    <col min="11" max="13" width="9.140625" style="1412" hidden="1"/>
    <col min="14" max="14" width="25.7109375" style="1412" hidden="1" customWidth="1"/>
    <col min="15" max="15" width="14.42578125" style="1412" hidden="1" customWidth="1"/>
    <col min="16" max="19" width="9.140625" style="159" hidden="1"/>
    <col min="20" max="27" width="9.140625" style="1423" hidden="1"/>
    <col min="28" max="28" width="8" style="1423" customWidth="1"/>
    <col min="29" max="29" width="9.140625" style="1423" hidden="1"/>
  </cols>
  <sheetData>
    <row r="1" spans="1:29" s="1430" customFormat="1" ht="5.25" hidden="1" customHeight="1">
      <c r="A1" s="429"/>
      <c r="B1" s="444"/>
      <c r="C1" s="444"/>
      <c r="D1" s="155"/>
      <c r="F1" s="444"/>
      <c r="G1" s="181" t="s">
        <v>70</v>
      </c>
      <c r="H1" s="427" t="s">
        <v>71</v>
      </c>
      <c r="I1" s="161" t="s">
        <v>72</v>
      </c>
      <c r="J1" s="181" t="s">
        <v>70</v>
      </c>
      <c r="K1" s="181"/>
      <c r="L1" s="181"/>
      <c r="M1" s="181"/>
      <c r="N1" s="182"/>
      <c r="O1" s="181"/>
      <c r="P1" s="181"/>
      <c r="Q1" s="181"/>
      <c r="R1" s="181"/>
      <c r="S1" s="181"/>
      <c r="T1" s="161"/>
      <c r="U1" s="161"/>
      <c r="V1" s="161"/>
      <c r="W1" s="161"/>
      <c r="X1" s="161"/>
      <c r="Y1" s="161"/>
      <c r="Z1" s="161"/>
      <c r="AA1" s="161"/>
      <c r="AB1" s="161"/>
      <c r="AC1" s="86" t="s">
        <v>1</v>
      </c>
    </row>
    <row r="2" spans="1:29" s="1200" customFormat="1" ht="11.25" customHeight="1">
      <c r="A2" s="730"/>
      <c r="B2" s="162"/>
      <c r="C2" s="162"/>
      <c r="D2" s="163"/>
      <c r="E2" s="162"/>
      <c r="F2" s="162"/>
      <c r="G2" s="162"/>
      <c r="H2" s="162"/>
      <c r="I2" s="162"/>
      <c r="J2" s="181"/>
      <c r="K2" s="181"/>
      <c r="L2" s="181"/>
      <c r="M2" s="181"/>
      <c r="N2" s="182"/>
      <c r="O2" s="181"/>
      <c r="P2" s="164"/>
      <c r="Q2" s="164"/>
      <c r="R2" s="164"/>
      <c r="S2" s="164"/>
      <c r="T2" s="163"/>
      <c r="U2" s="163"/>
      <c r="V2" s="163"/>
      <c r="W2" s="163"/>
      <c r="X2" s="163"/>
      <c r="Y2" s="163"/>
      <c r="Z2" s="163"/>
      <c r="AA2" s="163"/>
      <c r="AB2" s="163"/>
      <c r="AC2" s="165">
        <v>11</v>
      </c>
    </row>
    <row r="3" spans="1:29" s="1578" customFormat="1" ht="3" customHeight="1">
      <c r="A3" s="663"/>
      <c r="B3" s="350"/>
      <c r="C3" s="663"/>
      <c r="D3" s="98"/>
      <c r="E3" s="41"/>
      <c r="F3" s="442"/>
      <c r="G3" s="41"/>
      <c r="H3" s="41"/>
      <c r="I3" s="100"/>
      <c r="J3" s="181"/>
      <c r="K3" s="89"/>
      <c r="L3" s="89"/>
      <c r="M3" s="89"/>
      <c r="N3" s="160"/>
      <c r="O3" s="89"/>
      <c r="P3" s="159"/>
      <c r="Q3" s="159"/>
      <c r="R3" s="159"/>
      <c r="S3" s="159"/>
      <c r="AC3" s="53">
        <v>3</v>
      </c>
    </row>
    <row r="4" spans="1:29" s="1578" customFormat="1" ht="27.4" customHeight="1">
      <c r="A4" s="663"/>
      <c r="B4" s="350"/>
      <c r="C4" s="663"/>
      <c r="D4" s="98"/>
      <c r="E4" s="2251" t="str">
        <f>NameTemplatesInListMO</f>
        <v>Перечень муниципальных районов и муниципальных образований (территорий оказания услуг)</v>
      </c>
      <c r="F4" s="2251"/>
      <c r="G4" s="2251"/>
      <c r="H4" s="2251"/>
      <c r="I4" s="2251"/>
      <c r="J4" s="181"/>
      <c r="K4" s="89"/>
      <c r="L4" s="89"/>
      <c r="M4" s="89"/>
      <c r="N4" s="160"/>
      <c r="O4" s="89"/>
      <c r="P4" s="159"/>
      <c r="Q4" s="159"/>
      <c r="R4" s="159"/>
      <c r="S4" s="159"/>
      <c r="AC4" s="53">
        <v>26</v>
      </c>
    </row>
    <row r="5" spans="1:29" s="1578" customFormat="1" ht="3" customHeight="1">
      <c r="A5" s="663"/>
      <c r="B5" s="350"/>
      <c r="C5" s="663"/>
      <c r="D5" s="98"/>
      <c r="E5" s="41"/>
      <c r="F5" s="442"/>
      <c r="G5" s="101"/>
      <c r="H5" s="101"/>
      <c r="I5" s="102"/>
      <c r="J5" s="89"/>
      <c r="K5" s="89"/>
      <c r="L5" s="89"/>
      <c r="M5" s="89"/>
      <c r="N5" s="160"/>
      <c r="O5" s="89"/>
      <c r="P5" s="159"/>
      <c r="Q5" s="159"/>
      <c r="R5" s="159"/>
      <c r="S5" s="159"/>
      <c r="AC5" s="53">
        <v>3</v>
      </c>
    </row>
    <row r="6" spans="1:29" s="1578" customFormat="1" ht="20.25" hidden="1" customHeight="1">
      <c r="A6" s="736"/>
      <c r="B6" s="732"/>
      <c r="C6" s="103"/>
      <c r="D6" s="98"/>
      <c r="E6" s="679"/>
      <c r="F6" s="679"/>
      <c r="G6" s="101"/>
      <c r="H6" s="104"/>
      <c r="I6" s="104"/>
      <c r="J6" s="89"/>
      <c r="K6" s="89"/>
      <c r="L6" s="89"/>
      <c r="M6" s="89"/>
      <c r="N6" s="160"/>
      <c r="O6" s="89"/>
      <c r="P6" s="159"/>
      <c r="Q6" s="159"/>
      <c r="R6" s="159"/>
      <c r="S6" s="159"/>
      <c r="AC6" s="53">
        <v>0</v>
      </c>
    </row>
    <row r="7" spans="1:29" ht="25.5" hidden="1" customHeight="1">
      <c r="AC7" s="21">
        <v>0</v>
      </c>
    </row>
    <row r="8" spans="1:29" s="1578" customFormat="1" ht="14.65" customHeight="1">
      <c r="A8" s="663"/>
      <c r="B8" s="350"/>
      <c r="C8" s="663"/>
      <c r="D8" s="98"/>
      <c r="E8" s="2247" t="s">
        <v>73</v>
      </c>
      <c r="F8" s="2252"/>
      <c r="G8" s="2246"/>
      <c r="H8" s="2253" t="s">
        <v>74</v>
      </c>
      <c r="I8" s="2253"/>
      <c r="J8" s="89"/>
      <c r="K8" s="89"/>
      <c r="L8" s="89"/>
      <c r="M8" s="89"/>
      <c r="N8" s="160"/>
      <c r="O8" s="89"/>
      <c r="P8" s="159"/>
      <c r="Q8" s="159"/>
      <c r="R8" s="159"/>
      <c r="S8" s="159"/>
      <c r="AC8" s="53">
        <v>14</v>
      </c>
    </row>
    <row r="9" spans="1:29" s="1578" customFormat="1" ht="21" customHeight="1">
      <c r="A9" s="663"/>
      <c r="B9" s="350"/>
      <c r="C9" s="663"/>
      <c r="D9" s="98"/>
      <c r="E9" s="677" t="s">
        <v>75</v>
      </c>
      <c r="F9" s="677"/>
      <c r="G9" s="106" t="s">
        <v>76</v>
      </c>
      <c r="H9" s="106" t="s">
        <v>76</v>
      </c>
      <c r="I9" s="106" t="s">
        <v>72</v>
      </c>
      <c r="J9" s="89"/>
      <c r="K9" s="89"/>
      <c r="L9" s="89"/>
      <c r="M9" s="89"/>
      <c r="N9" s="160"/>
      <c r="O9" s="89"/>
      <c r="P9" s="159"/>
      <c r="Q9" s="159"/>
      <c r="R9" s="159"/>
      <c r="S9" s="159"/>
      <c r="AC9" s="53">
        <v>20</v>
      </c>
    </row>
    <row r="10" spans="1:29" ht="11.45" customHeight="1">
      <c r="D10" s="110"/>
      <c r="E10" s="678" t="s">
        <v>77</v>
      </c>
      <c r="F10" s="678"/>
      <c r="G10" s="157" t="s">
        <v>78</v>
      </c>
      <c r="H10" s="157" t="s">
        <v>79</v>
      </c>
      <c r="I10" s="157" t="s">
        <v>80</v>
      </c>
      <c r="J10" s="120"/>
      <c r="K10" s="120"/>
      <c r="L10" s="120"/>
      <c r="M10" s="120"/>
      <c r="N10" s="105"/>
      <c r="O10" s="120"/>
      <c r="P10" s="158"/>
      <c r="Q10" s="158"/>
      <c r="R10" s="158"/>
      <c r="S10" s="158"/>
      <c r="AC10" s="21">
        <v>11</v>
      </c>
    </row>
    <row r="11" spans="1:29" s="1578" customFormat="1" ht="1.1499999999999999" customHeight="1">
      <c r="A11" s="663"/>
      <c r="B11" s="350"/>
      <c r="C11" s="663"/>
      <c r="D11" s="98"/>
      <c r="E11" s="689"/>
      <c r="F11" s="689"/>
      <c r="G11" s="107"/>
      <c r="H11" s="107"/>
      <c r="I11" s="109"/>
      <c r="J11" s="183" t="s">
        <v>81</v>
      </c>
      <c r="K11" s="89"/>
      <c r="L11" s="89"/>
      <c r="M11" s="89" t="s">
        <v>82</v>
      </c>
      <c r="N11" s="160" t="s">
        <v>83</v>
      </c>
      <c r="O11" s="89" t="s">
        <v>84</v>
      </c>
      <c r="P11" s="159"/>
      <c r="Q11" s="159"/>
      <c r="R11" s="159"/>
      <c r="S11" s="159"/>
      <c r="AC11" s="53">
        <v>1</v>
      </c>
    </row>
    <row r="12" spans="1:29" s="1578" customFormat="1" ht="15" customHeight="1">
      <c r="A12" s="2250">
        <v>1</v>
      </c>
      <c r="B12" s="350"/>
      <c r="C12" s="663"/>
      <c r="D12" s="681"/>
      <c r="E12" s="153">
        <f>A12</f>
        <v>1</v>
      </c>
      <c r="F12" s="701" t="s">
        <v>85</v>
      </c>
      <c r="G12" s="472" t="str">
        <f>"Территория "&amp;E12</f>
        <v>Территория 1</v>
      </c>
      <c r="H12" s="691"/>
      <c r="I12" s="691"/>
      <c r="J12" s="688"/>
      <c r="K12" s="433"/>
      <c r="L12" s="433"/>
      <c r="M12" s="433"/>
      <c r="N12" s="160"/>
      <c r="O12" s="433"/>
      <c r="P12" s="159"/>
      <c r="Q12" s="159"/>
      <c r="R12" s="159"/>
      <c r="S12" s="159"/>
      <c r="AC12" s="440">
        <v>14</v>
      </c>
    </row>
    <row r="13" spans="1:29" s="1606" customFormat="1" ht="15.75" customHeight="1">
      <c r="A13" s="2250"/>
      <c r="B13" s="350">
        <v>1</v>
      </c>
      <c r="C13" s="350"/>
      <c r="D13" s="699"/>
      <c r="E13" s="680" t="str">
        <f>A12&amp;"."&amp;B13</f>
        <v>1.1</v>
      </c>
      <c r="F13" s="694" t="s">
        <v>80</v>
      </c>
      <c r="G13" s="692" t="s">
        <v>86</v>
      </c>
      <c r="H13" s="692" t="s">
        <v>86</v>
      </c>
      <c r="I13" s="690" t="s">
        <v>87</v>
      </c>
      <c r="J13" s="433" t="e">
        <f ca="1">MERGEVALUE(G13)</f>
        <v>#NAME?</v>
      </c>
      <c r="K13" s="444"/>
      <c r="L13" s="444"/>
      <c r="M13" s="433" t="str">
        <f t="array" ref="M13">IF(ISERROR(MATCH(MID(N13,1,250),MID(note_ter,1,250),0)),"n","y")</f>
        <v>n</v>
      </c>
      <c r="N13" s="444"/>
      <c r="O13" s="433" t="str">
        <f>H13&amp;"("&amp;I13&amp;")"</f>
        <v>Вяземский муниципальный округ(66505000)</v>
      </c>
      <c r="P13" s="350"/>
      <c r="Q13" s="350"/>
      <c r="R13" s="353"/>
      <c r="S13" s="350"/>
      <c r="T13" s="350"/>
      <c r="U13" s="350"/>
      <c r="V13" s="355"/>
      <c r="W13" s="355"/>
      <c r="X13" s="352"/>
      <c r="Y13" s="352"/>
      <c r="Z13" s="352"/>
      <c r="AA13" s="352"/>
      <c r="AB13" s="352"/>
      <c r="AC13" s="356">
        <v>15</v>
      </c>
    </row>
    <row r="14" spans="1:29" s="1606" customFormat="1" ht="15.75" customHeight="1">
      <c r="A14" s="2250"/>
      <c r="B14" s="350"/>
      <c r="C14" s="345"/>
      <c r="D14" s="700"/>
      <c r="E14" s="354"/>
      <c r="F14" s="111"/>
      <c r="G14" s="348" t="s">
        <v>88</v>
      </c>
      <c r="H14" s="121"/>
      <c r="I14" s="357"/>
      <c r="J14" s="444"/>
      <c r="K14" s="444"/>
      <c r="L14" s="444"/>
      <c r="M14" s="444"/>
      <c r="N14" s="433"/>
      <c r="O14" s="444"/>
      <c r="P14" s="350"/>
      <c r="Q14" s="350"/>
      <c r="R14" s="353"/>
      <c r="S14" s="350"/>
      <c r="T14" s="350"/>
      <c r="U14" s="350"/>
      <c r="V14" s="355"/>
      <c r="W14" s="355"/>
      <c r="X14" s="352"/>
      <c r="Y14" s="352"/>
      <c r="Z14" s="352"/>
      <c r="AA14" s="352"/>
      <c r="AB14" s="352"/>
      <c r="AC14" s="356">
        <v>15</v>
      </c>
    </row>
    <row r="15" spans="1:29" ht="15" customHeight="1">
      <c r="A15" s="2254" t="s">
        <v>89</v>
      </c>
      <c r="B15" s="961"/>
      <c r="C15" s="700" t="s">
        <v>90</v>
      </c>
      <c r="D15" s="1577"/>
      <c r="E15" s="1564" t="str">
        <f>A15</f>
        <v>2</v>
      </c>
      <c r="F15" s="703" t="s">
        <v>91</v>
      </c>
      <c r="G15" s="472" t="str">
        <f>"Территория "&amp;E15</f>
        <v>Территория 2</v>
      </c>
      <c r="H15" s="691"/>
      <c r="I15" s="691"/>
      <c r="J15" s="688"/>
      <c r="N15" s="160"/>
      <c r="T15" s="1578"/>
      <c r="U15" s="1578"/>
      <c r="V15" s="1578"/>
      <c r="W15" s="1578"/>
      <c r="X15" s="1578"/>
      <c r="Y15" s="1578"/>
      <c r="Z15" s="1578"/>
      <c r="AA15" s="1578"/>
      <c r="AB15" s="1578"/>
      <c r="AC15" s="1578"/>
    </row>
    <row r="16" spans="1:29" ht="15" customHeight="1">
      <c r="A16" s="2254"/>
      <c r="B16" s="961">
        <v>1</v>
      </c>
      <c r="C16" s="961"/>
      <c r="D16" s="699"/>
      <c r="E16" s="1572" t="str">
        <f>A15&amp;"."&amp;B16</f>
        <v>2.1</v>
      </c>
      <c r="F16" s="702" t="s">
        <v>80</v>
      </c>
      <c r="G16" s="692" t="s">
        <v>86</v>
      </c>
      <c r="H16" s="692" t="s">
        <v>86</v>
      </c>
      <c r="I16" s="690" t="s">
        <v>87</v>
      </c>
      <c r="K16" s="1424"/>
      <c r="L16" s="1424"/>
      <c r="M16" s="1412" t="str">
        <f t="array" ref="M16">IF(ISERROR(MATCH(MID(N16,1,250),MID(note_ter,1,250),0)),"n","y")</f>
        <v>n</v>
      </c>
      <c r="N16" s="1424"/>
      <c r="O16" s="1412" t="str">
        <f>H16&amp;"("&amp;I16&amp;")"</f>
        <v>Вяземский муниципальный округ(66505000)</v>
      </c>
      <c r="P16" s="961"/>
      <c r="Q16" s="961"/>
      <c r="R16" s="353"/>
      <c r="S16" s="961"/>
      <c r="T16" s="961"/>
      <c r="U16" s="961"/>
      <c r="V16" s="355"/>
      <c r="W16" s="355"/>
      <c r="X16" s="352"/>
      <c r="Y16" s="352"/>
      <c r="Z16" s="352"/>
      <c r="AA16" s="352"/>
      <c r="AB16" s="352"/>
      <c r="AC16" s="352"/>
    </row>
    <row r="17" spans="1:29" ht="15" customHeight="1">
      <c r="A17" s="2254"/>
      <c r="B17" s="1154" t="s">
        <v>89</v>
      </c>
      <c r="C17" s="1154"/>
      <c r="D17" s="699" t="s">
        <v>90</v>
      </c>
      <c r="E17" s="1631" t="str">
        <f>A15&amp;"."&amp;B17</f>
        <v>2.2</v>
      </c>
      <c r="F17" s="1636" t="s">
        <v>92</v>
      </c>
      <c r="G17" s="1640" t="s">
        <v>93</v>
      </c>
      <c r="H17" s="1640" t="s">
        <v>93</v>
      </c>
      <c r="I17" s="1638" t="s">
        <v>94</v>
      </c>
      <c r="K17" s="1424"/>
      <c r="L17" s="1424"/>
      <c r="M17" s="1412" t="str">
        <f t="array" ref="M17">IF(ISERROR(MATCH(MID(N17,1,250),MID(note_ter,1,250),0)),"n","y")</f>
        <v>n</v>
      </c>
      <c r="N17" s="1424"/>
      <c r="O17" s="1412" t="str">
        <f>H17&amp;"("&amp;I17&amp;")"</f>
        <v>Гагаринский муниципальный округ(66508000)</v>
      </c>
      <c r="P17" s="1154"/>
      <c r="Q17" s="1154"/>
      <c r="R17" s="353"/>
      <c r="S17" s="1154"/>
      <c r="T17" s="1154"/>
      <c r="U17" s="1154"/>
      <c r="V17" s="732"/>
      <c r="W17" s="732"/>
      <c r="X17" s="558"/>
      <c r="Y17" s="558"/>
      <c r="Z17" s="558"/>
      <c r="AA17" s="558"/>
      <c r="AB17" s="558"/>
      <c r="AC17" s="558"/>
    </row>
    <row r="18" spans="1:29" ht="15" customHeight="1">
      <c r="A18" s="2254"/>
      <c r="B18" s="1154" t="s">
        <v>77</v>
      </c>
      <c r="C18" s="1154"/>
      <c r="D18" s="699" t="s">
        <v>90</v>
      </c>
      <c r="E18" s="1631" t="str">
        <f>A15&amp;"."&amp;B18</f>
        <v>2.3</v>
      </c>
      <c r="F18" s="1636" t="s">
        <v>95</v>
      </c>
      <c r="G18" s="1640" t="s">
        <v>96</v>
      </c>
      <c r="H18" s="1640" t="s">
        <v>96</v>
      </c>
      <c r="I18" s="1638" t="s">
        <v>97</v>
      </c>
      <c r="K18" s="1424"/>
      <c r="L18" s="1424"/>
      <c r="M18" s="1412" t="str">
        <f t="array" ref="M18">IF(ISERROR(MATCH(MID(N18,1,250),MID(note_ter,1,250),0)),"n","y")</f>
        <v>n</v>
      </c>
      <c r="N18" s="1424"/>
      <c r="O18" s="1412" t="str">
        <f>H18&amp;"("&amp;I18&amp;")"</f>
        <v>Новодугинский муниципальный округ(66530000)</v>
      </c>
      <c r="P18" s="1154"/>
      <c r="Q18" s="1154"/>
      <c r="R18" s="353"/>
      <c r="S18" s="1154"/>
      <c r="T18" s="1154"/>
      <c r="U18" s="1154"/>
      <c r="V18" s="732"/>
      <c r="W18" s="732"/>
      <c r="X18" s="558"/>
      <c r="Y18" s="558"/>
      <c r="Z18" s="558"/>
      <c r="AA18" s="558"/>
      <c r="AB18" s="558"/>
      <c r="AC18" s="558"/>
    </row>
    <row r="19" spans="1:29" ht="15" customHeight="1">
      <c r="A19" s="2254"/>
      <c r="B19" s="1154" t="s">
        <v>78</v>
      </c>
      <c r="C19" s="1154"/>
      <c r="D19" s="699" t="s">
        <v>90</v>
      </c>
      <c r="E19" s="1631" t="str">
        <f>A15&amp;"."&amp;B19</f>
        <v>2.4</v>
      </c>
      <c r="F19" s="1636" t="s">
        <v>98</v>
      </c>
      <c r="G19" s="1640" t="s">
        <v>99</v>
      </c>
      <c r="H19" s="1640" t="s">
        <v>99</v>
      </c>
      <c r="I19" s="1638" t="s">
        <v>100</v>
      </c>
      <c r="K19" s="1424"/>
      <c r="L19" s="1424"/>
      <c r="M19" s="1412" t="str">
        <f t="array" ref="M19">IF(ISERROR(MATCH(MID(N19,1,250),MID(note_ter,1,250),0)),"n","y")</f>
        <v>n</v>
      </c>
      <c r="N19" s="1424"/>
      <c r="O19" s="1412" t="str">
        <f>H19&amp;"("&amp;I19&amp;")"</f>
        <v>Сычевский муниципальный округ(66546000)</v>
      </c>
      <c r="P19" s="1154"/>
      <c r="Q19" s="1154"/>
      <c r="R19" s="353"/>
      <c r="S19" s="1154"/>
      <c r="T19" s="1154"/>
      <c r="U19" s="1154"/>
      <c r="V19" s="732"/>
      <c r="W19" s="732"/>
      <c r="X19" s="558"/>
      <c r="Y19" s="558"/>
      <c r="Z19" s="558"/>
      <c r="AA19" s="558"/>
      <c r="AB19" s="558"/>
      <c r="AC19" s="558"/>
    </row>
    <row r="20" spans="1:29" ht="15" customHeight="1">
      <c r="A20" s="2254"/>
      <c r="B20" s="961"/>
      <c r="C20" s="345"/>
      <c r="D20" s="700"/>
      <c r="E20" s="354"/>
      <c r="F20" s="111"/>
      <c r="G20" s="348" t="s">
        <v>88</v>
      </c>
      <c r="H20" s="121"/>
      <c r="I20" s="357"/>
      <c r="J20" s="1424"/>
      <c r="K20" s="1424"/>
      <c r="L20" s="1424"/>
      <c r="M20" s="1424"/>
      <c r="O20" s="1424"/>
      <c r="P20" s="961"/>
      <c r="Q20" s="961"/>
      <c r="R20" s="353"/>
      <c r="S20" s="961"/>
      <c r="T20" s="961"/>
      <c r="U20" s="961"/>
      <c r="V20" s="355"/>
      <c r="W20" s="355"/>
      <c r="X20" s="352"/>
      <c r="Y20" s="352"/>
      <c r="Z20" s="352"/>
      <c r="AA20" s="352"/>
      <c r="AB20" s="352"/>
      <c r="AC20" s="352"/>
    </row>
    <row r="21" spans="1:29" ht="15" customHeight="1">
      <c r="A21" s="2254" t="s">
        <v>77</v>
      </c>
      <c r="B21" s="961"/>
      <c r="C21" s="700" t="s">
        <v>90</v>
      </c>
      <c r="D21" s="1577"/>
      <c r="E21" s="1564" t="str">
        <f>A21</f>
        <v>3</v>
      </c>
      <c r="F21" s="703" t="s">
        <v>101</v>
      </c>
      <c r="G21" s="472" t="str">
        <f>"Территория "&amp;E21</f>
        <v>Территория 3</v>
      </c>
      <c r="H21" s="691"/>
      <c r="I21" s="691"/>
      <c r="J21" s="688"/>
      <c r="N21" s="160"/>
      <c r="T21" s="1578"/>
      <c r="U21" s="1578"/>
      <c r="V21" s="1578"/>
      <c r="W21" s="1578"/>
      <c r="X21" s="1578"/>
      <c r="Y21" s="1578"/>
      <c r="Z21" s="1578"/>
      <c r="AA21" s="1578"/>
      <c r="AB21" s="1578"/>
      <c r="AC21" s="1578"/>
    </row>
    <row r="22" spans="1:29" ht="15" customHeight="1">
      <c r="A22" s="2254"/>
      <c r="B22" s="961">
        <v>1</v>
      </c>
      <c r="C22" s="961"/>
      <c r="D22" s="699"/>
      <c r="E22" s="1572" t="str">
        <f>A21&amp;"."&amp;B22</f>
        <v>3.1</v>
      </c>
      <c r="F22" s="702" t="s">
        <v>92</v>
      </c>
      <c r="G22" s="692" t="s">
        <v>93</v>
      </c>
      <c r="H22" s="692" t="s">
        <v>93</v>
      </c>
      <c r="I22" s="690" t="s">
        <v>94</v>
      </c>
      <c r="K22" s="1424"/>
      <c r="L22" s="1424"/>
      <c r="M22" s="1412" t="str">
        <f t="array" ref="M22">IF(ISERROR(MATCH(MID(N22,1,250),MID(note_ter,1,250),0)),"n","y")</f>
        <v>n</v>
      </c>
      <c r="N22" s="1424"/>
      <c r="O22" s="1412" t="str">
        <f>H22&amp;"("&amp;I22&amp;")"</f>
        <v>Гагаринский муниципальный округ(66508000)</v>
      </c>
      <c r="P22" s="961"/>
      <c r="Q22" s="961"/>
      <c r="R22" s="353"/>
      <c r="S22" s="961"/>
      <c r="T22" s="961"/>
      <c r="U22" s="961"/>
      <c r="V22" s="355"/>
      <c r="W22" s="355"/>
      <c r="X22" s="352"/>
      <c r="Y22" s="352"/>
      <c r="Z22" s="352"/>
      <c r="AA22" s="352"/>
      <c r="AB22" s="352"/>
      <c r="AC22" s="352"/>
    </row>
    <row r="23" spans="1:29" ht="15" customHeight="1">
      <c r="A23" s="2254"/>
      <c r="B23" s="961"/>
      <c r="C23" s="345"/>
      <c r="D23" s="700"/>
      <c r="E23" s="354"/>
      <c r="F23" s="111"/>
      <c r="G23" s="348" t="s">
        <v>88</v>
      </c>
      <c r="H23" s="121"/>
      <c r="I23" s="357"/>
      <c r="J23" s="1424"/>
      <c r="K23" s="1424"/>
      <c r="L23" s="1424"/>
      <c r="M23" s="1424"/>
      <c r="O23" s="1424"/>
      <c r="P23" s="961"/>
      <c r="Q23" s="961"/>
      <c r="R23" s="353"/>
      <c r="S23" s="961"/>
      <c r="T23" s="961"/>
      <c r="U23" s="961"/>
      <c r="V23" s="355"/>
      <c r="W23" s="355"/>
      <c r="X23" s="352"/>
      <c r="Y23" s="352"/>
      <c r="Z23" s="352"/>
      <c r="AA23" s="352"/>
      <c r="AB23" s="352"/>
      <c r="AC23" s="352"/>
    </row>
    <row r="24" spans="1:29" ht="15" customHeight="1">
      <c r="A24" s="2254" t="s">
        <v>78</v>
      </c>
      <c r="B24" s="961"/>
      <c r="C24" s="700" t="s">
        <v>90</v>
      </c>
      <c r="D24" s="1577"/>
      <c r="E24" s="1564" t="str">
        <f>A24</f>
        <v>4</v>
      </c>
      <c r="F24" s="703" t="s">
        <v>102</v>
      </c>
      <c r="G24" s="472" t="str">
        <f>"Территория "&amp;E24</f>
        <v>Территория 4</v>
      </c>
      <c r="H24" s="691"/>
      <c r="I24" s="691"/>
      <c r="J24" s="688"/>
      <c r="N24" s="160"/>
      <c r="T24" s="1578"/>
      <c r="U24" s="1578"/>
      <c r="V24" s="1578"/>
      <c r="W24" s="1578"/>
      <c r="X24" s="1578"/>
      <c r="Y24" s="1578"/>
      <c r="Z24" s="1578"/>
      <c r="AA24" s="1578"/>
      <c r="AB24" s="1578"/>
      <c r="AC24" s="1578"/>
    </row>
    <row r="25" spans="1:29" ht="15" customHeight="1">
      <c r="A25" s="2254"/>
      <c r="B25" s="961">
        <v>1</v>
      </c>
      <c r="C25" s="961"/>
      <c r="D25" s="699"/>
      <c r="E25" s="1572" t="str">
        <f>A24&amp;"."&amp;B25</f>
        <v>4.1</v>
      </c>
      <c r="F25" s="702" t="s">
        <v>103</v>
      </c>
      <c r="G25" s="692" t="s">
        <v>104</v>
      </c>
      <c r="H25" s="692" t="s">
        <v>104</v>
      </c>
      <c r="I25" s="690" t="s">
        <v>105</v>
      </c>
      <c r="K25" s="1424"/>
      <c r="L25" s="1424"/>
      <c r="M25" s="1412" t="str">
        <f t="array" ref="M25">IF(ISERROR(MATCH(MID(N25,1,250),MID(note_ter,1,250),0)),"n","y")</f>
        <v>n</v>
      </c>
      <c r="N25" s="1424"/>
      <c r="O25" s="1412" t="str">
        <f>H25&amp;"("&amp;I25&amp;")"</f>
        <v>Рославльский муниципальный округ(66536000)</v>
      </c>
      <c r="P25" s="961"/>
      <c r="Q25" s="961"/>
      <c r="R25" s="353"/>
      <c r="S25" s="961"/>
      <c r="T25" s="961"/>
      <c r="U25" s="961"/>
      <c r="V25" s="355"/>
      <c r="W25" s="355"/>
      <c r="X25" s="352"/>
      <c r="Y25" s="352"/>
      <c r="Z25" s="352"/>
      <c r="AA25" s="352"/>
      <c r="AB25" s="352"/>
      <c r="AC25" s="352"/>
    </row>
    <row r="26" spans="1:29" ht="15" customHeight="1">
      <c r="A26" s="2254"/>
      <c r="B26" s="1154" t="s">
        <v>89</v>
      </c>
      <c r="C26" s="1154"/>
      <c r="D26" s="699" t="s">
        <v>90</v>
      </c>
      <c r="E26" s="1631" t="str">
        <f>A24&amp;"."&amp;B26</f>
        <v>4.2</v>
      </c>
      <c r="F26" s="1636" t="s">
        <v>106</v>
      </c>
      <c r="G26" s="1640" t="s">
        <v>107</v>
      </c>
      <c r="H26" s="1640" t="s">
        <v>107</v>
      </c>
      <c r="I26" s="1638" t="s">
        <v>108</v>
      </c>
      <c r="K26" s="1424"/>
      <c r="L26" s="1424"/>
      <c r="M26" s="1412" t="str">
        <f t="array" ref="M26">IF(ISERROR(MATCH(MID(N26,1,250),MID(note_ter,1,250),0)),"n","y")</f>
        <v>n</v>
      </c>
      <c r="N26" s="1424"/>
      <c r="O26" s="1412" t="str">
        <f>H26&amp;"("&amp;I26&amp;")"</f>
        <v>Починковский муниципальный округ(66533000)</v>
      </c>
      <c r="P26" s="1154"/>
      <c r="Q26" s="1154"/>
      <c r="R26" s="353"/>
      <c r="S26" s="1154"/>
      <c r="T26" s="1154"/>
      <c r="U26" s="1154"/>
      <c r="V26" s="732"/>
      <c r="W26" s="732"/>
      <c r="X26" s="558"/>
      <c r="Y26" s="558"/>
      <c r="Z26" s="558"/>
      <c r="AA26" s="558"/>
      <c r="AB26" s="558"/>
      <c r="AC26" s="558"/>
    </row>
    <row r="27" spans="1:29" ht="15" customHeight="1">
      <c r="A27" s="2254"/>
      <c r="B27" s="1154" t="s">
        <v>77</v>
      </c>
      <c r="C27" s="1154"/>
      <c r="D27" s="699" t="s">
        <v>90</v>
      </c>
      <c r="E27" s="1631" t="str">
        <f>A24&amp;"."&amp;B27</f>
        <v>4.3</v>
      </c>
      <c r="F27" s="1636" t="s">
        <v>109</v>
      </c>
      <c r="G27" s="1640" t="s">
        <v>110</v>
      </c>
      <c r="H27" s="1640" t="s">
        <v>110</v>
      </c>
      <c r="I27" s="1638" t="s">
        <v>111</v>
      </c>
      <c r="K27" s="1424"/>
      <c r="L27" s="1424"/>
      <c r="M27" s="1412" t="str">
        <f t="array" ref="M27">IF(ISERROR(MATCH(MID(N27,1,250),MID(note_ter,1,250),0)),"n","y")</f>
        <v>n</v>
      </c>
      <c r="N27" s="1424"/>
      <c r="O27" s="1412" t="str">
        <f>H27&amp;"("&amp;I27&amp;")"</f>
        <v>Ершичский муниципальный округ(66521000)</v>
      </c>
      <c r="P27" s="1154"/>
      <c r="Q27" s="1154"/>
      <c r="R27" s="353"/>
      <c r="S27" s="1154"/>
      <c r="T27" s="1154"/>
      <c r="U27" s="1154"/>
      <c r="V27" s="732"/>
      <c r="W27" s="732"/>
      <c r="X27" s="558"/>
      <c r="Y27" s="558"/>
      <c r="Z27" s="558"/>
      <c r="AA27" s="558"/>
      <c r="AB27" s="558"/>
      <c r="AC27" s="558"/>
    </row>
    <row r="28" spans="1:29" ht="15" customHeight="1">
      <c r="A28" s="2254"/>
      <c r="B28" s="1154" t="s">
        <v>78</v>
      </c>
      <c r="C28" s="1154"/>
      <c r="D28" s="699" t="s">
        <v>90</v>
      </c>
      <c r="E28" s="1631" t="str">
        <f>A24&amp;"."&amp;B28</f>
        <v>4.4</v>
      </c>
      <c r="F28" s="1636" t="s">
        <v>112</v>
      </c>
      <c r="G28" s="1640" t="s">
        <v>113</v>
      </c>
      <c r="H28" s="1640" t="s">
        <v>113</v>
      </c>
      <c r="I28" s="1638" t="s">
        <v>114</v>
      </c>
      <c r="K28" s="1424"/>
      <c r="L28" s="1424"/>
      <c r="M28" s="1412" t="str">
        <f t="array" ref="M28">IF(ISERROR(MATCH(MID(N28,1,250),MID(note_ter,1,250),0)),"n","y")</f>
        <v>n</v>
      </c>
      <c r="N28" s="1424"/>
      <c r="O28" s="1412" t="str">
        <f>H28&amp;"("&amp;I28&amp;")"</f>
        <v>Шумячский муниципальный округ(66556000)</v>
      </c>
      <c r="P28" s="1154"/>
      <c r="Q28" s="1154"/>
      <c r="R28" s="353"/>
      <c r="S28" s="1154"/>
      <c r="T28" s="1154"/>
      <c r="U28" s="1154"/>
      <c r="V28" s="732"/>
      <c r="W28" s="732"/>
      <c r="X28" s="558"/>
      <c r="Y28" s="558"/>
      <c r="Z28" s="558"/>
      <c r="AA28" s="558"/>
      <c r="AB28" s="558"/>
      <c r="AC28" s="558"/>
    </row>
    <row r="29" spans="1:29" ht="15" customHeight="1">
      <c r="A29" s="2254"/>
      <c r="B29" s="961"/>
      <c r="C29" s="345"/>
      <c r="D29" s="700"/>
      <c r="E29" s="354"/>
      <c r="F29" s="111"/>
      <c r="G29" s="348" t="s">
        <v>88</v>
      </c>
      <c r="H29" s="121"/>
      <c r="I29" s="357"/>
      <c r="J29" s="1424"/>
      <c r="K29" s="1424"/>
      <c r="L29" s="1424"/>
      <c r="M29" s="1424"/>
      <c r="O29" s="1424"/>
      <c r="P29" s="961"/>
      <c r="Q29" s="961"/>
      <c r="R29" s="353"/>
      <c r="S29" s="961"/>
      <c r="T29" s="961"/>
      <c r="U29" s="961"/>
      <c r="V29" s="355"/>
      <c r="W29" s="355"/>
      <c r="X29" s="352"/>
      <c r="Y29" s="352"/>
      <c r="Z29" s="352"/>
      <c r="AA29" s="352"/>
      <c r="AB29" s="352"/>
      <c r="AC29" s="352"/>
    </row>
    <row r="30" spans="1:29" ht="15" customHeight="1">
      <c r="A30" s="2254" t="s">
        <v>115</v>
      </c>
      <c r="B30" s="961"/>
      <c r="C30" s="700" t="s">
        <v>90</v>
      </c>
      <c r="D30" s="1577"/>
      <c r="E30" s="1564" t="str">
        <f>A30</f>
        <v>5</v>
      </c>
      <c r="F30" s="703" t="s">
        <v>116</v>
      </c>
      <c r="G30" s="472" t="str">
        <f>"Территория "&amp;E30</f>
        <v>Территория 5</v>
      </c>
      <c r="H30" s="691"/>
      <c r="I30" s="691"/>
      <c r="J30" s="688"/>
      <c r="N30" s="160"/>
      <c r="T30" s="1578"/>
      <c r="U30" s="1578"/>
      <c r="V30" s="1578"/>
      <c r="W30" s="1578"/>
      <c r="X30" s="1578"/>
      <c r="Y30" s="1578"/>
      <c r="Z30" s="1578"/>
      <c r="AA30" s="1578"/>
      <c r="AB30" s="1578"/>
      <c r="AC30" s="1578"/>
    </row>
    <row r="31" spans="1:29" ht="15" customHeight="1">
      <c r="A31" s="2254"/>
      <c r="B31" s="961">
        <v>1</v>
      </c>
      <c r="C31" s="961"/>
      <c r="D31" s="699"/>
      <c r="E31" s="1572" t="str">
        <f>A30&amp;"."&amp;B31</f>
        <v>5.1</v>
      </c>
      <c r="F31" s="702" t="s">
        <v>103</v>
      </c>
      <c r="G31" s="692" t="s">
        <v>104</v>
      </c>
      <c r="H31" s="692" t="s">
        <v>104</v>
      </c>
      <c r="I31" s="690" t="s">
        <v>105</v>
      </c>
      <c r="K31" s="1424"/>
      <c r="L31" s="1424"/>
      <c r="M31" s="1412" t="str">
        <f t="array" ref="M31">IF(ISERROR(MATCH(MID(N31,1,250),MID(note_ter,1,250),0)),"n","y")</f>
        <v>n</v>
      </c>
      <c r="N31" s="1424"/>
      <c r="O31" s="1412" t="str">
        <f>H31&amp;"("&amp;I31&amp;")"</f>
        <v>Рославльский муниципальный округ(66536000)</v>
      </c>
      <c r="P31" s="961"/>
      <c r="Q31" s="961"/>
      <c r="R31" s="353"/>
      <c r="S31" s="961"/>
      <c r="T31" s="961"/>
      <c r="U31" s="961"/>
      <c r="V31" s="355"/>
      <c r="W31" s="355"/>
      <c r="X31" s="352"/>
      <c r="Y31" s="352"/>
      <c r="Z31" s="352"/>
      <c r="AA31" s="352"/>
      <c r="AB31" s="352"/>
      <c r="AC31" s="352"/>
    </row>
    <row r="32" spans="1:29" ht="15" customHeight="1">
      <c r="A32" s="2254"/>
      <c r="B32" s="961"/>
      <c r="C32" s="345"/>
      <c r="D32" s="700"/>
      <c r="E32" s="354"/>
      <c r="F32" s="111"/>
      <c r="G32" s="348" t="s">
        <v>88</v>
      </c>
      <c r="H32" s="121"/>
      <c r="I32" s="357"/>
      <c r="J32" s="1424"/>
      <c r="K32" s="1424"/>
      <c r="L32" s="1424"/>
      <c r="M32" s="1424"/>
      <c r="O32" s="1424"/>
      <c r="P32" s="961"/>
      <c r="Q32" s="961"/>
      <c r="R32" s="353"/>
      <c r="S32" s="961"/>
      <c r="T32" s="961"/>
      <c r="U32" s="961"/>
      <c r="V32" s="355"/>
      <c r="W32" s="355"/>
      <c r="X32" s="352"/>
      <c r="Y32" s="352"/>
      <c r="Z32" s="352"/>
      <c r="AA32" s="352"/>
      <c r="AB32" s="352"/>
      <c r="AC32" s="352"/>
    </row>
    <row r="33" spans="1:29" ht="15" customHeight="1">
      <c r="A33" s="2254" t="s">
        <v>79</v>
      </c>
      <c r="B33" s="961"/>
      <c r="C33" s="700" t="s">
        <v>90</v>
      </c>
      <c r="D33" s="1577"/>
      <c r="E33" s="1564" t="str">
        <f>A33</f>
        <v>6</v>
      </c>
      <c r="F33" s="703" t="s">
        <v>117</v>
      </c>
      <c r="G33" s="472" t="str">
        <f>"Территория "&amp;E33</f>
        <v>Территория 6</v>
      </c>
      <c r="H33" s="691"/>
      <c r="I33" s="691"/>
      <c r="J33" s="688"/>
      <c r="N33" s="160"/>
      <c r="T33" s="1578"/>
      <c r="U33" s="1578"/>
      <c r="V33" s="1578"/>
      <c r="W33" s="1578"/>
      <c r="X33" s="1578"/>
      <c r="Y33" s="1578"/>
      <c r="Z33" s="1578"/>
      <c r="AA33" s="1578"/>
      <c r="AB33" s="1578"/>
      <c r="AC33" s="1578"/>
    </row>
    <row r="34" spans="1:29" ht="15" customHeight="1">
      <c r="A34" s="2254"/>
      <c r="B34" s="961">
        <v>1</v>
      </c>
      <c r="C34" s="961"/>
      <c r="D34" s="699"/>
      <c r="E34" s="1572" t="str">
        <f>A33&amp;"."&amp;B34</f>
        <v>6.1</v>
      </c>
      <c r="F34" s="702" t="s">
        <v>106</v>
      </c>
      <c r="G34" s="692" t="s">
        <v>107</v>
      </c>
      <c r="H34" s="692" t="s">
        <v>107</v>
      </c>
      <c r="I34" s="690" t="s">
        <v>108</v>
      </c>
      <c r="K34" s="1424"/>
      <c r="L34" s="1424"/>
      <c r="M34" s="1412" t="str">
        <f t="array" ref="M34">IF(ISERROR(MATCH(MID(N34,1,250),MID(note_ter,1,250),0)),"n","y")</f>
        <v>n</v>
      </c>
      <c r="N34" s="1424"/>
      <c r="O34" s="1412" t="str">
        <f>H34&amp;"("&amp;I34&amp;")"</f>
        <v>Починковский муниципальный округ(66533000)</v>
      </c>
      <c r="P34" s="961"/>
      <c r="Q34" s="961"/>
      <c r="R34" s="353"/>
      <c r="S34" s="961"/>
      <c r="T34" s="961"/>
      <c r="U34" s="961"/>
      <c r="V34" s="355"/>
      <c r="W34" s="355"/>
      <c r="X34" s="352"/>
      <c r="Y34" s="352"/>
      <c r="Z34" s="352"/>
      <c r="AA34" s="352"/>
      <c r="AB34" s="352"/>
      <c r="AC34" s="352"/>
    </row>
    <row r="35" spans="1:29" ht="15" customHeight="1">
      <c r="A35" s="2254"/>
      <c r="B35" s="961"/>
      <c r="C35" s="345"/>
      <c r="D35" s="700"/>
      <c r="E35" s="354"/>
      <c r="F35" s="111"/>
      <c r="G35" s="348" t="s">
        <v>88</v>
      </c>
      <c r="H35" s="121"/>
      <c r="I35" s="357"/>
      <c r="J35" s="1424"/>
      <c r="K35" s="1424"/>
      <c r="L35" s="1424"/>
      <c r="M35" s="1424"/>
      <c r="O35" s="1424"/>
      <c r="P35" s="961"/>
      <c r="Q35" s="961"/>
      <c r="R35" s="353"/>
      <c r="S35" s="961"/>
      <c r="T35" s="961"/>
      <c r="U35" s="961"/>
      <c r="V35" s="355"/>
      <c r="W35" s="355"/>
      <c r="X35" s="352"/>
      <c r="Y35" s="352"/>
      <c r="Z35" s="352"/>
      <c r="AA35" s="352"/>
      <c r="AB35" s="352"/>
      <c r="AC35" s="352"/>
    </row>
    <row r="36" spans="1:29" ht="15" customHeight="1">
      <c r="A36" s="2254" t="s">
        <v>80</v>
      </c>
      <c r="B36" s="961"/>
      <c r="C36" s="700" t="s">
        <v>90</v>
      </c>
      <c r="D36" s="1577"/>
      <c r="E36" s="1564" t="str">
        <f>A36</f>
        <v>7</v>
      </c>
      <c r="F36" s="703" t="s">
        <v>118</v>
      </c>
      <c r="G36" s="472" t="str">
        <f>"Территория "&amp;E36</f>
        <v>Территория 7</v>
      </c>
      <c r="H36" s="691"/>
      <c r="I36" s="691"/>
      <c r="J36" s="688"/>
      <c r="N36" s="160"/>
      <c r="T36" s="1578"/>
      <c r="U36" s="1578"/>
      <c r="V36" s="1578"/>
      <c r="W36" s="1578"/>
      <c r="X36" s="1578"/>
      <c r="Y36" s="1578"/>
      <c r="Z36" s="1578"/>
      <c r="AA36" s="1578"/>
      <c r="AB36" s="1578"/>
      <c r="AC36" s="1578"/>
    </row>
    <row r="37" spans="1:29" ht="15" customHeight="1">
      <c r="A37" s="2254"/>
      <c r="B37" s="961">
        <v>1</v>
      </c>
      <c r="C37" s="961"/>
      <c r="D37" s="699"/>
      <c r="E37" s="1572" t="str">
        <f>A36&amp;"."&amp;B37</f>
        <v>7.1</v>
      </c>
      <c r="F37" s="702" t="s">
        <v>119</v>
      </c>
      <c r="G37" s="692" t="s">
        <v>120</v>
      </c>
      <c r="H37" s="692" t="s">
        <v>120</v>
      </c>
      <c r="I37" s="690" t="s">
        <v>121</v>
      </c>
      <c r="K37" s="1424"/>
      <c r="L37" s="1424"/>
      <c r="M37" s="1412" t="str">
        <f t="array" ref="M37">IF(ISERROR(MATCH(MID(N37,1,250),MID(note_ter,1,250),0)),"n","y")</f>
        <v>n</v>
      </c>
      <c r="N37" s="1424"/>
      <c r="O37" s="1412" t="str">
        <f>H37&amp;"("&amp;I37&amp;")"</f>
        <v>Сафоновский муниципальный округ(66541000)</v>
      </c>
      <c r="P37" s="961"/>
      <c r="Q37" s="961"/>
      <c r="R37" s="353"/>
      <c r="S37" s="961"/>
      <c r="T37" s="961"/>
      <c r="U37" s="961"/>
      <c r="V37" s="355"/>
      <c r="W37" s="355"/>
      <c r="X37" s="352"/>
      <c r="Y37" s="352"/>
      <c r="Z37" s="352"/>
      <c r="AA37" s="352"/>
      <c r="AB37" s="352"/>
      <c r="AC37" s="352"/>
    </row>
    <row r="38" spans="1:29" ht="15" customHeight="1">
      <c r="A38" s="2254"/>
      <c r="B38" s="1154" t="s">
        <v>89</v>
      </c>
      <c r="C38" s="1154"/>
      <c r="D38" s="699" t="s">
        <v>90</v>
      </c>
      <c r="E38" s="1631" t="str">
        <f>A36&amp;"."&amp;B38</f>
        <v>7.2</v>
      </c>
      <c r="F38" s="1636" t="s">
        <v>122</v>
      </c>
      <c r="G38" s="1640" t="s">
        <v>123</v>
      </c>
      <c r="H38" s="1640" t="s">
        <v>123</v>
      </c>
      <c r="I38" s="1638" t="s">
        <v>124</v>
      </c>
      <c r="K38" s="1424"/>
      <c r="L38" s="1424"/>
      <c r="M38" s="1412" t="str">
        <f t="array" ref="M38">IF(ISERROR(MATCH(MID(N38,1,250),MID(note_ter,1,250),0)),"n","y")</f>
        <v>n</v>
      </c>
      <c r="N38" s="1424"/>
      <c r="O38" s="1412" t="str">
        <f>H38&amp;"("&amp;I38&amp;")"</f>
        <v>Духовщинский муниципальный округ(66516000)</v>
      </c>
      <c r="P38" s="1154"/>
      <c r="Q38" s="1154"/>
      <c r="R38" s="353"/>
      <c r="S38" s="1154"/>
      <c r="T38" s="1154"/>
      <c r="U38" s="1154"/>
      <c r="V38" s="732"/>
      <c r="W38" s="732"/>
      <c r="X38" s="558"/>
      <c r="Y38" s="558"/>
      <c r="Z38" s="558"/>
      <c r="AA38" s="558"/>
      <c r="AB38" s="558"/>
      <c r="AC38" s="558"/>
    </row>
    <row r="39" spans="1:29" ht="15" customHeight="1">
      <c r="A39" s="2254"/>
      <c r="B39" s="1154" t="s">
        <v>77</v>
      </c>
      <c r="C39" s="1154"/>
      <c r="D39" s="699" t="s">
        <v>90</v>
      </c>
      <c r="E39" s="1631" t="str">
        <f>A36&amp;"."&amp;B39</f>
        <v>7.3</v>
      </c>
      <c r="F39" s="1636" t="s">
        <v>125</v>
      </c>
      <c r="G39" s="1640" t="s">
        <v>126</v>
      </c>
      <c r="H39" s="1640" t="s">
        <v>126</v>
      </c>
      <c r="I39" s="1638" t="s">
        <v>127</v>
      </c>
      <c r="K39" s="1424"/>
      <c r="L39" s="1424"/>
      <c r="M39" s="1412" t="str">
        <f t="array" ref="M39">IF(ISERROR(MATCH(MID(N39,1,250),MID(note_ter,1,250),0)),"n","y")</f>
        <v>n</v>
      </c>
      <c r="N39" s="1424"/>
      <c r="O39" s="1412" t="str">
        <f>H39&amp;"("&amp;I39&amp;")"</f>
        <v>Ельнинский муниципальный округ(66519000)</v>
      </c>
      <c r="P39" s="1154"/>
      <c r="Q39" s="1154"/>
      <c r="R39" s="353"/>
      <c r="S39" s="1154"/>
      <c r="T39" s="1154"/>
      <c r="U39" s="1154"/>
      <c r="V39" s="732"/>
      <c r="W39" s="732"/>
      <c r="X39" s="558"/>
      <c r="Y39" s="558"/>
      <c r="Z39" s="558"/>
      <c r="AA39" s="558"/>
      <c r="AB39" s="558"/>
      <c r="AC39" s="558"/>
    </row>
    <row r="40" spans="1:29" ht="15" customHeight="1">
      <c r="A40" s="2254"/>
      <c r="B40" s="1154" t="s">
        <v>78</v>
      </c>
      <c r="C40" s="1154"/>
      <c r="D40" s="699" t="s">
        <v>90</v>
      </c>
      <c r="E40" s="1631" t="str">
        <f>A36&amp;"."&amp;B40</f>
        <v>7.4</v>
      </c>
      <c r="F40" s="1636" t="s">
        <v>128</v>
      </c>
      <c r="G40" s="1640" t="s">
        <v>129</v>
      </c>
      <c r="H40" s="1640" t="s">
        <v>129</v>
      </c>
      <c r="I40" s="1638" t="s">
        <v>130</v>
      </c>
      <c r="K40" s="1424"/>
      <c r="L40" s="1424"/>
      <c r="M40" s="1412" t="str">
        <f t="array" ref="M40">IF(ISERROR(MATCH(MID(N40,1,250),MID(note_ter,1,250),0)),"n","y")</f>
        <v>n</v>
      </c>
      <c r="N40" s="1424"/>
      <c r="O40" s="1412" t="str">
        <f>H40&amp;"("&amp;I40&amp;")"</f>
        <v>Холм-Жирковский муниципальный округ(66554000)</v>
      </c>
      <c r="P40" s="1154"/>
      <c r="Q40" s="1154"/>
      <c r="R40" s="353"/>
      <c r="S40" s="1154"/>
      <c r="T40" s="1154"/>
      <c r="U40" s="1154"/>
      <c r="V40" s="732"/>
      <c r="W40" s="732"/>
      <c r="X40" s="558"/>
      <c r="Y40" s="558"/>
      <c r="Z40" s="558"/>
      <c r="AA40" s="558"/>
      <c r="AB40" s="558"/>
      <c r="AC40" s="558"/>
    </row>
    <row r="41" spans="1:29" ht="15" customHeight="1">
      <c r="A41" s="2254"/>
      <c r="B41" s="961"/>
      <c r="C41" s="345"/>
      <c r="D41" s="700"/>
      <c r="E41" s="354"/>
      <c r="F41" s="111"/>
      <c r="G41" s="348" t="s">
        <v>88</v>
      </c>
      <c r="H41" s="121"/>
      <c r="I41" s="357"/>
      <c r="J41" s="1424"/>
      <c r="K41" s="1424"/>
      <c r="L41" s="1424"/>
      <c r="M41" s="1424"/>
      <c r="O41" s="1424"/>
      <c r="P41" s="961"/>
      <c r="Q41" s="961"/>
      <c r="R41" s="353"/>
      <c r="S41" s="961"/>
      <c r="T41" s="961"/>
      <c r="U41" s="961"/>
      <c r="V41" s="355"/>
      <c r="W41" s="355"/>
      <c r="X41" s="352"/>
      <c r="Y41" s="352"/>
      <c r="Z41" s="352"/>
      <c r="AA41" s="352"/>
      <c r="AB41" s="352"/>
      <c r="AC41" s="352"/>
    </row>
    <row r="42" spans="1:29" ht="15" customHeight="1">
      <c r="A42" s="2254" t="s">
        <v>131</v>
      </c>
      <c r="B42" s="961"/>
      <c r="C42" s="700" t="s">
        <v>90</v>
      </c>
      <c r="D42" s="1577"/>
      <c r="E42" s="1564" t="str">
        <f>A42</f>
        <v>8</v>
      </c>
      <c r="F42" s="703" t="s">
        <v>132</v>
      </c>
      <c r="G42" s="472" t="str">
        <f>"Территория "&amp;E42</f>
        <v>Территория 8</v>
      </c>
      <c r="H42" s="691"/>
      <c r="I42" s="691"/>
      <c r="J42" s="688"/>
      <c r="N42" s="160"/>
      <c r="T42" s="1578"/>
      <c r="U42" s="1578"/>
      <c r="V42" s="1578"/>
      <c r="W42" s="1578"/>
      <c r="X42" s="1578"/>
      <c r="Y42" s="1578"/>
      <c r="Z42" s="1578"/>
      <c r="AA42" s="1578"/>
      <c r="AB42" s="1578"/>
      <c r="AC42" s="1578"/>
    </row>
    <row r="43" spans="1:29" ht="15" customHeight="1">
      <c r="A43" s="2254"/>
      <c r="B43" s="961">
        <v>1</v>
      </c>
      <c r="C43" s="961"/>
      <c r="D43" s="699"/>
      <c r="E43" s="1572" t="str">
        <f>A42&amp;"."&amp;B43</f>
        <v>8.1</v>
      </c>
      <c r="F43" s="702" t="s">
        <v>119</v>
      </c>
      <c r="G43" s="692" t="s">
        <v>120</v>
      </c>
      <c r="H43" s="692" t="s">
        <v>120</v>
      </c>
      <c r="I43" s="690" t="s">
        <v>121</v>
      </c>
      <c r="K43" s="1424"/>
      <c r="L43" s="1424"/>
      <c r="M43" s="1412" t="str">
        <f t="array" ref="M43">IF(ISERROR(MATCH(MID(N43,1,250),MID(note_ter,1,250),0)),"n","y")</f>
        <v>n</v>
      </c>
      <c r="N43" s="1424"/>
      <c r="O43" s="1412" t="str">
        <f>H43&amp;"("&amp;I43&amp;")"</f>
        <v>Сафоновский муниципальный округ(66541000)</v>
      </c>
      <c r="P43" s="961"/>
      <c r="Q43" s="961"/>
      <c r="R43" s="353"/>
      <c r="S43" s="961"/>
      <c r="T43" s="961"/>
      <c r="U43" s="961"/>
      <c r="V43" s="355"/>
      <c r="W43" s="355"/>
      <c r="X43" s="352"/>
      <c r="Y43" s="352"/>
      <c r="Z43" s="352"/>
      <c r="AA43" s="352"/>
      <c r="AB43" s="352"/>
      <c r="AC43" s="352"/>
    </row>
    <row r="44" spans="1:29" ht="15" customHeight="1">
      <c r="A44" s="2254"/>
      <c r="B44" s="961"/>
      <c r="C44" s="345"/>
      <c r="D44" s="700"/>
      <c r="E44" s="354"/>
      <c r="F44" s="111"/>
      <c r="G44" s="348" t="s">
        <v>88</v>
      </c>
      <c r="H44" s="121"/>
      <c r="I44" s="357"/>
      <c r="J44" s="1424"/>
      <c r="K44" s="1424"/>
      <c r="L44" s="1424"/>
      <c r="M44" s="1424"/>
      <c r="O44" s="1424"/>
      <c r="P44" s="961"/>
      <c r="Q44" s="961"/>
      <c r="R44" s="353"/>
      <c r="S44" s="961"/>
      <c r="T44" s="961"/>
      <c r="U44" s="961"/>
      <c r="V44" s="355"/>
      <c r="W44" s="355"/>
      <c r="X44" s="352"/>
      <c r="Y44" s="352"/>
      <c r="Z44" s="352"/>
      <c r="AA44" s="352"/>
      <c r="AB44" s="352"/>
      <c r="AC44" s="352"/>
    </row>
    <row r="45" spans="1:29" ht="15" customHeight="1">
      <c r="A45" s="2254" t="s">
        <v>133</v>
      </c>
      <c r="B45" s="961"/>
      <c r="C45" s="700" t="s">
        <v>90</v>
      </c>
      <c r="D45" s="1577"/>
      <c r="E45" s="1564" t="str">
        <f>A45</f>
        <v>9</v>
      </c>
      <c r="F45" s="703" t="s">
        <v>134</v>
      </c>
      <c r="G45" s="472" t="str">
        <f>"Территория "&amp;E45</f>
        <v>Территория 9</v>
      </c>
      <c r="H45" s="691"/>
      <c r="I45" s="691"/>
      <c r="J45" s="688"/>
      <c r="N45" s="160"/>
      <c r="T45" s="1578"/>
      <c r="U45" s="1578"/>
      <c r="V45" s="1578"/>
      <c r="W45" s="1578"/>
      <c r="X45" s="1578"/>
      <c r="Y45" s="1578"/>
      <c r="Z45" s="1578"/>
      <c r="AA45" s="1578"/>
      <c r="AB45" s="1578"/>
      <c r="AC45" s="1578"/>
    </row>
    <row r="46" spans="1:29" ht="15" customHeight="1">
      <c r="A46" s="2254"/>
      <c r="B46" s="961">
        <v>1</v>
      </c>
      <c r="C46" s="961"/>
      <c r="D46" s="699"/>
      <c r="E46" s="1572" t="str">
        <f>A45&amp;"."&amp;B46</f>
        <v>9.1</v>
      </c>
      <c r="F46" s="702" t="s">
        <v>135</v>
      </c>
      <c r="G46" s="692" t="s">
        <v>136</v>
      </c>
      <c r="H46" s="692" t="s">
        <v>136</v>
      </c>
      <c r="I46" s="690" t="s">
        <v>137</v>
      </c>
      <c r="K46" s="1424"/>
      <c r="L46" s="1424"/>
      <c r="M46" s="1412" t="str">
        <f t="array" ref="M46">IF(ISERROR(MATCH(MID(N46,1,250),MID(note_ter,1,250),0)),"n","y")</f>
        <v>n</v>
      </c>
      <c r="N46" s="1424"/>
      <c r="O46" s="1412" t="str">
        <f>H46&amp;"("&amp;I46&amp;")"</f>
        <v>Дорогобужский муниципальный округ(66514000)</v>
      </c>
      <c r="P46" s="961"/>
      <c r="Q46" s="961"/>
      <c r="R46" s="353"/>
      <c r="S46" s="961"/>
      <c r="T46" s="961"/>
      <c r="U46" s="961"/>
      <c r="V46" s="355"/>
      <c r="W46" s="355"/>
      <c r="X46" s="352"/>
      <c r="Y46" s="352"/>
      <c r="Z46" s="352"/>
      <c r="AA46" s="352"/>
      <c r="AB46" s="352"/>
      <c r="AC46" s="352"/>
    </row>
    <row r="47" spans="1:29" ht="15" customHeight="1">
      <c r="A47" s="2254"/>
      <c r="B47" s="961"/>
      <c r="C47" s="345"/>
      <c r="D47" s="700"/>
      <c r="E47" s="354"/>
      <c r="F47" s="111"/>
      <c r="G47" s="348" t="s">
        <v>88</v>
      </c>
      <c r="H47" s="121"/>
      <c r="I47" s="357"/>
      <c r="J47" s="1424"/>
      <c r="K47" s="1424"/>
      <c r="L47" s="1424"/>
      <c r="M47" s="1424"/>
      <c r="O47" s="1424"/>
      <c r="P47" s="961"/>
      <c r="Q47" s="961"/>
      <c r="R47" s="353"/>
      <c r="S47" s="961"/>
      <c r="T47" s="961"/>
      <c r="U47" s="961"/>
      <c r="V47" s="355"/>
      <c r="W47" s="355"/>
      <c r="X47" s="352"/>
      <c r="Y47" s="352"/>
      <c r="Z47" s="352"/>
      <c r="AA47" s="352"/>
      <c r="AB47" s="352"/>
      <c r="AC47" s="352"/>
    </row>
    <row r="48" spans="1:29" ht="15" customHeight="1">
      <c r="A48" s="2254" t="s">
        <v>138</v>
      </c>
      <c r="B48" s="961"/>
      <c r="C48" s="700" t="s">
        <v>90</v>
      </c>
      <c r="D48" s="1577"/>
      <c r="E48" s="1564" t="str">
        <f>A48</f>
        <v>10</v>
      </c>
      <c r="F48" s="703" t="s">
        <v>139</v>
      </c>
      <c r="G48" s="472" t="str">
        <f>"Территория "&amp;E48</f>
        <v>Территория 10</v>
      </c>
      <c r="H48" s="691"/>
      <c r="I48" s="691"/>
      <c r="J48" s="688"/>
      <c r="N48" s="160"/>
      <c r="T48" s="1578"/>
      <c r="U48" s="1578"/>
      <c r="V48" s="1578"/>
      <c r="W48" s="1578"/>
      <c r="X48" s="1578"/>
      <c r="Y48" s="1578"/>
      <c r="Z48" s="1578"/>
      <c r="AA48" s="1578"/>
      <c r="AB48" s="1578"/>
      <c r="AC48" s="1578"/>
    </row>
    <row r="49" spans="1:29" ht="15" customHeight="1">
      <c r="A49" s="2254"/>
      <c r="B49" s="961">
        <v>1</v>
      </c>
      <c r="C49" s="961"/>
      <c r="D49" s="699"/>
      <c r="E49" s="1572" t="str">
        <f>A48&amp;"."&amp;B49</f>
        <v>10.1</v>
      </c>
      <c r="F49" s="702" t="s">
        <v>128</v>
      </c>
      <c r="G49" s="692" t="s">
        <v>129</v>
      </c>
      <c r="H49" s="692" t="s">
        <v>129</v>
      </c>
      <c r="I49" s="690" t="s">
        <v>130</v>
      </c>
      <c r="K49" s="1424"/>
      <c r="L49" s="1424"/>
      <c r="M49" s="1412" t="str">
        <f t="array" ref="M49">IF(ISERROR(MATCH(MID(N49,1,250),MID(note_ter,1,250),0)),"n","y")</f>
        <v>n</v>
      </c>
      <c r="N49" s="1424"/>
      <c r="O49" s="1412" t="str">
        <f>H49&amp;"("&amp;I49&amp;")"</f>
        <v>Холм-Жирковский муниципальный округ(66554000)</v>
      </c>
      <c r="P49" s="961"/>
      <c r="Q49" s="961"/>
      <c r="R49" s="353"/>
      <c r="S49" s="961"/>
      <c r="T49" s="961"/>
      <c r="U49" s="961"/>
      <c r="V49" s="355"/>
      <c r="W49" s="355"/>
      <c r="X49" s="352"/>
      <c r="Y49" s="352"/>
      <c r="Z49" s="352"/>
      <c r="AA49" s="352"/>
      <c r="AB49" s="352"/>
      <c r="AC49" s="352"/>
    </row>
    <row r="50" spans="1:29" ht="15" customHeight="1">
      <c r="A50" s="2254"/>
      <c r="B50" s="961"/>
      <c r="C50" s="345"/>
      <c r="D50" s="700"/>
      <c r="E50" s="354"/>
      <c r="F50" s="111"/>
      <c r="G50" s="348" t="s">
        <v>88</v>
      </c>
      <c r="H50" s="121"/>
      <c r="I50" s="357"/>
      <c r="J50" s="1424"/>
      <c r="K50" s="1424"/>
      <c r="L50" s="1424"/>
      <c r="M50" s="1424"/>
      <c r="O50" s="1424"/>
      <c r="P50" s="961"/>
      <c r="Q50" s="961"/>
      <c r="R50" s="353"/>
      <c r="S50" s="961"/>
      <c r="T50" s="961"/>
      <c r="U50" s="961"/>
      <c r="V50" s="355"/>
      <c r="W50" s="355"/>
      <c r="X50" s="352"/>
      <c r="Y50" s="352"/>
      <c r="Z50" s="352"/>
      <c r="AA50" s="352"/>
      <c r="AB50" s="352"/>
      <c r="AC50" s="352"/>
    </row>
    <row r="51" spans="1:29" ht="15" customHeight="1">
      <c r="A51" s="2254" t="s">
        <v>140</v>
      </c>
      <c r="B51" s="961"/>
      <c r="C51" s="700" t="s">
        <v>90</v>
      </c>
      <c r="D51" s="1577"/>
      <c r="E51" s="1564" t="str">
        <f>A51</f>
        <v>11</v>
      </c>
      <c r="F51" s="703" t="s">
        <v>141</v>
      </c>
      <c r="G51" s="472" t="str">
        <f>"Территория "&amp;E51</f>
        <v>Территория 11</v>
      </c>
      <c r="H51" s="691"/>
      <c r="I51" s="691"/>
      <c r="J51" s="688"/>
      <c r="N51" s="160"/>
      <c r="T51" s="1578"/>
      <c r="U51" s="1578"/>
      <c r="V51" s="1578"/>
      <c r="W51" s="1578"/>
      <c r="X51" s="1578"/>
      <c r="Y51" s="1578"/>
      <c r="Z51" s="1578"/>
      <c r="AA51" s="1578"/>
      <c r="AB51" s="1578"/>
      <c r="AC51" s="1578"/>
    </row>
    <row r="52" spans="1:29" ht="15" customHeight="1">
      <c r="A52" s="2254"/>
      <c r="B52" s="961">
        <v>1</v>
      </c>
      <c r="C52" s="961"/>
      <c r="D52" s="699"/>
      <c r="E52" s="1572" t="str">
        <f>A51&amp;"."&amp;B52</f>
        <v>11.1</v>
      </c>
      <c r="F52" s="702" t="s">
        <v>142</v>
      </c>
      <c r="G52" s="692" t="s">
        <v>143</v>
      </c>
      <c r="H52" s="692" t="s">
        <v>143</v>
      </c>
      <c r="I52" s="690" t="s">
        <v>144</v>
      </c>
      <c r="K52" s="1424"/>
      <c r="L52" s="1424"/>
      <c r="M52" s="1412" t="str">
        <f t="array" ref="M52">IF(ISERROR(MATCH(MID(N52,1,250),MID(note_ter,1,250),0)),"n","y")</f>
        <v>n</v>
      </c>
      <c r="N52" s="1424"/>
      <c r="O52" s="1412" t="str">
        <f>H52&amp;"("&amp;I52&amp;")"</f>
        <v>Ярцевский муниципальный округ(66558000)</v>
      </c>
      <c r="P52" s="961"/>
      <c r="Q52" s="961"/>
      <c r="R52" s="353"/>
      <c r="S52" s="961"/>
      <c r="T52" s="961"/>
      <c r="U52" s="961"/>
      <c r="V52" s="355"/>
      <c r="W52" s="355"/>
      <c r="X52" s="352"/>
      <c r="Y52" s="352"/>
      <c r="Z52" s="352"/>
      <c r="AA52" s="352"/>
      <c r="AB52" s="352"/>
      <c r="AC52" s="352"/>
    </row>
    <row r="53" spans="1:29" ht="15" customHeight="1">
      <c r="A53" s="2254"/>
      <c r="B53" s="961"/>
      <c r="C53" s="345"/>
      <c r="D53" s="700"/>
      <c r="E53" s="354"/>
      <c r="F53" s="111"/>
      <c r="G53" s="348" t="s">
        <v>88</v>
      </c>
      <c r="H53" s="121"/>
      <c r="I53" s="357"/>
      <c r="J53" s="1424"/>
      <c r="K53" s="1424"/>
      <c r="L53" s="1424"/>
      <c r="M53" s="1424"/>
      <c r="O53" s="1424"/>
      <c r="P53" s="961"/>
      <c r="Q53" s="961"/>
      <c r="R53" s="353"/>
      <c r="S53" s="961"/>
      <c r="T53" s="961"/>
      <c r="U53" s="961"/>
      <c r="V53" s="355"/>
      <c r="W53" s="355"/>
      <c r="X53" s="352"/>
      <c r="Y53" s="352"/>
      <c r="Z53" s="352"/>
      <c r="AA53" s="352"/>
      <c r="AB53" s="352"/>
      <c r="AC53" s="352"/>
    </row>
    <row r="54" spans="1:29" ht="15" customHeight="1">
      <c r="A54" s="2254" t="s">
        <v>145</v>
      </c>
      <c r="B54" s="961"/>
      <c r="C54" s="700" t="s">
        <v>90</v>
      </c>
      <c r="D54" s="1577"/>
      <c r="E54" s="1564" t="str">
        <f>A54</f>
        <v>12</v>
      </c>
      <c r="F54" s="703" t="s">
        <v>146</v>
      </c>
      <c r="G54" s="472" t="str">
        <f>"Территория "&amp;E54</f>
        <v>Территория 12</v>
      </c>
      <c r="H54" s="691"/>
      <c r="I54" s="691"/>
      <c r="J54" s="688"/>
      <c r="N54" s="160"/>
      <c r="T54" s="1578"/>
      <c r="U54" s="1578"/>
      <c r="V54" s="1578"/>
      <c r="W54" s="1578"/>
      <c r="X54" s="1578"/>
      <c r="Y54" s="1578"/>
      <c r="Z54" s="1578"/>
      <c r="AA54" s="1578"/>
      <c r="AB54" s="1578"/>
      <c r="AC54" s="1578"/>
    </row>
    <row r="55" spans="1:29" ht="15" customHeight="1">
      <c r="A55" s="2254"/>
      <c r="B55" s="961">
        <v>1</v>
      </c>
      <c r="C55" s="961"/>
      <c r="D55" s="699"/>
      <c r="E55" s="1572" t="str">
        <f>A54&amp;"."&amp;B55</f>
        <v>12.1</v>
      </c>
      <c r="F55" s="702" t="s">
        <v>147</v>
      </c>
      <c r="G55" s="692" t="s">
        <v>148</v>
      </c>
      <c r="H55" s="692" t="s">
        <v>148</v>
      </c>
      <c r="I55" s="690" t="s">
        <v>149</v>
      </c>
      <c r="K55" s="1424"/>
      <c r="L55" s="1424"/>
      <c r="M55" s="1412" t="str">
        <f t="array" ref="M55">IF(ISERROR(MATCH(MID(N55,1,250),MID(note_ter,1,250),0)),"n","y")</f>
        <v>n</v>
      </c>
      <c r="N55" s="1424"/>
      <c r="O55" s="1412" t="str">
        <f>H55&amp;"("&amp;I55&amp;")"</f>
        <v>Краснинский муниципальный округ(66524000)</v>
      </c>
      <c r="P55" s="961"/>
      <c r="Q55" s="961"/>
      <c r="R55" s="353"/>
      <c r="S55" s="961"/>
      <c r="T55" s="961"/>
      <c r="U55" s="961"/>
      <c r="V55" s="355"/>
      <c r="W55" s="355"/>
      <c r="X55" s="352"/>
      <c r="Y55" s="352"/>
      <c r="Z55" s="352"/>
      <c r="AA55" s="352"/>
      <c r="AB55" s="352"/>
      <c r="AC55" s="352"/>
    </row>
    <row r="56" spans="1:29" ht="15" customHeight="1">
      <c r="A56" s="2254"/>
      <c r="B56" s="961"/>
      <c r="C56" s="345"/>
      <c r="D56" s="700"/>
      <c r="E56" s="354"/>
      <c r="F56" s="111"/>
      <c r="G56" s="348" t="s">
        <v>88</v>
      </c>
      <c r="H56" s="121"/>
      <c r="I56" s="357"/>
      <c r="J56" s="1424"/>
      <c r="K56" s="1424"/>
      <c r="L56" s="1424"/>
      <c r="M56" s="1424"/>
      <c r="O56" s="1424"/>
      <c r="P56" s="961"/>
      <c r="Q56" s="961"/>
      <c r="R56" s="353"/>
      <c r="S56" s="961"/>
      <c r="T56" s="961"/>
      <c r="U56" s="961"/>
      <c r="V56" s="355"/>
      <c r="W56" s="355"/>
      <c r="X56" s="352"/>
      <c r="Y56" s="352"/>
      <c r="Z56" s="352"/>
      <c r="AA56" s="352"/>
      <c r="AB56" s="352"/>
      <c r="AC56" s="352"/>
    </row>
    <row r="57" spans="1:29" ht="15" customHeight="1">
      <c r="A57" s="2254" t="s">
        <v>150</v>
      </c>
      <c r="B57" s="961"/>
      <c r="C57" s="700" t="s">
        <v>90</v>
      </c>
      <c r="D57" s="1577"/>
      <c r="E57" s="1564" t="str">
        <f>A57</f>
        <v>13</v>
      </c>
      <c r="F57" s="703" t="s">
        <v>151</v>
      </c>
      <c r="G57" s="472" t="str">
        <f>"Территория "&amp;E57</f>
        <v>Территория 13</v>
      </c>
      <c r="H57" s="691"/>
      <c r="I57" s="691"/>
      <c r="J57" s="688"/>
      <c r="N57" s="160"/>
      <c r="T57" s="1578"/>
      <c r="U57" s="1578"/>
      <c r="V57" s="1578"/>
      <c r="W57" s="1578"/>
      <c r="X57" s="1578"/>
      <c r="Y57" s="1578"/>
      <c r="Z57" s="1578"/>
      <c r="AA57" s="1578"/>
      <c r="AB57" s="1578"/>
      <c r="AC57" s="1578"/>
    </row>
    <row r="58" spans="1:29" ht="15" customHeight="1">
      <c r="A58" s="2254"/>
      <c r="B58" s="961">
        <v>1</v>
      </c>
      <c r="C58" s="961"/>
      <c r="D58" s="699"/>
      <c r="E58" s="1572" t="str">
        <f>A57&amp;"."&amp;B58</f>
        <v>13.1</v>
      </c>
      <c r="F58" s="702" t="s">
        <v>152</v>
      </c>
      <c r="G58" s="692" t="s">
        <v>153</v>
      </c>
      <c r="H58" s="692" t="s">
        <v>153</v>
      </c>
      <c r="I58" s="690" t="s">
        <v>154</v>
      </c>
      <c r="K58" s="1424"/>
      <c r="L58" s="1424"/>
      <c r="M58" s="1412" t="str">
        <f t="array" ref="M58">IF(ISERROR(MATCH(MID(N58,1,250),MID(note_ter,1,250),0)),"n","y")</f>
        <v>n</v>
      </c>
      <c r="N58" s="1424"/>
      <c r="O58" s="1412" t="str">
        <f>H58&amp;"("&amp;I58&amp;")"</f>
        <v>Смоленский муниципальный округ(66544000)</v>
      </c>
      <c r="P58" s="961"/>
      <c r="Q58" s="961"/>
      <c r="R58" s="353"/>
      <c r="S58" s="961"/>
      <c r="T58" s="961"/>
      <c r="U58" s="961"/>
      <c r="V58" s="355"/>
      <c r="W58" s="355"/>
      <c r="X58" s="352"/>
      <c r="Y58" s="352"/>
      <c r="Z58" s="352"/>
      <c r="AA58" s="352"/>
      <c r="AB58" s="352"/>
      <c r="AC58" s="352"/>
    </row>
    <row r="59" spans="1:29" ht="15" customHeight="1">
      <c r="A59" s="2254"/>
      <c r="B59" s="961"/>
      <c r="C59" s="345"/>
      <c r="D59" s="700"/>
      <c r="E59" s="354"/>
      <c r="F59" s="111"/>
      <c r="G59" s="348" t="s">
        <v>88</v>
      </c>
      <c r="H59" s="121"/>
      <c r="I59" s="357"/>
      <c r="J59" s="1424"/>
      <c r="K59" s="1424"/>
      <c r="L59" s="1424"/>
      <c r="M59" s="1424"/>
      <c r="O59" s="1424"/>
      <c r="P59" s="961"/>
      <c r="Q59" s="961"/>
      <c r="R59" s="353"/>
      <c r="S59" s="961"/>
      <c r="T59" s="961"/>
      <c r="U59" s="961"/>
      <c r="V59" s="355"/>
      <c r="W59" s="355"/>
      <c r="X59" s="352"/>
      <c r="Y59" s="352"/>
      <c r="Z59" s="352"/>
      <c r="AA59" s="352"/>
      <c r="AB59" s="352"/>
      <c r="AC59" s="352"/>
    </row>
    <row r="60" spans="1:29" s="1578" customFormat="1" ht="14.65" customHeight="1">
      <c r="A60" s="663"/>
      <c r="B60" s="350"/>
      <c r="C60" s="663"/>
      <c r="D60" s="681"/>
      <c r="E60" s="693"/>
      <c r="F60" s="112"/>
      <c r="G60" s="349" t="s">
        <v>155</v>
      </c>
      <c r="H60" s="112"/>
      <c r="I60" s="113"/>
      <c r="J60" s="183"/>
      <c r="K60" s="89"/>
      <c r="L60" s="89"/>
      <c r="M60" s="89"/>
      <c r="N60" s="160" t="s">
        <v>156</v>
      </c>
      <c r="O60" s="89"/>
      <c r="P60" s="159"/>
      <c r="Q60" s="159"/>
      <c r="R60" s="159"/>
      <c r="S60" s="159"/>
      <c r="AC60" s="53">
        <v>14</v>
      </c>
    </row>
    <row r="61" spans="1:29" s="1578" customFormat="1" ht="21.95" customHeight="1">
      <c r="A61" s="663"/>
      <c r="B61" s="350"/>
      <c r="C61" s="663"/>
      <c r="D61" s="99"/>
      <c r="E61" s="114"/>
      <c r="F61" s="114"/>
      <c r="G61" s="114"/>
      <c r="H61" s="114"/>
      <c r="I61" s="114"/>
      <c r="J61" s="89"/>
      <c r="K61" s="89"/>
      <c r="L61" s="89"/>
      <c r="M61" s="89"/>
      <c r="N61" s="160"/>
      <c r="O61" s="89"/>
      <c r="P61" s="159"/>
      <c r="Q61" s="159"/>
      <c r="R61" s="159"/>
      <c r="S61" s="159"/>
      <c r="AC61" s="53">
        <v>21</v>
      </c>
    </row>
    <row r="62" spans="1:29" s="1578" customFormat="1" ht="14.65" customHeight="1">
      <c r="A62" s="663"/>
      <c r="B62" s="350"/>
      <c r="C62" s="663"/>
      <c r="D62" s="99"/>
      <c r="E62" s="21"/>
      <c r="F62" s="663"/>
      <c r="G62" s="21"/>
      <c r="H62" s="21"/>
      <c r="I62" s="21"/>
      <c r="J62" s="89"/>
      <c r="K62" s="89"/>
      <c r="L62" s="89"/>
      <c r="M62" s="89"/>
      <c r="N62" s="160"/>
      <c r="O62" s="89"/>
      <c r="P62" s="159"/>
      <c r="Q62" s="159"/>
      <c r="R62" s="159"/>
      <c r="S62" s="159"/>
      <c r="AC62" s="53">
        <v>14</v>
      </c>
    </row>
    <row r="63" spans="1:29" s="1578" customFormat="1" ht="1.1499999999999999" customHeight="1">
      <c r="A63" s="663"/>
      <c r="B63" s="350"/>
      <c r="C63" s="663"/>
      <c r="D63" s="99"/>
      <c r="E63" s="21"/>
      <c r="F63" s="663"/>
      <c r="G63" s="21"/>
      <c r="H63" s="21"/>
      <c r="I63" s="21"/>
      <c r="J63" s="89"/>
      <c r="K63" s="89"/>
      <c r="L63" s="89"/>
      <c r="M63" s="89"/>
      <c r="N63" s="160"/>
      <c r="O63" s="89"/>
      <c r="P63" s="159"/>
      <c r="Q63" s="159"/>
      <c r="R63" s="159"/>
      <c r="S63" s="159"/>
      <c r="AC63" s="53">
        <v>1</v>
      </c>
    </row>
    <row r="64" spans="1:29" s="897" customFormat="1" ht="10.5" customHeight="1">
      <c r="B64" s="733"/>
      <c r="D64" s="116"/>
      <c r="J64" s="89"/>
      <c r="K64" s="89"/>
      <c r="L64" s="89"/>
      <c r="M64" s="89"/>
      <c r="N64" s="160"/>
      <c r="O64" s="89"/>
      <c r="P64" s="159"/>
      <c r="Q64" s="159"/>
      <c r="R64" s="159"/>
      <c r="S64" s="159"/>
      <c r="AC64" s="115">
        <v>10</v>
      </c>
    </row>
    <row r="65" spans="1:29" s="897" customFormat="1" ht="10.5" customHeight="1">
      <c r="B65" s="733"/>
      <c r="D65" s="116"/>
      <c r="J65" s="89"/>
      <c r="K65" s="89"/>
      <c r="L65" s="89"/>
      <c r="M65" s="89"/>
      <c r="N65" s="160"/>
      <c r="O65" s="89"/>
      <c r="P65" s="159"/>
      <c r="Q65" s="159"/>
      <c r="R65" s="159"/>
      <c r="S65" s="159"/>
      <c r="AC65" s="115">
        <v>10</v>
      </c>
    </row>
    <row r="66" spans="1:29" ht="14.65" customHeight="1">
      <c r="AC66" s="21">
        <v>14</v>
      </c>
    </row>
    <row r="67" spans="1:29" ht="14.65" customHeight="1">
      <c r="AC67" s="21">
        <v>14</v>
      </c>
    </row>
    <row r="68" spans="1:29" ht="14.65" customHeight="1">
      <c r="AC68" s="21">
        <v>14</v>
      </c>
    </row>
    <row r="69" spans="1:29" ht="14.65" customHeight="1">
      <c r="H69" s="3"/>
      <c r="AC69" s="21">
        <v>14</v>
      </c>
    </row>
    <row r="70" spans="1:29" ht="14.65" customHeight="1">
      <c r="AC70" s="21">
        <v>14</v>
      </c>
    </row>
    <row r="71" spans="1:29" ht="14.65" customHeight="1">
      <c r="AC71" s="21">
        <v>14</v>
      </c>
    </row>
    <row r="72" spans="1:29" ht="14.65" customHeight="1">
      <c r="AC72" s="21">
        <v>14</v>
      </c>
    </row>
    <row r="73" spans="1:29" ht="14.65" customHeight="1">
      <c r="J73" s="21"/>
      <c r="K73" s="21"/>
      <c r="L73" s="21"/>
      <c r="AC73" s="21">
        <v>14</v>
      </c>
    </row>
    <row r="74" spans="1:29" ht="22.5" hidden="1" customHeight="1">
      <c r="A74" s="663" t="s">
        <v>69</v>
      </c>
      <c r="B74" s="350">
        <v>0</v>
      </c>
      <c r="C74" s="663">
        <v>3</v>
      </c>
      <c r="D74" s="99">
        <v>3</v>
      </c>
      <c r="E74" s="21">
        <v>6</v>
      </c>
      <c r="F74" s="663">
        <v>0</v>
      </c>
      <c r="G74" s="21">
        <v>46</v>
      </c>
      <c r="H74" s="21">
        <v>42</v>
      </c>
      <c r="I74" s="21">
        <v>14</v>
      </c>
      <c r="J74" s="89">
        <v>3</v>
      </c>
      <c r="K74" s="89">
        <v>0</v>
      </c>
      <c r="L74" s="89">
        <v>0</v>
      </c>
      <c r="M74" s="89">
        <v>0</v>
      </c>
      <c r="N74" s="160">
        <v>0</v>
      </c>
      <c r="O74" s="89">
        <v>0</v>
      </c>
      <c r="P74" s="159">
        <v>0</v>
      </c>
      <c r="Q74" s="159">
        <v>0</v>
      </c>
      <c r="R74" s="159">
        <v>0</v>
      </c>
      <c r="S74" s="159">
        <v>0</v>
      </c>
      <c r="T74" s="21">
        <v>0</v>
      </c>
      <c r="U74" s="21">
        <v>0</v>
      </c>
      <c r="V74" s="21">
        <v>0</v>
      </c>
      <c r="W74" s="21">
        <v>0</v>
      </c>
      <c r="X74" s="21">
        <v>0</v>
      </c>
      <c r="Y74" s="21">
        <v>0</v>
      </c>
      <c r="Z74" s="21">
        <v>0</v>
      </c>
      <c r="AA74" s="21">
        <v>0</v>
      </c>
      <c r="AB74" s="21">
        <v>8</v>
      </c>
      <c r="AC74" s="21">
        <v>23</v>
      </c>
    </row>
  </sheetData>
  <sheetProtection formatColumns="0" formatRows="0" insertRows="0" deleteColumns="0" deleteRows="0" sort="0" autoFilter="0"/>
  <mergeCells count="16">
    <mergeCell ref="A57:A59"/>
    <mergeCell ref="A42:A44"/>
    <mergeCell ref="A45:A47"/>
    <mergeCell ref="A48:A50"/>
    <mergeCell ref="A51:A53"/>
    <mergeCell ref="A54:A56"/>
    <mergeCell ref="A21:A23"/>
    <mergeCell ref="A24:A29"/>
    <mergeCell ref="A30:A32"/>
    <mergeCell ref="A33:A35"/>
    <mergeCell ref="A36:A41"/>
    <mergeCell ref="A12:A14"/>
    <mergeCell ref="E4:I4"/>
    <mergeCell ref="E8:G8"/>
    <mergeCell ref="H8:I8"/>
    <mergeCell ref="A15:A20"/>
  </mergeCells>
  <dataValidations count="13">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54" hidden="1"/>
    <col min="2" max="2" width="11" style="1154" hidden="1" customWidth="1"/>
    <col min="3" max="3" width="10.5703125" style="1154" hidden="1"/>
    <col min="4" max="4" width="11.85546875" style="1154" hidden="1" customWidth="1"/>
    <col min="5" max="5" width="10" style="1154" hidden="1" customWidth="1"/>
    <col min="6" max="6" width="8.7109375" style="1154" hidden="1" customWidth="1"/>
    <col min="7" max="7" width="7.5703125" style="1154" hidden="1" customWidth="1"/>
    <col min="8" max="8" width="11.42578125" style="1154" hidden="1" customWidth="1"/>
    <col min="9" max="9" width="14.140625" style="1154" hidden="1" customWidth="1"/>
    <col min="10" max="10" width="9.85546875" style="1154" hidden="1" customWidth="1"/>
    <col min="11" max="11" width="14.7109375" style="1154" hidden="1" customWidth="1"/>
    <col min="12" max="12" width="19.140625" style="1866" hidden="1" customWidth="1"/>
    <col min="13" max="14" width="12.28515625" style="1535" hidden="1" customWidth="1"/>
    <col min="15" max="15" width="23.42578125" style="1535" hidden="1" customWidth="1"/>
    <col min="16" max="16" width="3" style="1857" customWidth="1"/>
    <col min="17" max="18" width="3" style="278" customWidth="1"/>
    <col min="19" max="19" width="12" style="1858" customWidth="1"/>
    <col min="20" max="20" width="35" style="1423" customWidth="1"/>
    <col min="21" max="21" width="0.140625" style="1423" customWidth="1"/>
    <col min="22" max="24" width="24.7109375" style="1423" hidden="1" customWidth="1"/>
    <col min="25" max="25" width="11.7109375" style="1423" hidden="1" customWidth="1"/>
    <col min="26" max="26" width="3.7109375" style="1423" hidden="1" customWidth="1"/>
    <col min="27" max="27" width="11.7109375" style="1423" hidden="1" customWidth="1"/>
    <col min="28" max="28" width="8.5703125" style="1423" hidden="1" customWidth="1"/>
    <col min="29" max="29" width="24.7109375" style="1423" customWidth="1"/>
    <col min="30" max="31" width="24" style="1423" customWidth="1"/>
    <col min="32" max="32" width="11" style="1423" customWidth="1"/>
    <col min="33" max="33" width="3.7109375" style="1423" customWidth="1"/>
    <col min="34" max="34" width="11" style="1423" customWidth="1"/>
    <col min="35" max="35" width="8.5703125" style="1423" hidden="1" customWidth="1"/>
    <col min="36" max="36" width="4" style="1423" customWidth="1"/>
    <col min="37" max="37" width="115" style="1423" customWidth="1"/>
    <col min="38" max="42" width="10" style="1430" customWidth="1"/>
    <col min="43" max="43" width="10.5703125" style="1423" hidden="1"/>
  </cols>
  <sheetData>
    <row r="1" spans="1:43" ht="22.5" hidden="1" customHeight="1">
      <c r="X1" s="261"/>
      <c r="Y1" s="261"/>
      <c r="AE1" s="261"/>
      <c r="AF1" s="261"/>
      <c r="AQ1" s="956" t="s">
        <v>1</v>
      </c>
    </row>
    <row r="2" spans="1:43" ht="23.25" hidden="1" customHeight="1">
      <c r="A2" s="1151"/>
      <c r="B2" s="1151"/>
      <c r="C2" s="1151"/>
      <c r="D2" s="1151"/>
      <c r="E2" s="2395">
        <v>1</v>
      </c>
      <c r="F2" s="1151"/>
      <c r="G2" s="1151"/>
      <c r="H2" s="1151"/>
      <c r="I2" s="1151"/>
      <c r="J2" s="1151"/>
      <c r="K2" s="1151"/>
      <c r="L2" s="1152"/>
      <c r="M2" s="1153"/>
      <c r="N2" s="1153"/>
      <c r="O2" s="1153"/>
      <c r="P2" s="294"/>
      <c r="Q2" s="293"/>
      <c r="R2" s="288"/>
      <c r="S2" s="1213" t="e">
        <f>INDEX(PT_DIFFERENTIATION_NUM_NTAR,MATCH(A2,PT_DIFFERENTIATION_NTAR_ID,0))</f>
        <v>#N/A</v>
      </c>
      <c r="T2" s="232" t="s">
        <v>214</v>
      </c>
      <c r="U2" s="234"/>
      <c r="V2" s="2389"/>
      <c r="W2" s="2390"/>
      <c r="X2" s="2390"/>
      <c r="Y2" s="2390"/>
      <c r="Z2" s="2390"/>
      <c r="AA2" s="2390"/>
      <c r="AB2" s="2391"/>
      <c r="AC2" s="2389" t="e">
        <f>INDEX(PT_DIFFERENTIATION_NTAR,MATCH(A2,PT_DIFFERENTIATION_NTAR_ID,0))</f>
        <v>#N/A</v>
      </c>
      <c r="AD2" s="2390"/>
      <c r="AE2" s="2390"/>
      <c r="AF2" s="2390"/>
      <c r="AG2" s="2390"/>
      <c r="AH2" s="2390"/>
      <c r="AI2" s="2390"/>
      <c r="AJ2" s="2391"/>
      <c r="AK2" s="104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956">
        <v>0</v>
      </c>
    </row>
    <row r="3" spans="1:43" ht="23.25" hidden="1" customHeight="1">
      <c r="A3" s="1151"/>
      <c r="B3" s="1151"/>
      <c r="C3" s="1151"/>
      <c r="D3" s="1151"/>
      <c r="E3" s="2396"/>
      <c r="F3" s="2395">
        <v>1</v>
      </c>
      <c r="G3" s="1151"/>
      <c r="H3" s="1151"/>
      <c r="I3" s="1151"/>
      <c r="J3" s="1151"/>
      <c r="K3" s="1151"/>
      <c r="L3" s="1152"/>
      <c r="M3" s="1153"/>
      <c r="N3" s="1153"/>
      <c r="O3" s="1153"/>
      <c r="P3" s="1211"/>
      <c r="Q3" s="285"/>
      <c r="R3" s="286"/>
      <c r="S3" s="1213" t="e">
        <f>INDEX(PT_DIFFERENTIATION_NUM_TER,MATCH(B3,PT_DIFFERENTIATION_TER_ID,0))</f>
        <v>#N/A</v>
      </c>
      <c r="T3" s="242" t="s">
        <v>481</v>
      </c>
      <c r="U3" s="234"/>
      <c r="V3" s="2389"/>
      <c r="W3" s="2390"/>
      <c r="X3" s="2390"/>
      <c r="Y3" s="2390"/>
      <c r="Z3" s="2390"/>
      <c r="AA3" s="2390"/>
      <c r="AB3" s="2391"/>
      <c r="AC3" s="2389" t="e">
        <f>INDEX(PT_DIFFERENTIATION_TER,MATCH(B3,PT_DIFFERENTIATION_TER_ID,0))</f>
        <v>#N/A</v>
      </c>
      <c r="AD3" s="2390"/>
      <c r="AE3" s="2390"/>
      <c r="AF3" s="2390"/>
      <c r="AG3" s="2390"/>
      <c r="AH3" s="2390"/>
      <c r="AI3" s="2390"/>
      <c r="AJ3" s="2391"/>
      <c r="AK3" s="1046" t="s">
        <v>482</v>
      </c>
      <c r="AM3" s="433"/>
      <c r="AN3" s="433" t="str">
        <f t="shared" si="0"/>
        <v>Территория действия тарифа</v>
      </c>
      <c r="AO3" s="433"/>
      <c r="AP3" s="433"/>
      <c r="AQ3" s="956">
        <v>0</v>
      </c>
    </row>
    <row r="4" spans="1:43" ht="23.25" hidden="1" customHeight="1">
      <c r="A4" s="1151"/>
      <c r="B4" s="1151"/>
      <c r="C4" s="1151"/>
      <c r="D4" s="1151"/>
      <c r="E4" s="2396"/>
      <c r="F4" s="2396"/>
      <c r="G4" s="2395">
        <v>1</v>
      </c>
      <c r="H4" s="1151"/>
      <c r="I4" s="1151"/>
      <c r="J4" s="1151"/>
      <c r="K4" s="1151"/>
      <c r="L4" s="1152"/>
      <c r="M4" s="1153"/>
      <c r="N4" s="1153"/>
      <c r="O4" s="1153"/>
      <c r="P4" s="287"/>
      <c r="Q4" s="285"/>
      <c r="R4" s="286"/>
      <c r="S4" s="1213" t="e">
        <f>INDEX(PT_DIFFERENTIATION_NUM_CS,MATCH(C4,PT_DIFFERENTIATION_CS_ID,0))</f>
        <v>#N/A</v>
      </c>
      <c r="T4" s="243" t="s">
        <v>565</v>
      </c>
      <c r="U4" s="234"/>
      <c r="V4" s="2389"/>
      <c r="W4" s="2390"/>
      <c r="X4" s="2390"/>
      <c r="Y4" s="2390"/>
      <c r="Z4" s="2390"/>
      <c r="AA4" s="2390"/>
      <c r="AB4" s="2391"/>
      <c r="AC4" s="2389" t="e">
        <f>INDEX(PT_DIFFERENTIATION_CS,MATCH(C4,PT_DIFFERENTIATION_CS_ID,0))</f>
        <v>#N/A</v>
      </c>
      <c r="AD4" s="2390"/>
      <c r="AE4" s="2390"/>
      <c r="AF4" s="2390"/>
      <c r="AG4" s="2390"/>
      <c r="AH4" s="2390"/>
      <c r="AI4" s="2390"/>
      <c r="AJ4" s="2391"/>
      <c r="AK4" s="1046" t="s">
        <v>566</v>
      </c>
      <c r="AM4" s="433"/>
      <c r="AN4" s="433" t="str">
        <f t="shared" si="0"/>
        <v>Наименование централизованной системы холодного водоснабжения</v>
      </c>
      <c r="AO4" s="433"/>
      <c r="AP4" s="433"/>
      <c r="AQ4" s="956">
        <v>0</v>
      </c>
    </row>
    <row r="5" spans="1:43" ht="23.25" hidden="1" customHeight="1">
      <c r="A5" s="1151"/>
      <c r="B5" s="1151"/>
      <c r="C5" s="1151"/>
      <c r="D5" s="1151"/>
      <c r="E5" s="2396"/>
      <c r="F5" s="2396"/>
      <c r="G5" s="2396"/>
      <c r="H5" s="2396"/>
      <c r="I5" s="2397" t="e">
        <f>S4&amp;".1"</f>
        <v>#N/A</v>
      </c>
      <c r="J5" s="1151"/>
      <c r="K5" s="1151"/>
      <c r="L5" s="1152"/>
      <c r="P5" s="2399">
        <v>1</v>
      </c>
      <c r="Q5" s="1210"/>
      <c r="R5" s="289"/>
      <c r="S5" s="1213" t="e">
        <f>$I5</f>
        <v>#N/A</v>
      </c>
      <c r="T5" s="219" t="s">
        <v>567</v>
      </c>
      <c r="U5" s="234"/>
      <c r="V5" s="2463"/>
      <c r="W5" s="2464"/>
      <c r="X5" s="2464"/>
      <c r="Y5" s="2464"/>
      <c r="Z5" s="2464"/>
      <c r="AA5" s="2464"/>
      <c r="AB5" s="2465"/>
      <c r="AC5" s="2466"/>
      <c r="AD5" s="2467"/>
      <c r="AE5" s="2467"/>
      <c r="AF5" s="2467"/>
      <c r="AG5" s="2467"/>
      <c r="AH5" s="2467"/>
      <c r="AI5" s="2467"/>
      <c r="AJ5" s="2468"/>
      <c r="AK5" s="1046" t="s">
        <v>568</v>
      </c>
      <c r="AM5" s="433"/>
      <c r="AN5" s="433" t="str">
        <f t="shared" si="0"/>
        <v>Наименование признака дифференциации</v>
      </c>
      <c r="AO5" s="433"/>
      <c r="AP5" s="433"/>
      <c r="AQ5" s="956">
        <v>0</v>
      </c>
    </row>
    <row r="6" spans="1:43" ht="23.25" hidden="1" customHeight="1">
      <c r="A6" s="1151"/>
      <c r="B6" s="1151"/>
      <c r="C6" s="1151"/>
      <c r="D6" s="1151"/>
      <c r="E6" s="2396"/>
      <c r="F6" s="2396"/>
      <c r="G6" s="2396"/>
      <c r="H6" s="2396"/>
      <c r="I6" s="2398"/>
      <c r="J6" s="2397" t="e">
        <f>I5&amp;".1"</f>
        <v>#N/A</v>
      </c>
      <c r="K6" s="1151"/>
      <c r="L6" s="1152" t="s">
        <v>490</v>
      </c>
      <c r="P6" s="2399"/>
      <c r="Q6" s="2399">
        <v>1</v>
      </c>
      <c r="R6" s="290"/>
      <c r="S6" s="1213" t="e">
        <f>$J6</f>
        <v>#N/A</v>
      </c>
      <c r="T6" s="220" t="s">
        <v>491</v>
      </c>
      <c r="U6" s="234"/>
      <c r="V6" s="2383"/>
      <c r="W6" s="2384"/>
      <c r="X6" s="2384"/>
      <c r="Y6" s="2384"/>
      <c r="Z6" s="2384"/>
      <c r="AA6" s="2384"/>
      <c r="AB6" s="2385"/>
      <c r="AC6" s="2383"/>
      <c r="AD6" s="2384"/>
      <c r="AE6" s="2384"/>
      <c r="AF6" s="2384"/>
      <c r="AG6" s="2384"/>
      <c r="AH6" s="2384"/>
      <c r="AI6" s="2384"/>
      <c r="AJ6" s="2385"/>
      <c r="AK6" s="1095" t="s">
        <v>569</v>
      </c>
      <c r="AM6" s="433"/>
      <c r="AN6" s="433" t="str">
        <f t="shared" si="0"/>
        <v>Группа потребителей</v>
      </c>
      <c r="AO6" s="433"/>
      <c r="AP6" s="433"/>
      <c r="AQ6" s="956">
        <v>0</v>
      </c>
    </row>
    <row r="7" spans="1:43" ht="23.25" hidden="1" customHeight="1">
      <c r="A7" s="1151"/>
      <c r="B7" s="1151"/>
      <c r="C7" s="1151"/>
      <c r="D7" s="1151"/>
      <c r="E7" s="2396"/>
      <c r="F7" s="2396"/>
      <c r="G7" s="2396"/>
      <c r="H7" s="2396"/>
      <c r="I7" s="2398"/>
      <c r="J7" s="2398"/>
      <c r="K7" s="2397" t="e">
        <f>J6&amp;".1"</f>
        <v>#N/A</v>
      </c>
      <c r="L7" s="1152"/>
      <c r="P7" s="2399"/>
      <c r="Q7" s="2399"/>
      <c r="R7" s="290">
        <v>1</v>
      </c>
      <c r="S7" s="1213" t="e">
        <f>$K7</f>
        <v>#N/A</v>
      </c>
      <c r="T7" s="1225"/>
      <c r="U7" s="234"/>
      <c r="V7" s="658"/>
      <c r="W7" s="658"/>
      <c r="X7" s="1045"/>
      <c r="Y7" s="2400"/>
      <c r="Z7" s="2276" t="s">
        <v>52</v>
      </c>
      <c r="AA7" s="2400"/>
      <c r="AB7" s="2276" t="s">
        <v>52</v>
      </c>
      <c r="AC7" s="658"/>
      <c r="AD7" s="658"/>
      <c r="AE7" s="1045"/>
      <c r="AF7" s="2400"/>
      <c r="AG7" s="2276" t="s">
        <v>52</v>
      </c>
      <c r="AH7" s="2402"/>
      <c r="AI7" s="2276" t="s">
        <v>52</v>
      </c>
      <c r="AJ7" s="1226"/>
      <c r="AK7" s="24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956">
        <v>0</v>
      </c>
    </row>
    <row r="8" spans="1:43" ht="14.25" hidden="1" customHeight="1">
      <c r="A8" s="1151"/>
      <c r="B8" s="1151"/>
      <c r="C8" s="1151"/>
      <c r="D8" s="1151"/>
      <c r="E8" s="2396"/>
      <c r="F8" s="2396"/>
      <c r="G8" s="2396"/>
      <c r="H8" s="2396"/>
      <c r="I8" s="2398"/>
      <c r="J8" s="2398"/>
      <c r="K8" s="2397"/>
      <c r="L8" s="1152"/>
      <c r="P8" s="2399"/>
      <c r="Q8" s="2399"/>
      <c r="R8" s="290"/>
      <c r="S8" s="1212"/>
      <c r="T8" s="234"/>
      <c r="U8" s="234"/>
      <c r="V8" s="259"/>
      <c r="W8" s="259"/>
      <c r="X8" s="262" t="str">
        <f>Y7&amp;"-"&amp;AA7</f>
        <v>-</v>
      </c>
      <c r="Y8" s="2401"/>
      <c r="Z8" s="2276"/>
      <c r="AA8" s="2401"/>
      <c r="AB8" s="2276"/>
      <c r="AC8" s="259"/>
      <c r="AD8" s="259"/>
      <c r="AE8" s="262" t="str">
        <f>AF7&amp;"-"&amp;AH7</f>
        <v>-</v>
      </c>
      <c r="AF8" s="2401"/>
      <c r="AG8" s="2276"/>
      <c r="AH8" s="2403"/>
      <c r="AI8" s="2276"/>
      <c r="AJ8" s="1227"/>
      <c r="AK8" s="2469"/>
      <c r="AM8" s="433"/>
      <c r="AN8" s="433" t="str">
        <f t="shared" si="0"/>
        <v/>
      </c>
      <c r="AO8" s="433"/>
      <c r="AP8" s="433"/>
      <c r="AQ8" s="956">
        <v>0</v>
      </c>
    </row>
    <row r="9" spans="1:43" ht="21" hidden="1" customHeight="1">
      <c r="A9" s="1151"/>
      <c r="B9" s="1151"/>
      <c r="C9" s="1151"/>
      <c r="D9" s="1151"/>
      <c r="E9" s="2396"/>
      <c r="F9" s="2396"/>
      <c r="G9" s="2396"/>
      <c r="H9" s="2396"/>
      <c r="I9" s="2398"/>
      <c r="J9" s="2397"/>
      <c r="K9" s="1151"/>
      <c r="L9" s="1152"/>
      <c r="P9" s="2399"/>
      <c r="Q9" s="2399"/>
      <c r="R9" s="289"/>
      <c r="S9" s="1066"/>
      <c r="T9" s="221" t="s">
        <v>570</v>
      </c>
      <c r="U9" s="300"/>
      <c r="V9" s="300"/>
      <c r="W9" s="300"/>
      <c r="X9" s="300"/>
      <c r="Y9" s="300"/>
      <c r="Z9" s="300"/>
      <c r="AA9" s="300"/>
      <c r="AB9" s="300"/>
      <c r="AC9" s="300"/>
      <c r="AD9" s="300"/>
      <c r="AE9" s="300"/>
      <c r="AF9" s="300"/>
      <c r="AG9" s="300"/>
      <c r="AH9" s="300"/>
      <c r="AI9" s="300"/>
      <c r="AJ9" s="300"/>
      <c r="AK9" s="1046" t="s">
        <v>571</v>
      </c>
      <c r="AM9" s="433"/>
      <c r="AN9" s="433" t="str">
        <f t="shared" si="0"/>
        <v>Добавить значение признака дифференциации</v>
      </c>
      <c r="AO9" s="433"/>
      <c r="AP9" s="433"/>
      <c r="AQ9" s="956">
        <v>0</v>
      </c>
    </row>
    <row r="10" spans="1:43" ht="21" hidden="1" customHeight="1">
      <c r="A10" s="1151"/>
      <c r="B10" s="1151"/>
      <c r="C10" s="1151"/>
      <c r="D10" s="1151"/>
      <c r="E10" s="2396"/>
      <c r="F10" s="2396"/>
      <c r="G10" s="2396"/>
      <c r="H10" s="2396"/>
      <c r="I10" s="2397"/>
      <c r="J10" s="1151"/>
      <c r="K10" s="1151"/>
      <c r="L10" s="1152"/>
      <c r="P10" s="2399"/>
      <c r="Q10" s="1210"/>
      <c r="R10" s="289"/>
      <c r="S10" s="1066"/>
      <c r="T10" s="298" t="s">
        <v>496</v>
      </c>
      <c r="U10" s="300"/>
      <c r="V10" s="300"/>
      <c r="W10" s="300"/>
      <c r="X10" s="300"/>
      <c r="Y10" s="300"/>
      <c r="Z10" s="300"/>
      <c r="AA10" s="300"/>
      <c r="AB10" s="299"/>
      <c r="AC10" s="300"/>
      <c r="AD10" s="300"/>
      <c r="AE10" s="300"/>
      <c r="AF10" s="300"/>
      <c r="AG10" s="300"/>
      <c r="AH10" s="300"/>
      <c r="AI10" s="299"/>
      <c r="AJ10" s="300"/>
      <c r="AK10" s="1228"/>
      <c r="AM10" s="433"/>
      <c r="AN10" s="433" t="str">
        <f t="shared" si="0"/>
        <v>Добавить группу потребителей</v>
      </c>
      <c r="AO10" s="433"/>
      <c r="AP10" s="433"/>
      <c r="AQ10" s="956">
        <v>0</v>
      </c>
    </row>
    <row r="11" spans="1:43" ht="14.25" hidden="1" customHeight="1">
      <c r="A11" s="1151"/>
      <c r="B11" s="1151"/>
      <c r="C11" s="1151"/>
      <c r="D11" s="1151"/>
      <c r="E11" s="2396"/>
      <c r="F11" s="2396"/>
      <c r="G11" s="2396"/>
      <c r="H11" s="2395"/>
      <c r="I11" s="1151"/>
      <c r="J11" s="1151"/>
      <c r="K11" s="1151"/>
      <c r="L11" s="1152"/>
      <c r="M11" s="1153"/>
      <c r="N11" s="1153"/>
      <c r="O11" s="469"/>
      <c r="P11" s="293"/>
      <c r="Q11" s="308"/>
      <c r="R11" s="288"/>
      <c r="S11" s="1066"/>
      <c r="T11" s="305" t="s">
        <v>572</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956">
        <v>0</v>
      </c>
    </row>
    <row r="12" spans="1:43" s="1430" customFormat="1" ht="14.25" hidden="1" customHeight="1">
      <c r="A12" s="1131"/>
      <c r="B12" s="1131"/>
      <c r="C12" s="1102"/>
      <c r="D12" s="1102"/>
      <c r="E12" s="2396"/>
      <c r="F12" s="2395"/>
      <c r="G12" s="1102"/>
      <c r="H12" s="1102"/>
      <c r="I12" s="1102"/>
      <c r="J12" s="1102"/>
      <c r="K12" s="1102"/>
      <c r="L12" s="1214"/>
      <c r="M12" s="1109"/>
      <c r="N12" s="1109"/>
      <c r="P12" s="1104"/>
      <c r="Q12" s="1105"/>
      <c r="R12" s="1104"/>
      <c r="S12" s="1110"/>
      <c r="T12" s="1113" t="s">
        <v>499</v>
      </c>
      <c r="U12" s="1112"/>
      <c r="V12" s="1112"/>
      <c r="W12" s="1112"/>
      <c r="X12" s="1112"/>
      <c r="Y12" s="1112"/>
      <c r="Z12" s="1112"/>
      <c r="AA12" s="1112"/>
      <c r="AB12" s="1112"/>
      <c r="AC12" s="1112"/>
      <c r="AD12" s="1112"/>
      <c r="AE12" s="1112"/>
      <c r="AF12" s="1112"/>
      <c r="AG12" s="1112"/>
      <c r="AH12" s="1112"/>
      <c r="AI12" s="1112"/>
      <c r="AJ12" s="1112"/>
      <c r="AK12" s="1112"/>
      <c r="AM12" s="688"/>
      <c r="AN12" s="688" t="str">
        <f t="shared" si="0"/>
        <v>Добавить централизованную систему для дифференциации</v>
      </c>
      <c r="AO12" s="688"/>
      <c r="AP12" s="688"/>
      <c r="AQ12" s="451">
        <v>0</v>
      </c>
    </row>
    <row r="13" spans="1:43" s="1430" customFormat="1" ht="14.25" hidden="1" customHeight="1">
      <c r="A13" s="1131"/>
      <c r="B13" s="1131"/>
      <c r="C13" s="1131"/>
      <c r="D13" s="1131"/>
      <c r="E13" s="2395"/>
      <c r="F13" s="1131"/>
      <c r="G13" s="1131"/>
      <c r="H13" s="1131"/>
      <c r="I13" s="1131"/>
      <c r="J13" s="1131"/>
      <c r="K13" s="1131"/>
      <c r="L13" s="1134"/>
      <c r="M13" s="1109"/>
      <c r="N13" s="1109"/>
      <c r="O13" s="451"/>
      <c r="P13" s="313"/>
      <c r="Q13" s="1132"/>
      <c r="R13" s="313"/>
      <c r="S13" s="1110"/>
      <c r="T13" s="1113" t="s">
        <v>500</v>
      </c>
      <c r="U13" s="1112"/>
      <c r="V13" s="1112"/>
      <c r="W13" s="1112"/>
      <c r="X13" s="1112"/>
      <c r="Y13" s="1112"/>
      <c r="Z13" s="1112"/>
      <c r="AA13" s="1112"/>
      <c r="AB13" s="1112"/>
      <c r="AC13" s="1112"/>
      <c r="AD13" s="1112"/>
      <c r="AE13" s="1112"/>
      <c r="AF13" s="1112"/>
      <c r="AG13" s="1112"/>
      <c r="AH13" s="1112"/>
      <c r="AI13" s="1112"/>
      <c r="AJ13" s="1112"/>
      <c r="AK13" s="1112"/>
      <c r="AM13" s="433"/>
      <c r="AN13" s="433" t="str">
        <f t="shared" si="0"/>
        <v>Добавить территорию для дифференциации</v>
      </c>
      <c r="AO13" s="433"/>
      <c r="AP13" s="433"/>
      <c r="AQ13" s="444">
        <v>0</v>
      </c>
    </row>
    <row r="14" spans="1:43" ht="14.25" hidden="1" customHeight="1">
      <c r="AB14" s="261"/>
      <c r="AI14" s="261"/>
      <c r="AQ14" s="956">
        <v>0</v>
      </c>
    </row>
    <row r="15" spans="1:43" ht="14.25" hidden="1" customHeight="1">
      <c r="AC15" s="1148"/>
      <c r="AD15" s="1148"/>
      <c r="AE15" s="1149"/>
      <c r="AF15" s="2393"/>
      <c r="AG15" s="2392" t="s">
        <v>52</v>
      </c>
      <c r="AH15" s="2393"/>
      <c r="AI15" s="2392" t="s">
        <v>52</v>
      </c>
      <c r="AQ15" s="956">
        <v>0</v>
      </c>
    </row>
    <row r="16" spans="1:43" ht="14.25" hidden="1" customHeight="1">
      <c r="AC16" s="1148"/>
      <c r="AD16" s="1148"/>
      <c r="AE16" s="262" t="str">
        <f>AF15&amp;"-"&amp;AH15</f>
        <v>-</v>
      </c>
      <c r="AF16" s="2392"/>
      <c r="AG16" s="2392"/>
      <c r="AH16" s="2392"/>
      <c r="AI16" s="2392"/>
      <c r="AQ16" s="956">
        <v>0</v>
      </c>
    </row>
    <row r="17" spans="1:43" ht="14.25" hidden="1" customHeight="1">
      <c r="AI17" s="261"/>
      <c r="AQ17" s="956">
        <v>0</v>
      </c>
    </row>
    <row r="18" spans="1:43" s="1154" customFormat="1" ht="22.5" hidden="1" customHeight="1">
      <c r="L18" s="1209"/>
      <c r="M18" s="1150"/>
      <c r="N18" s="1150"/>
      <c r="O18" s="1155" t="s">
        <v>501</v>
      </c>
      <c r="P18" s="1150"/>
      <c r="Q18" s="1159"/>
      <c r="R18" s="1159"/>
      <c r="S18" s="640"/>
      <c r="Y18" s="1155"/>
      <c r="AA18" s="1155"/>
      <c r="AF18" s="1155"/>
      <c r="AH18" s="1155"/>
      <c r="AL18" s="444"/>
      <c r="AM18" s="444"/>
      <c r="AN18" s="444"/>
      <c r="AO18" s="444"/>
      <c r="AP18" s="444"/>
      <c r="AQ18" s="961">
        <v>0</v>
      </c>
    </row>
    <row r="19" spans="1:43" s="1154" customFormat="1" ht="14.25" hidden="1" customHeight="1">
      <c r="L19" s="1209"/>
      <c r="M19" s="1150"/>
      <c r="N19" s="1150"/>
      <c r="O19" s="1150"/>
      <c r="P19" s="1150"/>
      <c r="Q19" s="1159"/>
      <c r="R19" s="1159"/>
      <c r="S19" s="640"/>
      <c r="AL19" s="444"/>
      <c r="AM19" s="444"/>
      <c r="AN19" s="444"/>
      <c r="AO19" s="444"/>
      <c r="AP19" s="444"/>
      <c r="AQ19" s="961">
        <v>0</v>
      </c>
    </row>
    <row r="20" spans="1:43" s="1154" customFormat="1" ht="12" hidden="1" customHeight="1">
      <c r="L20" s="1209"/>
      <c r="M20" s="1150"/>
      <c r="N20" s="1150"/>
      <c r="O20" s="1152" t="s">
        <v>502</v>
      </c>
      <c r="P20" s="1150"/>
      <c r="Q20" s="1230"/>
      <c r="R20" s="1230"/>
      <c r="S20" s="640"/>
      <c r="T20" s="961" t="s">
        <v>503</v>
      </c>
      <c r="Z20" s="120" t="s">
        <v>504</v>
      </c>
      <c r="AB20" s="120" t="s">
        <v>505</v>
      </c>
      <c r="AC20" s="961" t="s">
        <v>503</v>
      </c>
      <c r="AG20" s="120" t="s">
        <v>506</v>
      </c>
      <c r="AI20" s="120" t="s">
        <v>505</v>
      </c>
      <c r="AQ20" s="961">
        <v>0</v>
      </c>
    </row>
    <row r="21" spans="1:43" ht="14.25" hidden="1" customHeight="1">
      <c r="O21" s="1152"/>
      <c r="AQ21" s="956">
        <v>0</v>
      </c>
    </row>
    <row r="22" spans="1:43" ht="14.25" hidden="1" customHeight="1">
      <c r="O22" s="1152"/>
      <c r="AQ22" s="956">
        <v>0</v>
      </c>
    </row>
    <row r="23" spans="1:43" ht="14.65" customHeight="1">
      <c r="Q23" s="309"/>
      <c r="R23" s="309"/>
      <c r="S23" s="1063"/>
      <c r="T23" s="296"/>
      <c r="U23" s="296"/>
      <c r="V23" s="442"/>
      <c r="W23" s="442"/>
      <c r="X23" s="442"/>
      <c r="Y23" s="442"/>
      <c r="Z23" s="442"/>
      <c r="AA23" s="442"/>
      <c r="AB23" s="442"/>
      <c r="AC23" s="442"/>
      <c r="AD23" s="442"/>
      <c r="AE23" s="442"/>
      <c r="AF23" s="442"/>
      <c r="AG23" s="442"/>
      <c r="AH23" s="442"/>
      <c r="AI23" s="442"/>
      <c r="AQ23" s="956">
        <v>14</v>
      </c>
    </row>
    <row r="24" spans="1:43" ht="14.65" customHeight="1">
      <c r="Q24" s="309"/>
      <c r="R24" s="309"/>
      <c r="S24" s="23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76"/>
      <c r="U24" s="2376"/>
      <c r="V24" s="2376"/>
      <c r="W24" s="2376"/>
      <c r="X24" s="2376"/>
      <c r="Y24" s="2376"/>
      <c r="Z24" s="2376"/>
      <c r="AA24" s="2376"/>
      <c r="AB24" s="2376"/>
      <c r="AC24" s="2376"/>
      <c r="AD24" s="2376"/>
      <c r="AE24" s="2376"/>
      <c r="AF24" s="2376"/>
      <c r="AG24" s="2376"/>
      <c r="AH24" s="2376"/>
      <c r="AI24" s="1031"/>
      <c r="AQ24" s="956">
        <v>14</v>
      </c>
    </row>
    <row r="25" spans="1:43" ht="14.65" customHeight="1">
      <c r="Q25" s="309"/>
      <c r="R25" s="309"/>
      <c r="S25" s="2349" t="str">
        <f>IF(org=0,"Не определено",org)</f>
        <v>ООО "Смоленскрегионтеплоэнерго"</v>
      </c>
      <c r="T25" s="2349"/>
      <c r="U25" s="2349"/>
      <c r="V25" s="2349"/>
      <c r="W25" s="2349"/>
      <c r="X25" s="2349"/>
      <c r="Y25" s="2349"/>
      <c r="Z25" s="2349"/>
      <c r="AA25" s="2349"/>
      <c r="AB25" s="2349"/>
      <c r="AC25" s="2349"/>
      <c r="AD25" s="2349"/>
      <c r="AE25" s="2349"/>
      <c r="AF25" s="2349"/>
      <c r="AG25" s="2349"/>
      <c r="AH25" s="2349"/>
      <c r="AI25" s="1031"/>
      <c r="AQ25" s="956">
        <v>14</v>
      </c>
    </row>
    <row r="26" spans="1:43" ht="14.25" hidden="1" customHeight="1">
      <c r="Q26" s="309"/>
      <c r="R26" s="309"/>
      <c r="S26" s="1063"/>
      <c r="T26" s="296"/>
      <c r="U26" s="296"/>
      <c r="V26" s="256"/>
      <c r="W26" s="256"/>
      <c r="X26" s="256"/>
      <c r="Y26" s="256"/>
      <c r="Z26" s="256"/>
      <c r="AA26" s="256"/>
      <c r="AB26" s="256"/>
      <c r="AC26" s="256"/>
      <c r="AD26" s="256"/>
      <c r="AE26" s="256"/>
      <c r="AF26" s="256"/>
      <c r="AG26" s="256"/>
      <c r="AH26" s="256"/>
      <c r="AI26" s="256"/>
      <c r="AJ26" s="442"/>
      <c r="AQ26" s="956">
        <v>0</v>
      </c>
    </row>
    <row r="27" spans="1:43" s="1609" customFormat="1" ht="25.5" hidden="1" customHeight="1">
      <c r="A27" s="1156"/>
      <c r="B27" s="1156"/>
      <c r="C27" s="1156"/>
      <c r="D27" s="1156"/>
      <c r="E27" s="1156"/>
      <c r="F27" s="1156"/>
      <c r="G27" s="1156"/>
      <c r="H27" s="1156"/>
      <c r="I27" s="1156"/>
      <c r="J27" s="1156"/>
      <c r="K27" s="1156"/>
      <c r="L27" s="1157"/>
      <c r="M27" s="1156"/>
      <c r="N27" s="1156"/>
      <c r="O27" s="1156"/>
      <c r="S27" s="2386" t="s">
        <v>28</v>
      </c>
      <c r="T27" s="2386"/>
      <c r="U27" s="1160"/>
      <c r="V27" s="2388" t="str">
        <f>IF(TITLE_NAME_OR_PR_CHANGE="",IF(TITLE_NAME_OR_PR="","",TITLE_NAME_OR_PR),TITLE_NAME_OR_PR_CHANGE)</f>
        <v/>
      </c>
      <c r="W27" s="2388"/>
      <c r="X27" s="2388"/>
      <c r="Y27" s="2388"/>
      <c r="Z27" s="2388"/>
      <c r="AA27" s="2388"/>
      <c r="AB27" s="260"/>
      <c r="AC27" s="2388" t="str">
        <f>IF(TITLE_NAME_OR_PR_CHANGE="",IF(TITLE_NAME_OR_PR="","",TITLE_NAME_OR_PR),TITLE_NAME_OR_PR_CHANGE)</f>
        <v/>
      </c>
      <c r="AD27" s="2388"/>
      <c r="AE27" s="2388"/>
      <c r="AF27" s="2388"/>
      <c r="AG27" s="2388"/>
      <c r="AH27" s="2388"/>
      <c r="AI27" s="260"/>
      <c r="AJ27" s="260"/>
      <c r="AK27" s="214"/>
      <c r="AL27" s="301"/>
      <c r="AM27" s="301"/>
      <c r="AN27" s="301"/>
      <c r="AO27" s="301"/>
      <c r="AP27" s="301"/>
      <c r="AQ27" s="351">
        <v>0</v>
      </c>
    </row>
    <row r="28" spans="1:43" s="1609" customFormat="1" ht="18.75" hidden="1" customHeight="1">
      <c r="A28" s="1156"/>
      <c r="B28" s="1156"/>
      <c r="C28" s="1156"/>
      <c r="D28" s="1156"/>
      <c r="E28" s="1156"/>
      <c r="F28" s="1156"/>
      <c r="G28" s="1156"/>
      <c r="H28" s="1156"/>
      <c r="I28" s="1156"/>
      <c r="J28" s="1156"/>
      <c r="K28" s="1156"/>
      <c r="L28" s="1157"/>
      <c r="M28" s="1156"/>
      <c r="N28" s="1156"/>
      <c r="O28" s="1156"/>
      <c r="S28" s="2386" t="s">
        <v>507</v>
      </c>
      <c r="T28" s="2386"/>
      <c r="U28" s="1160"/>
      <c r="V28" s="2387" t="str">
        <f>IF(TITLE_DATE_PR_CHANGE="",IF(TITLE_DATE_PR="","",TITLE_DATE_PR),TITLE_DATE_PR_CHANGE)</f>
        <v/>
      </c>
      <c r="W28" s="2387"/>
      <c r="X28" s="2387"/>
      <c r="Y28" s="2387"/>
      <c r="Z28" s="2387"/>
      <c r="AA28" s="2387"/>
      <c r="AB28" s="260"/>
      <c r="AC28" s="2387" t="str">
        <f>IF(TITLE_DATE_PR_CHANGE="",IF(TITLE_DATE_PR="","",TITLE_DATE_PR),TITLE_DATE_PR_CHANGE)</f>
        <v/>
      </c>
      <c r="AD28" s="2387"/>
      <c r="AE28" s="2387"/>
      <c r="AF28" s="2387"/>
      <c r="AG28" s="2387"/>
      <c r="AH28" s="2387"/>
      <c r="AI28" s="260"/>
      <c r="AJ28" s="260"/>
      <c r="AK28" s="214"/>
      <c r="AL28" s="301"/>
      <c r="AM28" s="301"/>
      <c r="AN28" s="301"/>
      <c r="AO28" s="301"/>
      <c r="AP28" s="301"/>
      <c r="AQ28" s="351">
        <v>0</v>
      </c>
    </row>
    <row r="29" spans="1:43" s="1609" customFormat="1" ht="18.75" hidden="1" customHeight="1">
      <c r="A29" s="1156"/>
      <c r="B29" s="1156"/>
      <c r="C29" s="1156"/>
      <c r="D29" s="1156"/>
      <c r="E29" s="1156"/>
      <c r="F29" s="1156"/>
      <c r="G29" s="1156"/>
      <c r="H29" s="1156"/>
      <c r="I29" s="1156"/>
      <c r="J29" s="1156"/>
      <c r="K29" s="1156"/>
      <c r="L29" s="1157"/>
      <c r="M29" s="1156"/>
      <c r="N29" s="1156"/>
      <c r="O29" s="1156"/>
      <c r="S29" s="2386" t="s">
        <v>508</v>
      </c>
      <c r="T29" s="2386"/>
      <c r="U29" s="1160"/>
      <c r="V29" s="2388" t="str">
        <f>IF(TITLE_NUMBER_PR_CHANGE="",IF(TITLE_NUMBER_PR="","",TITLE_NUMBER_PR),TITLE_NUMBER_PR_CHANGE)</f>
        <v/>
      </c>
      <c r="W29" s="2388"/>
      <c r="X29" s="2388"/>
      <c r="Y29" s="2388"/>
      <c r="Z29" s="2388"/>
      <c r="AA29" s="2388"/>
      <c r="AB29" s="260"/>
      <c r="AC29" s="2388" t="str">
        <f>IF(TITLE_NUMBER_PR_CHANGE="",IF(TITLE_NUMBER_PR="","",TITLE_NUMBER_PR),TITLE_NUMBER_PR_CHANGE)</f>
        <v/>
      </c>
      <c r="AD29" s="2388"/>
      <c r="AE29" s="2388"/>
      <c r="AF29" s="2388"/>
      <c r="AG29" s="2388"/>
      <c r="AH29" s="2388"/>
      <c r="AI29" s="260"/>
      <c r="AJ29" s="260"/>
      <c r="AK29" s="214"/>
      <c r="AL29" s="301"/>
      <c r="AM29" s="301"/>
      <c r="AN29" s="301"/>
      <c r="AO29" s="301"/>
      <c r="AP29" s="301"/>
      <c r="AQ29" s="351">
        <v>0</v>
      </c>
    </row>
    <row r="30" spans="1:43" s="1609" customFormat="1" ht="18.75" hidden="1" customHeight="1">
      <c r="A30" s="1156"/>
      <c r="B30" s="1156"/>
      <c r="C30" s="1156"/>
      <c r="D30" s="1156"/>
      <c r="E30" s="1156"/>
      <c r="F30" s="1156"/>
      <c r="G30" s="1156"/>
      <c r="H30" s="1156"/>
      <c r="I30" s="1156"/>
      <c r="J30" s="1156"/>
      <c r="K30" s="1156"/>
      <c r="L30" s="1157"/>
      <c r="M30" s="1156"/>
      <c r="N30" s="1156"/>
      <c r="O30" s="1156"/>
      <c r="S30" s="2386" t="s">
        <v>29</v>
      </c>
      <c r="T30" s="2386"/>
      <c r="U30" s="1160"/>
      <c r="V30" s="2388" t="str">
        <f>IF(TITLE_IST_PUB_CHANGE="",IF(TITLE_IST_PUB="","",TITLE_IST_PUB),TITLE_IST_PUB_CHANGE)</f>
        <v/>
      </c>
      <c r="W30" s="2388"/>
      <c r="X30" s="2388"/>
      <c r="Y30" s="2388"/>
      <c r="Z30" s="2388"/>
      <c r="AA30" s="2388"/>
      <c r="AB30" s="260"/>
      <c r="AC30" s="2388" t="str">
        <f>IF(TITLE_IST_PUB_CHANGE="",IF(TITLE_IST_PUB="","",TITLE_IST_PUB),TITLE_IST_PUB_CHANGE)</f>
        <v/>
      </c>
      <c r="AD30" s="2388"/>
      <c r="AE30" s="2388"/>
      <c r="AF30" s="2388"/>
      <c r="AG30" s="2388"/>
      <c r="AH30" s="2388"/>
      <c r="AI30" s="260"/>
      <c r="AJ30" s="260"/>
      <c r="AK30" s="214"/>
      <c r="AL30" s="301"/>
      <c r="AM30" s="301"/>
      <c r="AN30" s="301"/>
      <c r="AO30" s="301"/>
      <c r="AP30" s="301"/>
      <c r="AQ30" s="351">
        <v>0</v>
      </c>
    </row>
    <row r="31" spans="1:43" ht="14.25" hidden="1" customHeight="1">
      <c r="Q31" s="309"/>
      <c r="R31" s="309"/>
      <c r="S31" s="1063"/>
      <c r="T31" s="296"/>
      <c r="U31" s="296"/>
      <c r="V31" s="256"/>
      <c r="W31" s="256"/>
      <c r="X31" s="256"/>
      <c r="Y31" s="256"/>
      <c r="Z31" s="256"/>
      <c r="AA31" s="256"/>
      <c r="AB31" s="256"/>
      <c r="AC31" s="256"/>
      <c r="AD31" s="256"/>
      <c r="AE31" s="256"/>
      <c r="AF31" s="256"/>
      <c r="AG31" s="256"/>
      <c r="AH31" s="256"/>
      <c r="AI31" s="256"/>
      <c r="AJ31" s="442"/>
      <c r="AQ31" s="956">
        <v>0</v>
      </c>
    </row>
    <row r="32" spans="1:43" s="1609" customFormat="1" ht="18.75" hidden="1" customHeight="1">
      <c r="A32" s="1156"/>
      <c r="B32" s="1156"/>
      <c r="C32" s="1156"/>
      <c r="D32" s="1156"/>
      <c r="E32" s="1156"/>
      <c r="F32" s="1156"/>
      <c r="G32" s="1156"/>
      <c r="H32" s="1156"/>
      <c r="I32" s="1156"/>
      <c r="J32" s="1156"/>
      <c r="K32" s="1156"/>
      <c r="L32" s="1157"/>
      <c r="M32" s="1156"/>
      <c r="N32" s="1156"/>
      <c r="O32" s="1156"/>
      <c r="S32" s="2386" t="s">
        <v>509</v>
      </c>
      <c r="T32" s="2386"/>
      <c r="U32" s="1160"/>
      <c r="V32" s="2387" t="str">
        <f>IF(TITLE_DATE_PR_CHANGE="",IF(TITLE_DATE_PR="","",TITLE_DATE_PR),TITLE_DATE_PR_CHANGE)</f>
        <v/>
      </c>
      <c r="W32" s="2387"/>
      <c r="X32" s="2387"/>
      <c r="Y32" s="2387"/>
      <c r="Z32" s="2387"/>
      <c r="AA32" s="2387"/>
      <c r="AB32" s="260"/>
      <c r="AC32" s="2387" t="str">
        <f>IF(TITLE_DATE_PR_CHANGE="",IF(TITLE_DATE_PR="","",TITLE_DATE_PR),TITLE_DATE_PR_CHANGE)</f>
        <v/>
      </c>
      <c r="AD32" s="2387"/>
      <c r="AE32" s="2387"/>
      <c r="AF32" s="2387"/>
      <c r="AG32" s="2387"/>
      <c r="AH32" s="2387"/>
      <c r="AI32" s="260"/>
      <c r="AJ32" s="260"/>
      <c r="AK32" s="214"/>
      <c r="AL32" s="301"/>
      <c r="AM32" s="301"/>
      <c r="AN32" s="301"/>
      <c r="AO32" s="301"/>
      <c r="AP32" s="301"/>
      <c r="AQ32" s="351">
        <v>0</v>
      </c>
    </row>
    <row r="33" spans="1:43" s="1609" customFormat="1" ht="18.75" hidden="1" customHeight="1">
      <c r="A33" s="1156"/>
      <c r="B33" s="1156"/>
      <c r="C33" s="1156"/>
      <c r="D33" s="1156"/>
      <c r="E33" s="1156"/>
      <c r="F33" s="1156"/>
      <c r="G33" s="1156"/>
      <c r="H33" s="1156"/>
      <c r="I33" s="1156"/>
      <c r="J33" s="1156"/>
      <c r="K33" s="1156"/>
      <c r="L33" s="1157"/>
      <c r="M33" s="1156"/>
      <c r="N33" s="1156"/>
      <c r="O33" s="1156"/>
      <c r="S33" s="2386" t="s">
        <v>510</v>
      </c>
      <c r="T33" s="2386"/>
      <c r="U33" s="1160"/>
      <c r="V33" s="2388" t="str">
        <f>IF(TITLE_NUMBER_PR_CHANGE="",IF(TITLE_NUMBER_PR="","",TITLE_NUMBER_PR),TITLE_NUMBER_PR_CHANGE)</f>
        <v/>
      </c>
      <c r="W33" s="2388"/>
      <c r="X33" s="2388"/>
      <c r="Y33" s="2388"/>
      <c r="Z33" s="2388"/>
      <c r="AA33" s="2388"/>
      <c r="AB33" s="260"/>
      <c r="AC33" s="2388" t="str">
        <f>IF(TITLE_NUMBER_PR_CHANGE="",IF(TITLE_NUMBER_PR="","",TITLE_NUMBER_PR),TITLE_NUMBER_PR_CHANGE)</f>
        <v/>
      </c>
      <c r="AD33" s="2388"/>
      <c r="AE33" s="2388"/>
      <c r="AF33" s="2388"/>
      <c r="AG33" s="2388"/>
      <c r="AH33" s="2388"/>
      <c r="AI33" s="260"/>
      <c r="AJ33" s="260"/>
      <c r="AK33" s="214"/>
      <c r="AL33" s="301"/>
      <c r="AM33" s="301"/>
      <c r="AN33" s="301"/>
      <c r="AO33" s="301"/>
      <c r="AP33" s="301"/>
      <c r="AQ33" s="351">
        <v>0</v>
      </c>
    </row>
    <row r="34" spans="1:43" s="1609" customFormat="1" ht="1.1499999999999999" customHeight="1">
      <c r="A34" s="1156"/>
      <c r="B34" s="1156"/>
      <c r="C34" s="1156"/>
      <c r="D34" s="1156"/>
      <c r="E34" s="1156"/>
      <c r="F34" s="1156"/>
      <c r="G34" s="1156"/>
      <c r="H34" s="1156"/>
      <c r="I34" s="1156"/>
      <c r="J34" s="1156"/>
      <c r="K34" s="1156"/>
      <c r="L34" s="1157"/>
      <c r="M34" s="1156"/>
      <c r="N34" s="1156"/>
      <c r="O34" s="1156"/>
      <c r="S34" s="257"/>
      <c r="T34" s="257"/>
      <c r="U34" s="1143"/>
      <c r="V34" s="260"/>
      <c r="W34" s="260"/>
      <c r="X34" s="260"/>
      <c r="Y34" s="260"/>
      <c r="Z34" s="260"/>
      <c r="AA34" s="260"/>
      <c r="AB34" s="212" t="s">
        <v>511</v>
      </c>
      <c r="AC34" s="260"/>
      <c r="AD34" s="260"/>
      <c r="AE34" s="260"/>
      <c r="AF34" s="260"/>
      <c r="AG34" s="260"/>
      <c r="AH34" s="260"/>
      <c r="AI34" s="212" t="s">
        <v>511</v>
      </c>
      <c r="AL34" s="301"/>
      <c r="AM34" s="301"/>
      <c r="AN34" s="301"/>
      <c r="AO34" s="301"/>
      <c r="AP34" s="301"/>
      <c r="AQ34" s="351">
        <v>1</v>
      </c>
    </row>
    <row r="35" spans="1:43" ht="14.65" customHeight="1">
      <c r="Q35" s="309"/>
      <c r="R35" s="309"/>
      <c r="S35" s="1063"/>
      <c r="T35" s="296"/>
      <c r="U35" s="1032"/>
      <c r="V35" s="2407"/>
      <c r="W35" s="2407"/>
      <c r="X35" s="2407"/>
      <c r="Y35" s="2407"/>
      <c r="Z35" s="2407"/>
      <c r="AA35" s="2407"/>
      <c r="AB35" s="2407"/>
      <c r="AC35" s="2407"/>
      <c r="AD35" s="2407"/>
      <c r="AE35" s="2407"/>
      <c r="AF35" s="2407"/>
      <c r="AG35" s="2407"/>
      <c r="AH35" s="2407"/>
      <c r="AI35" s="2407"/>
      <c r="AQ35" s="956">
        <v>14</v>
      </c>
    </row>
    <row r="36" spans="1:43" ht="14.65" customHeight="1">
      <c r="Q36" s="309"/>
      <c r="R36" s="309"/>
      <c r="S36" s="2266" t="s">
        <v>384</v>
      </c>
      <c r="T36" s="2266"/>
      <c r="U36" s="2266"/>
      <c r="V36" s="2266"/>
      <c r="W36" s="2266"/>
      <c r="X36" s="2266"/>
      <c r="Y36" s="2266"/>
      <c r="Z36" s="2266"/>
      <c r="AA36" s="2266"/>
      <c r="AB36" s="2266"/>
      <c r="AC36" s="2266"/>
      <c r="AD36" s="2266"/>
      <c r="AE36" s="2266"/>
      <c r="AF36" s="2266"/>
      <c r="AG36" s="2266"/>
      <c r="AH36" s="2266"/>
      <c r="AI36" s="2266"/>
      <c r="AJ36" s="2266"/>
      <c r="AK36" s="2266" t="s">
        <v>385</v>
      </c>
      <c r="AQ36" s="956">
        <v>14</v>
      </c>
    </row>
    <row r="37" spans="1:43" ht="14.65" customHeight="1">
      <c r="Q37" s="309"/>
      <c r="R37" s="309"/>
      <c r="S37" s="2408" t="s">
        <v>75</v>
      </c>
      <c r="T37" s="2357" t="s">
        <v>512</v>
      </c>
      <c r="U37" s="235"/>
      <c r="V37" s="2409" t="s">
        <v>513</v>
      </c>
      <c r="W37" s="2410"/>
      <c r="X37" s="2410"/>
      <c r="Y37" s="2410"/>
      <c r="Z37" s="2410"/>
      <c r="AA37" s="2411"/>
      <c r="AB37" s="2412" t="s">
        <v>514</v>
      </c>
      <c r="AC37" s="2409" t="s">
        <v>513</v>
      </c>
      <c r="AD37" s="2410"/>
      <c r="AE37" s="2410"/>
      <c r="AF37" s="2410"/>
      <c r="AG37" s="2410"/>
      <c r="AH37" s="2411"/>
      <c r="AI37" s="2412" t="s">
        <v>515</v>
      </c>
      <c r="AJ37" s="2415" t="s">
        <v>516</v>
      </c>
      <c r="AK37" s="2266"/>
      <c r="AQ37" s="956">
        <v>14</v>
      </c>
    </row>
    <row r="38" spans="1:43" ht="35.65" customHeight="1">
      <c r="Q38" s="309"/>
      <c r="R38" s="309"/>
      <c r="S38" s="2408"/>
      <c r="T38" s="2357"/>
      <c r="U38" s="874"/>
      <c r="V38" s="1140" t="s">
        <v>573</v>
      </c>
      <c r="W38" s="2247" t="s">
        <v>519</v>
      </c>
      <c r="X38" s="2246"/>
      <c r="Y38" s="2247" t="s">
        <v>520</v>
      </c>
      <c r="Z38" s="2252"/>
      <c r="AA38" s="2246"/>
      <c r="AB38" s="2413"/>
      <c r="AC38" s="1140" t="s">
        <v>573</v>
      </c>
      <c r="AD38" s="2247" t="s">
        <v>519</v>
      </c>
      <c r="AE38" s="2246"/>
      <c r="AF38" s="2247" t="s">
        <v>520</v>
      </c>
      <c r="AG38" s="2252"/>
      <c r="AH38" s="2246"/>
      <c r="AI38" s="2413"/>
      <c r="AJ38" s="2416"/>
      <c r="AK38" s="2266"/>
      <c r="AQ38" s="956">
        <v>34</v>
      </c>
    </row>
    <row r="39" spans="1:43" ht="35.65" customHeight="1">
      <c r="A39" s="1158"/>
      <c r="B39" s="1158" t="s">
        <v>226</v>
      </c>
      <c r="C39" s="1158" t="s">
        <v>227</v>
      </c>
      <c r="D39" s="1158" t="s">
        <v>228</v>
      </c>
      <c r="E39" s="1152" t="s">
        <v>521</v>
      </c>
      <c r="F39" s="1152" t="s">
        <v>522</v>
      </c>
      <c r="G39" s="1152" t="s">
        <v>523</v>
      </c>
      <c r="H39" s="1152"/>
      <c r="I39" s="1152" t="s">
        <v>574</v>
      </c>
      <c r="J39" s="1152" t="s">
        <v>526</v>
      </c>
      <c r="K39" s="1152" t="s">
        <v>575</v>
      </c>
      <c r="L39" s="1152" t="s">
        <v>502</v>
      </c>
      <c r="Q39" s="309"/>
      <c r="R39" s="309"/>
      <c r="S39" s="2408"/>
      <c r="T39" s="2357"/>
      <c r="U39" s="236"/>
      <c r="V39" s="1140" t="s">
        <v>576</v>
      </c>
      <c r="W39" s="1010" t="s">
        <v>577</v>
      </c>
      <c r="X39" s="1010" t="s">
        <v>578</v>
      </c>
      <c r="Y39" s="1145" t="s">
        <v>530</v>
      </c>
      <c r="Z39" s="2362" t="s">
        <v>531</v>
      </c>
      <c r="AA39" s="2375"/>
      <c r="AB39" s="2414"/>
      <c r="AC39" s="1140" t="s">
        <v>576</v>
      </c>
      <c r="AD39" s="1010" t="s">
        <v>577</v>
      </c>
      <c r="AE39" s="1010" t="s">
        <v>578</v>
      </c>
      <c r="AF39" s="1145" t="s">
        <v>530</v>
      </c>
      <c r="AG39" s="2362" t="s">
        <v>531</v>
      </c>
      <c r="AH39" s="2375"/>
      <c r="AI39" s="2414"/>
      <c r="AJ39" s="2417"/>
      <c r="AK39" s="2266"/>
      <c r="AQ39" s="956">
        <v>34</v>
      </c>
    </row>
    <row r="40" spans="1:43" s="1429" customFormat="1" ht="11.25" hidden="1" customHeight="1">
      <c r="A40" s="1158"/>
      <c r="B40" s="1158"/>
      <c r="C40" s="1158"/>
      <c r="D40" s="1158"/>
      <c r="E40" s="1158"/>
      <c r="F40" s="1158"/>
      <c r="G40" s="1158"/>
      <c r="H40" s="1158"/>
      <c r="I40" s="1158"/>
      <c r="J40" s="1158"/>
      <c r="K40" s="1158"/>
      <c r="L40" s="1152"/>
      <c r="M40" s="1150"/>
      <c r="N40" s="1150"/>
      <c r="O40" s="1150"/>
      <c r="P40" s="1034"/>
      <c r="Q40" s="1035"/>
      <c r="R40" s="1042">
        <v>1</v>
      </c>
      <c r="S40" s="1065" t="s">
        <v>161</v>
      </c>
      <c r="T40" s="1043" t="s">
        <v>89</v>
      </c>
      <c r="U40" s="1033" t="str">
        <f ca="1">OFFSET(U40,0,-1)</f>
        <v>2</v>
      </c>
      <c r="V40" s="1141">
        <f ca="1">OFFSET(V40,0,-1)+1</f>
        <v>3</v>
      </c>
      <c r="W40" s="1141">
        <f ca="1">OFFSET(W40,0,-1)+1</f>
        <v>4</v>
      </c>
      <c r="X40" s="1141">
        <f ca="1">OFFSET(X40,0,-1)+1</f>
        <v>5</v>
      </c>
      <c r="Y40" s="1141">
        <f ca="1">OFFSET(Y40,0,-1)+1</f>
        <v>6</v>
      </c>
      <c r="Z40" s="2406">
        <f ca="1">OFFSET(Z40,0,-1)+1</f>
        <v>7</v>
      </c>
      <c r="AA40" s="2406"/>
      <c r="AB40" s="1141">
        <f ca="1">OFFSET(AB40,0,-2)+1</f>
        <v>8</v>
      </c>
      <c r="AC40" s="1141">
        <f ca="1">OFFSET(AC40,0,-1)+1</f>
        <v>9</v>
      </c>
      <c r="AD40" s="1141">
        <f ca="1">OFFSET(AD40,0,-1)+1</f>
        <v>10</v>
      </c>
      <c r="AE40" s="1141">
        <f ca="1">OFFSET(AE40,0,-1)+1</f>
        <v>11</v>
      </c>
      <c r="AF40" s="1141">
        <f ca="1">OFFSET(AF40,0,-1)+1</f>
        <v>12</v>
      </c>
      <c r="AG40" s="2406">
        <f ca="1">OFFSET(AG40,0,-1)+1</f>
        <v>13</v>
      </c>
      <c r="AH40" s="2406"/>
      <c r="AI40" s="1141">
        <f ca="1">OFFSET(AI40,0,-2)+1</f>
        <v>14</v>
      </c>
      <c r="AJ40" s="1033">
        <f ca="1">OFFSET(AJ40,0,-1)</f>
        <v>14</v>
      </c>
      <c r="AK40" s="1141">
        <f ca="1">OFFSET(AK40,0,-1)+1</f>
        <v>15</v>
      </c>
      <c r="AL40" s="444"/>
      <c r="AM40" s="444"/>
      <c r="AN40" s="444"/>
      <c r="AO40" s="444"/>
      <c r="AP40" s="444"/>
      <c r="AQ40" s="429">
        <v>0</v>
      </c>
    </row>
    <row r="41" spans="1:43" ht="24" customHeight="1">
      <c r="A41" s="1151" t="s">
        <v>310</v>
      </c>
      <c r="B41" s="1151"/>
      <c r="C41" s="1151"/>
      <c r="D41" s="1151"/>
      <c r="E41" s="2395">
        <v>1</v>
      </c>
      <c r="F41" s="1151"/>
      <c r="G41" s="1151"/>
      <c r="H41" s="1151"/>
      <c r="I41" s="1151"/>
      <c r="J41" s="1151"/>
      <c r="K41" s="1151"/>
      <c r="L41" s="1152"/>
      <c r="M41" s="1153"/>
      <c r="N41" s="1153"/>
      <c r="O41" s="1153"/>
      <c r="P41" s="294"/>
      <c r="Q41" s="293"/>
      <c r="R41" s="288"/>
      <c r="S41" s="1146">
        <f>INDEX(PT_DIFFERENTIATION_NUM_NTAR,MATCH(A41,PT_DIFFERENTIATION_NTAR_ID,0))</f>
        <v>0</v>
      </c>
      <c r="T41" s="232" t="s">
        <v>214</v>
      </c>
      <c r="U41" s="234"/>
      <c r="V41" s="2389"/>
      <c r="W41" s="2390"/>
      <c r="X41" s="2390"/>
      <c r="Y41" s="2390"/>
      <c r="Z41" s="2390"/>
      <c r="AA41" s="2390"/>
      <c r="AB41" s="2391"/>
      <c r="AC41" s="2389" t="str">
        <f>INDEX(PT_DIFFERENTIATION_NTAR,MATCH(A41,PT_DIFFERENTIATION_NTAR_ID,0))</f>
        <v/>
      </c>
      <c r="AD41" s="2390"/>
      <c r="AE41" s="2390"/>
      <c r="AF41" s="2390"/>
      <c r="AG41" s="2390"/>
      <c r="AH41" s="2390"/>
      <c r="AI41" s="2390"/>
      <c r="AJ41" s="2391"/>
      <c r="AK41" s="104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956">
        <v>23</v>
      </c>
    </row>
    <row r="42" spans="1:43" ht="24" customHeight="1">
      <c r="A42" s="1151" t="s">
        <v>310</v>
      </c>
      <c r="B42" s="1151" t="s">
        <v>311</v>
      </c>
      <c r="C42" s="1151"/>
      <c r="D42" s="1151"/>
      <c r="E42" s="2396"/>
      <c r="F42" s="2395">
        <v>1</v>
      </c>
      <c r="G42" s="1151"/>
      <c r="H42" s="1151"/>
      <c r="I42" s="1151"/>
      <c r="J42" s="1151"/>
      <c r="K42" s="1151"/>
      <c r="L42" s="1152"/>
      <c r="M42" s="1153"/>
      <c r="N42" s="1153"/>
      <c r="O42" s="1153"/>
      <c r="P42" s="1144"/>
      <c r="Q42" s="285"/>
      <c r="R42" s="286"/>
      <c r="S42" s="1146" t="str">
        <f>INDEX(PT_DIFFERENTIATION_NUM_TER,MATCH(B42,PT_DIFFERENTIATION_TER_ID,0))</f>
        <v>.</v>
      </c>
      <c r="T42" s="242" t="s">
        <v>481</v>
      </c>
      <c r="U42" s="234"/>
      <c r="V42" s="2389"/>
      <c r="W42" s="2390"/>
      <c r="X42" s="2390"/>
      <c r="Y42" s="2390"/>
      <c r="Z42" s="2390"/>
      <c r="AA42" s="2390"/>
      <c r="AB42" s="2391"/>
      <c r="AC42" s="2389" t="str">
        <f>INDEX(PT_DIFFERENTIATION_TER,MATCH(B42,PT_DIFFERENTIATION_TER_ID,0))</f>
        <v/>
      </c>
      <c r="AD42" s="2390"/>
      <c r="AE42" s="2390"/>
      <c r="AF42" s="2390"/>
      <c r="AG42" s="2390"/>
      <c r="AH42" s="2390"/>
      <c r="AI42" s="2390"/>
      <c r="AJ42" s="2391"/>
      <c r="AK42" s="1046" t="s">
        <v>482</v>
      </c>
      <c r="AM42" s="433"/>
      <c r="AN42" s="433" t="str">
        <f t="shared" si="1"/>
        <v>Территория действия тарифа</v>
      </c>
      <c r="AO42" s="433"/>
      <c r="AP42" s="433"/>
      <c r="AQ42" s="956">
        <v>23</v>
      </c>
    </row>
    <row r="43" spans="1:43" ht="24" customHeight="1">
      <c r="A43" s="1151" t="s">
        <v>310</v>
      </c>
      <c r="B43" s="1151" t="s">
        <v>311</v>
      </c>
      <c r="C43" s="1151" t="s">
        <v>312</v>
      </c>
      <c r="D43" s="1151"/>
      <c r="E43" s="2396"/>
      <c r="F43" s="2396"/>
      <c r="G43" s="2395">
        <v>1</v>
      </c>
      <c r="H43" s="1151"/>
      <c r="I43" s="1151"/>
      <c r="J43" s="1151"/>
      <c r="K43" s="1151"/>
      <c r="L43" s="1152"/>
      <c r="M43" s="1153"/>
      <c r="N43" s="1153"/>
      <c r="O43" s="1153"/>
      <c r="P43" s="287"/>
      <c r="Q43" s="285"/>
      <c r="R43" s="286"/>
      <c r="S43" s="1146" t="str">
        <f>INDEX(PT_DIFFERENTIATION_NUM_CS,MATCH(C43,PT_DIFFERENTIATION_CS_ID,0))</f>
        <v>..</v>
      </c>
      <c r="T43" s="243" t="s">
        <v>565</v>
      </c>
      <c r="U43" s="234"/>
      <c r="V43" s="2389"/>
      <c r="W43" s="2390"/>
      <c r="X43" s="2390"/>
      <c r="Y43" s="2390"/>
      <c r="Z43" s="2390"/>
      <c r="AA43" s="2390"/>
      <c r="AB43" s="2391"/>
      <c r="AC43" s="2389" t="str">
        <f>INDEX(PT_DIFFERENTIATION_CS,MATCH(C43,PT_DIFFERENTIATION_CS_ID,0))</f>
        <v/>
      </c>
      <c r="AD43" s="2390"/>
      <c r="AE43" s="2390"/>
      <c r="AF43" s="2390"/>
      <c r="AG43" s="2390"/>
      <c r="AH43" s="2390"/>
      <c r="AI43" s="2390"/>
      <c r="AJ43" s="2391"/>
      <c r="AK43" s="1046" t="s">
        <v>566</v>
      </c>
      <c r="AM43" s="433"/>
      <c r="AN43" s="433" t="str">
        <f t="shared" si="1"/>
        <v>Наименование централизованной системы холодного водоснабжения</v>
      </c>
      <c r="AO43" s="433"/>
      <c r="AP43" s="433"/>
      <c r="AQ43" s="956">
        <v>23</v>
      </c>
    </row>
    <row r="44" spans="1:43" ht="24" customHeight="1">
      <c r="A44" s="1151" t="s">
        <v>310</v>
      </c>
      <c r="B44" s="1151" t="s">
        <v>311</v>
      </c>
      <c r="C44" s="1151" t="s">
        <v>312</v>
      </c>
      <c r="D44" s="1151" t="s">
        <v>579</v>
      </c>
      <c r="E44" s="2396"/>
      <c r="F44" s="2396"/>
      <c r="G44" s="2396"/>
      <c r="H44" s="2396"/>
      <c r="I44" s="2397" t="str">
        <f>S43&amp;".1"</f>
        <v>...1</v>
      </c>
      <c r="J44" s="1151"/>
      <c r="K44" s="1151"/>
      <c r="L44" s="1152"/>
      <c r="P44" s="2399">
        <v>1</v>
      </c>
      <c r="Q44" s="1142"/>
      <c r="R44" s="289"/>
      <c r="S44" s="1146" t="str">
        <f>$I44</f>
        <v>...1</v>
      </c>
      <c r="T44" s="219" t="s">
        <v>567</v>
      </c>
      <c r="U44" s="234"/>
      <c r="V44" s="2463"/>
      <c r="W44" s="2464"/>
      <c r="X44" s="2464"/>
      <c r="Y44" s="2464"/>
      <c r="Z44" s="2464"/>
      <c r="AA44" s="2464"/>
      <c r="AB44" s="2465"/>
      <c r="AC44" s="2466"/>
      <c r="AD44" s="2467"/>
      <c r="AE44" s="2467"/>
      <c r="AF44" s="2467"/>
      <c r="AG44" s="2467"/>
      <c r="AH44" s="2467"/>
      <c r="AI44" s="2467"/>
      <c r="AJ44" s="2468"/>
      <c r="AK44" s="1046" t="s">
        <v>568</v>
      </c>
      <c r="AM44" s="433"/>
      <c r="AN44" s="433" t="str">
        <f t="shared" si="1"/>
        <v>Наименование признака дифференциации</v>
      </c>
      <c r="AO44" s="433"/>
      <c r="AP44" s="433"/>
      <c r="AQ44" s="956">
        <v>23</v>
      </c>
    </row>
    <row r="45" spans="1:43" ht="24" customHeight="1">
      <c r="A45" s="1151" t="s">
        <v>310</v>
      </c>
      <c r="B45" s="1151" t="s">
        <v>311</v>
      </c>
      <c r="C45" s="1151" t="s">
        <v>312</v>
      </c>
      <c r="D45" s="1151" t="s">
        <v>579</v>
      </c>
      <c r="E45" s="2396"/>
      <c r="F45" s="2396"/>
      <c r="G45" s="2396"/>
      <c r="H45" s="2396"/>
      <c r="I45" s="2398"/>
      <c r="J45" s="2397" t="str">
        <f>I44&amp;".1"</f>
        <v>...1.1</v>
      </c>
      <c r="K45" s="1151"/>
      <c r="L45" s="1152" t="s">
        <v>490</v>
      </c>
      <c r="P45" s="2399"/>
      <c r="Q45" s="2399">
        <v>1</v>
      </c>
      <c r="R45" s="290"/>
      <c r="S45" s="1146" t="str">
        <f>$J45</f>
        <v>...1.1</v>
      </c>
      <c r="T45" s="220" t="s">
        <v>491</v>
      </c>
      <c r="U45" s="234"/>
      <c r="V45" s="2383"/>
      <c r="W45" s="2384"/>
      <c r="X45" s="2384"/>
      <c r="Y45" s="2384"/>
      <c r="Z45" s="2384"/>
      <c r="AA45" s="2384"/>
      <c r="AB45" s="2385"/>
      <c r="AC45" s="2383"/>
      <c r="AD45" s="2384"/>
      <c r="AE45" s="2384"/>
      <c r="AF45" s="2384"/>
      <c r="AG45" s="2384"/>
      <c r="AH45" s="2384"/>
      <c r="AI45" s="2384"/>
      <c r="AJ45" s="2385"/>
      <c r="AK45" s="1095" t="s">
        <v>569</v>
      </c>
      <c r="AM45" s="433"/>
      <c r="AN45" s="433" t="str">
        <f t="shared" si="1"/>
        <v>Группа потребителей</v>
      </c>
      <c r="AO45" s="433"/>
      <c r="AP45" s="433"/>
      <c r="AQ45" s="956">
        <v>23</v>
      </c>
    </row>
    <row r="46" spans="1:43" ht="24" customHeight="1">
      <c r="A46" s="1151" t="s">
        <v>310</v>
      </c>
      <c r="B46" s="1151" t="s">
        <v>311</v>
      </c>
      <c r="C46" s="1151" t="s">
        <v>312</v>
      </c>
      <c r="D46" s="1151" t="s">
        <v>579</v>
      </c>
      <c r="E46" s="2396"/>
      <c r="F46" s="2396"/>
      <c r="G46" s="2396"/>
      <c r="H46" s="2396"/>
      <c r="I46" s="2398"/>
      <c r="J46" s="2398"/>
      <c r="K46" s="2397" t="str">
        <f>J45&amp;".1"</f>
        <v>...1.1.1</v>
      </c>
      <c r="L46" s="1152"/>
      <c r="P46" s="2399"/>
      <c r="Q46" s="2399"/>
      <c r="R46" s="290">
        <v>1</v>
      </c>
      <c r="S46" s="1146" t="str">
        <f>$K46</f>
        <v>...1.1.1</v>
      </c>
      <c r="T46" s="1225"/>
      <c r="U46" s="234"/>
      <c r="V46" s="1148"/>
      <c r="W46" s="1148"/>
      <c r="X46" s="1149"/>
      <c r="Y46" s="2393"/>
      <c r="Z46" s="2392" t="s">
        <v>52</v>
      </c>
      <c r="AA46" s="2393"/>
      <c r="AB46" s="2392" t="s">
        <v>52</v>
      </c>
      <c r="AC46" s="658"/>
      <c r="AD46" s="658"/>
      <c r="AE46" s="1045"/>
      <c r="AF46" s="2400"/>
      <c r="AG46" s="2276" t="s">
        <v>52</v>
      </c>
      <c r="AH46" s="2402"/>
      <c r="AI46" s="2276" t="s">
        <v>6</v>
      </c>
      <c r="AJ46" s="1226"/>
      <c r="AK46" s="24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956">
        <v>23</v>
      </c>
    </row>
    <row r="47" spans="1:43" ht="0" hidden="1" customHeight="1">
      <c r="A47" s="1151" t="s">
        <v>310</v>
      </c>
      <c r="B47" s="1151" t="s">
        <v>311</v>
      </c>
      <c r="C47" s="1151" t="s">
        <v>312</v>
      </c>
      <c r="D47" s="1151" t="s">
        <v>579</v>
      </c>
      <c r="E47" s="2396"/>
      <c r="F47" s="2396"/>
      <c r="G47" s="2396"/>
      <c r="H47" s="2396"/>
      <c r="I47" s="2398"/>
      <c r="J47" s="2398"/>
      <c r="K47" s="2397"/>
      <c r="L47" s="1152"/>
      <c r="P47" s="2399"/>
      <c r="Q47" s="2399"/>
      <c r="R47" s="290"/>
      <c r="S47" s="1147"/>
      <c r="T47" s="234"/>
      <c r="U47" s="234"/>
      <c r="V47" s="1148"/>
      <c r="W47" s="1148"/>
      <c r="X47" s="262" t="str">
        <f>Y46&amp;"-"&amp;AA46</f>
        <v>-</v>
      </c>
      <c r="Y47" s="2392"/>
      <c r="Z47" s="2392"/>
      <c r="AA47" s="2392"/>
      <c r="AB47" s="2392"/>
      <c r="AC47" s="259"/>
      <c r="AD47" s="259"/>
      <c r="AE47" s="262" t="str">
        <f>AF46&amp;"-"&amp;AH46</f>
        <v>-</v>
      </c>
      <c r="AF47" s="2401"/>
      <c r="AG47" s="2276"/>
      <c r="AH47" s="2403"/>
      <c r="AI47" s="2276"/>
      <c r="AJ47" s="1227"/>
      <c r="AK47" s="2469"/>
      <c r="AM47" s="433"/>
      <c r="AN47" s="433" t="str">
        <f t="shared" si="1"/>
        <v/>
      </c>
      <c r="AO47" s="433"/>
      <c r="AP47" s="433"/>
      <c r="AQ47" s="956">
        <v>0</v>
      </c>
    </row>
    <row r="48" spans="1:43" ht="21" customHeight="1">
      <c r="A48" s="1151" t="s">
        <v>310</v>
      </c>
      <c r="B48" s="1151" t="s">
        <v>311</v>
      </c>
      <c r="C48" s="1151" t="s">
        <v>312</v>
      </c>
      <c r="D48" s="1151" t="s">
        <v>579</v>
      </c>
      <c r="E48" s="2396"/>
      <c r="F48" s="2396"/>
      <c r="G48" s="2396"/>
      <c r="H48" s="2396"/>
      <c r="I48" s="2398"/>
      <c r="J48" s="2397"/>
      <c r="K48" s="1151"/>
      <c r="L48" s="1152"/>
      <c r="P48" s="2399"/>
      <c r="Q48" s="2399"/>
      <c r="R48" s="289"/>
      <c r="S48" s="1066"/>
      <c r="T48" s="221" t="s">
        <v>570</v>
      </c>
      <c r="U48" s="300"/>
      <c r="V48" s="300"/>
      <c r="W48" s="300"/>
      <c r="X48" s="300"/>
      <c r="Y48" s="300"/>
      <c r="Z48" s="300"/>
      <c r="AA48" s="300"/>
      <c r="AB48" s="300"/>
      <c r="AC48" s="300"/>
      <c r="AD48" s="300"/>
      <c r="AE48" s="300"/>
      <c r="AF48" s="300"/>
      <c r="AG48" s="300"/>
      <c r="AH48" s="300"/>
      <c r="AI48" s="300"/>
      <c r="AJ48" s="300"/>
      <c r="AK48" s="1046" t="s">
        <v>571</v>
      </c>
      <c r="AM48" s="433"/>
      <c r="AN48" s="433" t="str">
        <f t="shared" si="1"/>
        <v>Добавить значение признака дифференциации</v>
      </c>
      <c r="AO48" s="433"/>
      <c r="AP48" s="433"/>
      <c r="AQ48" s="956">
        <v>20</v>
      </c>
    </row>
    <row r="49" spans="1:43" ht="21.95" customHeight="1">
      <c r="A49" s="1151" t="s">
        <v>310</v>
      </c>
      <c r="B49" s="1151" t="s">
        <v>311</v>
      </c>
      <c r="C49" s="1151" t="s">
        <v>312</v>
      </c>
      <c r="D49" s="1151" t="s">
        <v>579</v>
      </c>
      <c r="E49" s="2396"/>
      <c r="F49" s="2396"/>
      <c r="G49" s="2396"/>
      <c r="H49" s="2396"/>
      <c r="I49" s="2397"/>
      <c r="J49" s="1151"/>
      <c r="K49" s="1151"/>
      <c r="L49" s="1152"/>
      <c r="P49" s="2399"/>
      <c r="Q49" s="1142"/>
      <c r="R49" s="289"/>
      <c r="S49" s="1066"/>
      <c r="T49" s="298" t="s">
        <v>496</v>
      </c>
      <c r="U49" s="300"/>
      <c r="V49" s="300"/>
      <c r="W49" s="300"/>
      <c r="X49" s="300"/>
      <c r="Y49" s="300"/>
      <c r="Z49" s="300"/>
      <c r="AA49" s="300"/>
      <c r="AB49" s="299"/>
      <c r="AC49" s="300"/>
      <c r="AD49" s="300"/>
      <c r="AE49" s="300"/>
      <c r="AF49" s="300"/>
      <c r="AG49" s="300"/>
      <c r="AH49" s="300"/>
      <c r="AI49" s="299"/>
      <c r="AJ49" s="300"/>
      <c r="AK49" s="1228"/>
      <c r="AM49" s="433"/>
      <c r="AN49" s="433" t="str">
        <f t="shared" si="1"/>
        <v>Добавить группу потребителей</v>
      </c>
      <c r="AO49" s="433"/>
      <c r="AP49" s="433"/>
      <c r="AQ49" s="956">
        <v>21</v>
      </c>
    </row>
    <row r="50" spans="1:43" ht="21.95" customHeight="1">
      <c r="A50" s="1151" t="s">
        <v>310</v>
      </c>
      <c r="B50" s="1151" t="s">
        <v>311</v>
      </c>
      <c r="C50" s="1151" t="s">
        <v>312</v>
      </c>
      <c r="D50" s="1151" t="s">
        <v>579</v>
      </c>
      <c r="E50" s="2396"/>
      <c r="F50" s="2396"/>
      <c r="G50" s="2396"/>
      <c r="H50" s="2395"/>
      <c r="I50" s="1151"/>
      <c r="J50" s="1151"/>
      <c r="K50" s="1151"/>
      <c r="L50" s="1152"/>
      <c r="M50" s="1153"/>
      <c r="N50" s="1153"/>
      <c r="O50" s="469"/>
      <c r="P50" s="293"/>
      <c r="Q50" s="308"/>
      <c r="R50" s="288"/>
      <c r="S50" s="1066"/>
      <c r="T50" s="305" t="s">
        <v>572</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956">
        <v>21</v>
      </c>
    </row>
    <row r="51" spans="1:43" s="1430" customFormat="1" ht="0" hidden="1" customHeight="1">
      <c r="A51" s="1131" t="s">
        <v>310</v>
      </c>
      <c r="B51" s="1131" t="s">
        <v>311</v>
      </c>
      <c r="C51" s="1102"/>
      <c r="D51" s="1102"/>
      <c r="E51" s="2396"/>
      <c r="F51" s="2395"/>
      <c r="G51" s="1102"/>
      <c r="H51" s="1102"/>
      <c r="I51" s="1102"/>
      <c r="J51" s="1102"/>
      <c r="K51" s="1102"/>
      <c r="L51" s="1214"/>
      <c r="M51" s="1109"/>
      <c r="N51" s="1109"/>
      <c r="P51" s="1104"/>
      <c r="Q51" s="1105"/>
      <c r="R51" s="1104"/>
      <c r="S51" s="1110"/>
      <c r="T51" s="1113" t="s">
        <v>499</v>
      </c>
      <c r="U51" s="1112"/>
      <c r="V51" s="1112"/>
      <c r="W51" s="1112"/>
      <c r="X51" s="1112"/>
      <c r="Y51" s="1112"/>
      <c r="Z51" s="1112"/>
      <c r="AA51" s="1112"/>
      <c r="AB51" s="1112"/>
      <c r="AC51" s="1112"/>
      <c r="AD51" s="1112"/>
      <c r="AE51" s="1112"/>
      <c r="AF51" s="1112"/>
      <c r="AG51" s="1112"/>
      <c r="AH51" s="1112"/>
      <c r="AI51" s="1112"/>
      <c r="AJ51" s="1112"/>
      <c r="AK51" s="1112"/>
      <c r="AM51" s="688"/>
      <c r="AN51" s="688" t="str">
        <f t="shared" si="1"/>
        <v>Добавить централизованную систему для дифференциации</v>
      </c>
      <c r="AO51" s="688"/>
      <c r="AP51" s="688"/>
      <c r="AQ51" s="451">
        <v>0</v>
      </c>
    </row>
    <row r="52" spans="1:43" s="1430" customFormat="1" ht="0" hidden="1" customHeight="1">
      <c r="A52" s="1131" t="s">
        <v>310</v>
      </c>
      <c r="B52" s="1131"/>
      <c r="C52" s="1131"/>
      <c r="D52" s="1131"/>
      <c r="E52" s="2395"/>
      <c r="F52" s="1131"/>
      <c r="G52" s="1131"/>
      <c r="H52" s="1131"/>
      <c r="I52" s="1131"/>
      <c r="J52" s="1131"/>
      <c r="K52" s="1131"/>
      <c r="L52" s="1134"/>
      <c r="M52" s="1109"/>
      <c r="N52" s="1109"/>
      <c r="O52" s="451"/>
      <c r="P52" s="313"/>
      <c r="Q52" s="1132"/>
      <c r="R52" s="313"/>
      <c r="S52" s="1110"/>
      <c r="T52" s="1113" t="s">
        <v>500</v>
      </c>
      <c r="U52" s="1112"/>
      <c r="V52" s="1112"/>
      <c r="W52" s="1112"/>
      <c r="X52" s="1112"/>
      <c r="Y52" s="1112"/>
      <c r="Z52" s="1112"/>
      <c r="AA52" s="1112"/>
      <c r="AB52" s="1112"/>
      <c r="AC52" s="1112"/>
      <c r="AD52" s="1112"/>
      <c r="AE52" s="1112"/>
      <c r="AF52" s="1112"/>
      <c r="AG52" s="1112"/>
      <c r="AH52" s="1112"/>
      <c r="AI52" s="1112"/>
      <c r="AJ52" s="1112"/>
      <c r="AK52" s="1112"/>
      <c r="AM52" s="433"/>
      <c r="AN52" s="433" t="str">
        <f t="shared" si="1"/>
        <v>Добавить территорию для дифференциации</v>
      </c>
      <c r="AO52" s="433"/>
      <c r="AP52" s="433"/>
      <c r="AQ52" s="444">
        <v>0</v>
      </c>
    </row>
    <row r="53" spans="1:43" s="1430" customFormat="1" ht="0" hidden="1" customHeight="1">
      <c r="A53" s="1102"/>
      <c r="B53" s="1102"/>
      <c r="C53" s="1102"/>
      <c r="D53" s="1102"/>
      <c r="E53" s="1131"/>
      <c r="F53" s="1102"/>
      <c r="G53" s="1102"/>
      <c r="H53" s="1102"/>
      <c r="I53" s="1102"/>
      <c r="J53" s="1102"/>
      <c r="K53" s="1102"/>
      <c r="L53" s="1214"/>
      <c r="M53" s="1109"/>
      <c r="N53" s="1109"/>
      <c r="P53" s="1104"/>
      <c r="Q53" s="1105"/>
      <c r="R53" s="1104"/>
      <c r="S53" s="1110"/>
      <c r="T53" s="1113" t="s">
        <v>532</v>
      </c>
      <c r="U53" s="1112"/>
      <c r="V53" s="1112"/>
      <c r="W53" s="1112"/>
      <c r="X53" s="1112"/>
      <c r="Y53" s="1112"/>
      <c r="Z53" s="1112"/>
      <c r="AA53" s="1112"/>
      <c r="AB53" s="1112"/>
      <c r="AC53" s="1112"/>
      <c r="AD53" s="1112"/>
      <c r="AE53" s="1112"/>
      <c r="AF53" s="1112"/>
      <c r="AG53" s="1112"/>
      <c r="AH53" s="1112"/>
      <c r="AI53" s="1112"/>
      <c r="AJ53" s="1112"/>
      <c r="AK53" s="1112"/>
      <c r="AM53" s="688"/>
      <c r="AN53" s="688" t="str">
        <f t="shared" si="1"/>
        <v>Добавить наименование тарифа</v>
      </c>
      <c r="AO53" s="688"/>
      <c r="AP53" s="688"/>
      <c r="AQ53" s="451">
        <v>0</v>
      </c>
    </row>
    <row r="54" spans="1:43" ht="11.45" customHeight="1">
      <c r="M54" s="961"/>
      <c r="N54" s="961"/>
      <c r="O54" s="469"/>
      <c r="P54" s="956"/>
      <c r="Q54" s="956"/>
      <c r="R54" s="956"/>
      <c r="S54" s="956"/>
      <c r="AL54" s="956"/>
      <c r="AM54" s="956"/>
      <c r="AN54" s="956"/>
      <c r="AO54" s="956"/>
      <c r="AP54" s="956"/>
      <c r="AQ54" s="956">
        <v>11</v>
      </c>
    </row>
    <row r="55" spans="1:43" ht="14.65" customHeight="1">
      <c r="O55" s="469"/>
      <c r="S55" s="1041"/>
      <c r="T55" s="2394"/>
      <c r="U55" s="2394"/>
      <c r="V55" s="2394"/>
      <c r="W55" s="2394"/>
      <c r="X55" s="2394"/>
      <c r="Y55" s="2394"/>
      <c r="Z55" s="2394"/>
      <c r="AA55" s="2394"/>
      <c r="AB55" s="2394"/>
      <c r="AC55" s="2394"/>
      <c r="AD55" s="2394"/>
      <c r="AE55" s="2394"/>
      <c r="AF55" s="2394"/>
      <c r="AG55" s="2394"/>
      <c r="AH55" s="2394"/>
      <c r="AI55" s="2394"/>
      <c r="AJ55" s="2394"/>
      <c r="AK55" s="2394"/>
      <c r="AQ55" s="956">
        <v>14</v>
      </c>
    </row>
    <row r="56" spans="1:43" ht="14.65" customHeight="1">
      <c r="O56" s="469"/>
      <c r="AQ56" s="956">
        <v>14</v>
      </c>
    </row>
    <row r="57" spans="1:43" ht="14.65" customHeight="1">
      <c r="O57" s="469"/>
      <c r="S57" s="1041"/>
      <c r="T57" s="2394"/>
      <c r="U57" s="2394"/>
      <c r="V57" s="2394"/>
      <c r="W57" s="2394"/>
      <c r="X57" s="2394"/>
      <c r="Y57" s="2394"/>
      <c r="Z57" s="2394"/>
      <c r="AA57" s="2394"/>
      <c r="AB57" s="2394"/>
      <c r="AC57" s="2394"/>
      <c r="AD57" s="2394"/>
      <c r="AE57" s="2394"/>
      <c r="AF57" s="2394"/>
      <c r="AG57" s="2394"/>
      <c r="AH57" s="2394"/>
      <c r="AI57" s="2394"/>
      <c r="AJ57" s="2394"/>
      <c r="AK57" s="2394"/>
      <c r="AQ57" s="956">
        <v>14</v>
      </c>
    </row>
    <row r="58" spans="1:43" ht="22.5" hidden="1" customHeight="1">
      <c r="A58" s="961" t="s">
        <v>69</v>
      </c>
      <c r="B58" s="961">
        <v>0</v>
      </c>
      <c r="C58" s="961">
        <v>0</v>
      </c>
      <c r="D58" s="961">
        <v>0</v>
      </c>
      <c r="E58" s="961">
        <v>0</v>
      </c>
      <c r="F58" s="961">
        <v>0</v>
      </c>
      <c r="G58" s="961">
        <v>0</v>
      </c>
      <c r="H58" s="961">
        <v>0</v>
      </c>
      <c r="I58" s="961">
        <v>0</v>
      </c>
      <c r="J58" s="961">
        <v>0</v>
      </c>
      <c r="K58" s="961">
        <v>0</v>
      </c>
      <c r="L58" s="1209">
        <v>0</v>
      </c>
      <c r="M58" s="1150">
        <v>0</v>
      </c>
      <c r="N58" s="1150">
        <v>0</v>
      </c>
      <c r="O58" s="1150">
        <v>0</v>
      </c>
      <c r="P58" s="1139">
        <v>3</v>
      </c>
      <c r="Q58" s="278">
        <v>3</v>
      </c>
      <c r="R58" s="278">
        <v>3</v>
      </c>
      <c r="S58" s="512">
        <v>12</v>
      </c>
      <c r="T58" s="956">
        <v>35</v>
      </c>
      <c r="U58" s="956">
        <v>0</v>
      </c>
      <c r="V58" s="956">
        <v>0</v>
      </c>
      <c r="W58" s="956">
        <v>0</v>
      </c>
      <c r="X58" s="956">
        <v>0</v>
      </c>
      <c r="Y58" s="956">
        <v>0</v>
      </c>
      <c r="Z58" s="956">
        <v>0</v>
      </c>
      <c r="AA58" s="956">
        <v>0</v>
      </c>
      <c r="AB58" s="956">
        <v>0</v>
      </c>
      <c r="AC58" s="956">
        <v>24</v>
      </c>
      <c r="AD58" s="956">
        <v>24</v>
      </c>
      <c r="AE58" s="956">
        <v>24</v>
      </c>
      <c r="AF58" s="956">
        <v>11</v>
      </c>
      <c r="AG58" s="956">
        <v>3</v>
      </c>
      <c r="AH58" s="956">
        <v>11</v>
      </c>
      <c r="AI58" s="956">
        <v>0</v>
      </c>
      <c r="AJ58" s="956">
        <v>4</v>
      </c>
      <c r="AK58" s="956">
        <v>115</v>
      </c>
      <c r="AL58" s="444">
        <v>10</v>
      </c>
      <c r="AM58" s="444">
        <v>10</v>
      </c>
      <c r="AN58" s="444">
        <v>10</v>
      </c>
      <c r="AO58" s="444">
        <v>10</v>
      </c>
      <c r="AP58" s="444">
        <v>10</v>
      </c>
      <c r="AQ58" s="956">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54" hidden="1"/>
    <col min="2" max="2" width="11" style="1154" hidden="1" customWidth="1"/>
    <col min="3" max="3" width="10.5703125" style="1154" hidden="1"/>
    <col min="4" max="4" width="11.85546875" style="1154" hidden="1" customWidth="1"/>
    <col min="5" max="5" width="10" style="1154" hidden="1" customWidth="1"/>
    <col min="6" max="6" width="8.7109375" style="1154" hidden="1" customWidth="1"/>
    <col min="7" max="7" width="7.5703125" style="1154" hidden="1" customWidth="1"/>
    <col min="8" max="8" width="11.42578125" style="1154" hidden="1" customWidth="1"/>
    <col min="9" max="9" width="14.140625" style="1154" hidden="1" customWidth="1"/>
    <col min="10" max="10" width="9.85546875" style="1154" hidden="1" customWidth="1"/>
    <col min="11" max="11" width="14.7109375" style="1154" hidden="1" customWidth="1"/>
    <col min="12" max="12" width="19.140625" style="1866" hidden="1" customWidth="1"/>
    <col min="13" max="14" width="12.28515625" style="1535" hidden="1" customWidth="1"/>
    <col min="15" max="15" width="23.42578125" style="1535" hidden="1" customWidth="1"/>
    <col min="16" max="16" width="3" style="1857" customWidth="1"/>
    <col min="17" max="18" width="3" style="278" customWidth="1"/>
    <col min="19" max="19" width="12" style="1858" customWidth="1"/>
    <col min="20" max="20" width="35" style="1423" customWidth="1"/>
    <col min="21" max="21" width="0.140625" style="1423" customWidth="1"/>
    <col min="22" max="24" width="24.7109375" style="1423" hidden="1" customWidth="1"/>
    <col min="25" max="25" width="11.7109375" style="1423" hidden="1" customWidth="1"/>
    <col min="26" max="26" width="3.7109375" style="1423" hidden="1" customWidth="1"/>
    <col min="27" max="27" width="11.7109375" style="1423" hidden="1" customWidth="1"/>
    <col min="28" max="28" width="8.5703125" style="1423" hidden="1" customWidth="1"/>
    <col min="29" max="29" width="24.7109375" style="1423" customWidth="1"/>
    <col min="30" max="31" width="24" style="1423" customWidth="1"/>
    <col min="32" max="32" width="11" style="1423" customWidth="1"/>
    <col min="33" max="33" width="3.7109375" style="1423" customWidth="1"/>
    <col min="34" max="34" width="11" style="1423" customWidth="1"/>
    <col min="35" max="35" width="8.5703125" style="1423" hidden="1" customWidth="1"/>
    <col min="36" max="36" width="4" style="1423" customWidth="1"/>
    <col min="37" max="37" width="115" style="1423" customWidth="1"/>
    <col min="38" max="42" width="10" style="1430" customWidth="1"/>
    <col min="43" max="43" width="10.5703125" style="1423" hidden="1"/>
  </cols>
  <sheetData>
    <row r="1" spans="1:43" ht="22.5" hidden="1" customHeight="1">
      <c r="X1" s="261"/>
      <c r="Y1" s="261"/>
      <c r="AE1" s="261"/>
      <c r="AF1" s="261"/>
      <c r="AQ1" s="956" t="s">
        <v>1</v>
      </c>
    </row>
    <row r="2" spans="1:43" ht="23.25" hidden="1" customHeight="1">
      <c r="A2" s="1151"/>
      <c r="B2" s="1151"/>
      <c r="C2" s="1151"/>
      <c r="D2" s="1151"/>
      <c r="E2" s="2395">
        <v>1</v>
      </c>
      <c r="F2" s="1151"/>
      <c r="G2" s="1151"/>
      <c r="H2" s="1151"/>
      <c r="I2" s="1151"/>
      <c r="J2" s="1151"/>
      <c r="K2" s="1151"/>
      <c r="L2" s="1152"/>
      <c r="M2" s="1153"/>
      <c r="N2" s="1153"/>
      <c r="O2" s="1153"/>
      <c r="P2" s="294"/>
      <c r="Q2" s="293"/>
      <c r="R2" s="288"/>
      <c r="S2" s="1245" t="e">
        <f>INDEX(PT_DIFFERENTIATION_NUM_NTAR,MATCH(A2,PT_DIFFERENTIATION_NTAR_ID,0))</f>
        <v>#N/A</v>
      </c>
      <c r="T2" s="232" t="s">
        <v>214</v>
      </c>
      <c r="U2" s="234"/>
      <c r="V2" s="2389"/>
      <c r="W2" s="2390"/>
      <c r="X2" s="2390"/>
      <c r="Y2" s="2390"/>
      <c r="Z2" s="2390"/>
      <c r="AA2" s="2390"/>
      <c r="AB2" s="2391"/>
      <c r="AC2" s="2389" t="e">
        <f>INDEX(PT_DIFFERENTIATION_NTAR,MATCH(A2,PT_DIFFERENTIATION_NTAR_ID,0))</f>
        <v>#N/A</v>
      </c>
      <c r="AD2" s="2390"/>
      <c r="AE2" s="2390"/>
      <c r="AF2" s="2390"/>
      <c r="AG2" s="2390"/>
      <c r="AH2" s="2390"/>
      <c r="AI2" s="2390"/>
      <c r="AJ2" s="2391"/>
      <c r="AK2" s="104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956">
        <v>0</v>
      </c>
    </row>
    <row r="3" spans="1:43" ht="23.25" hidden="1" customHeight="1">
      <c r="A3" s="1151"/>
      <c r="B3" s="1151"/>
      <c r="C3" s="1151"/>
      <c r="D3" s="1151"/>
      <c r="E3" s="2396"/>
      <c r="F3" s="2395">
        <v>1</v>
      </c>
      <c r="G3" s="1151"/>
      <c r="H3" s="1151"/>
      <c r="I3" s="1151"/>
      <c r="J3" s="1151"/>
      <c r="K3" s="1151"/>
      <c r="L3" s="1152"/>
      <c r="M3" s="1153"/>
      <c r="N3" s="1153"/>
      <c r="O3" s="1153"/>
      <c r="P3" s="1241"/>
      <c r="Q3" s="285"/>
      <c r="R3" s="286"/>
      <c r="S3" s="1245" t="e">
        <f>INDEX(PT_DIFFERENTIATION_NUM_TER,MATCH(B3,PT_DIFFERENTIATION_TER_ID,0))</f>
        <v>#N/A</v>
      </c>
      <c r="T3" s="242" t="s">
        <v>481</v>
      </c>
      <c r="U3" s="234"/>
      <c r="V3" s="2389"/>
      <c r="W3" s="2390"/>
      <c r="X3" s="2390"/>
      <c r="Y3" s="2390"/>
      <c r="Z3" s="2390"/>
      <c r="AA3" s="2390"/>
      <c r="AB3" s="2391"/>
      <c r="AC3" s="2389" t="e">
        <f>INDEX(PT_DIFFERENTIATION_TER,MATCH(B3,PT_DIFFERENTIATION_TER_ID,0))</f>
        <v>#N/A</v>
      </c>
      <c r="AD3" s="2390"/>
      <c r="AE3" s="2390"/>
      <c r="AF3" s="2390"/>
      <c r="AG3" s="2390"/>
      <c r="AH3" s="2390"/>
      <c r="AI3" s="2390"/>
      <c r="AJ3" s="2391"/>
      <c r="AK3" s="1046" t="s">
        <v>482</v>
      </c>
      <c r="AM3" s="433"/>
      <c r="AN3" s="433" t="str">
        <f t="shared" si="0"/>
        <v>Территория действия тарифа</v>
      </c>
      <c r="AO3" s="433"/>
      <c r="AP3" s="433"/>
      <c r="AQ3" s="956">
        <v>0</v>
      </c>
    </row>
    <row r="4" spans="1:43" ht="23.25" hidden="1" customHeight="1">
      <c r="A4" s="1151"/>
      <c r="B4" s="1151"/>
      <c r="C4" s="1151"/>
      <c r="D4" s="1151"/>
      <c r="E4" s="2396"/>
      <c r="F4" s="2396"/>
      <c r="G4" s="2395">
        <v>1</v>
      </c>
      <c r="H4" s="1151"/>
      <c r="I4" s="1151"/>
      <c r="J4" s="1151"/>
      <c r="K4" s="1151"/>
      <c r="L4" s="1152"/>
      <c r="M4" s="1153"/>
      <c r="N4" s="1153"/>
      <c r="O4" s="1153"/>
      <c r="P4" s="287"/>
      <c r="Q4" s="285"/>
      <c r="R4" s="286"/>
      <c r="S4" s="1245" t="e">
        <f>INDEX(PT_DIFFERENTIATION_NUM_CS,MATCH(C4,PT_DIFFERENTIATION_CS_ID,0))</f>
        <v>#N/A</v>
      </c>
      <c r="T4" s="243" t="s">
        <v>565</v>
      </c>
      <c r="U4" s="234"/>
      <c r="V4" s="2389"/>
      <c r="W4" s="2390"/>
      <c r="X4" s="2390"/>
      <c r="Y4" s="2390"/>
      <c r="Z4" s="2390"/>
      <c r="AA4" s="2390"/>
      <c r="AB4" s="2391"/>
      <c r="AC4" s="2389" t="e">
        <f>INDEX(PT_DIFFERENTIATION_CS,MATCH(C4,PT_DIFFERENTIATION_CS_ID,0))</f>
        <v>#N/A</v>
      </c>
      <c r="AD4" s="2390"/>
      <c r="AE4" s="2390"/>
      <c r="AF4" s="2390"/>
      <c r="AG4" s="2390"/>
      <c r="AH4" s="2390"/>
      <c r="AI4" s="2390"/>
      <c r="AJ4" s="2391"/>
      <c r="AK4" s="1046" t="s">
        <v>566</v>
      </c>
      <c r="AM4" s="433"/>
      <c r="AN4" s="433" t="str">
        <f t="shared" si="0"/>
        <v>Наименование централизованной системы холодного водоснабжения</v>
      </c>
      <c r="AO4" s="433"/>
      <c r="AP4" s="433"/>
      <c r="AQ4" s="956">
        <v>0</v>
      </c>
    </row>
    <row r="5" spans="1:43" ht="23.25" hidden="1" customHeight="1">
      <c r="A5" s="1151"/>
      <c r="B5" s="1151"/>
      <c r="C5" s="1151"/>
      <c r="D5" s="1151"/>
      <c r="E5" s="2396"/>
      <c r="F5" s="2396"/>
      <c r="G5" s="2396"/>
      <c r="H5" s="2396"/>
      <c r="I5" s="2397" t="e">
        <f>S4&amp;".1"</f>
        <v>#N/A</v>
      </c>
      <c r="J5" s="1151"/>
      <c r="K5" s="1151"/>
      <c r="L5" s="1152"/>
      <c r="P5" s="2399">
        <v>1</v>
      </c>
      <c r="Q5" s="1238"/>
      <c r="R5" s="289"/>
      <c r="S5" s="1245" t="e">
        <f>$I5</f>
        <v>#N/A</v>
      </c>
      <c r="T5" s="219" t="s">
        <v>567</v>
      </c>
      <c r="U5" s="234"/>
      <c r="V5" s="2463"/>
      <c r="W5" s="2464"/>
      <c r="X5" s="2464"/>
      <c r="Y5" s="2464"/>
      <c r="Z5" s="2464"/>
      <c r="AA5" s="2464"/>
      <c r="AB5" s="2465"/>
      <c r="AC5" s="2466"/>
      <c r="AD5" s="2467"/>
      <c r="AE5" s="2467"/>
      <c r="AF5" s="2467"/>
      <c r="AG5" s="2467"/>
      <c r="AH5" s="2467"/>
      <c r="AI5" s="2467"/>
      <c r="AJ5" s="2468"/>
      <c r="AK5" s="1046" t="s">
        <v>568</v>
      </c>
      <c r="AM5" s="433"/>
      <c r="AN5" s="433" t="str">
        <f t="shared" si="0"/>
        <v>Наименование признака дифференциации</v>
      </c>
      <c r="AO5" s="433"/>
      <c r="AP5" s="433"/>
      <c r="AQ5" s="956">
        <v>0</v>
      </c>
    </row>
    <row r="6" spans="1:43" ht="23.25" hidden="1" customHeight="1">
      <c r="A6" s="1151"/>
      <c r="B6" s="1151"/>
      <c r="C6" s="1151"/>
      <c r="D6" s="1151"/>
      <c r="E6" s="2396"/>
      <c r="F6" s="2396"/>
      <c r="G6" s="2396"/>
      <c r="H6" s="2396"/>
      <c r="I6" s="2398"/>
      <c r="J6" s="2397" t="e">
        <f>I5&amp;".1"</f>
        <v>#N/A</v>
      </c>
      <c r="K6" s="1151"/>
      <c r="L6" s="1152" t="s">
        <v>490</v>
      </c>
      <c r="P6" s="2399"/>
      <c r="Q6" s="2399">
        <v>1</v>
      </c>
      <c r="R6" s="290"/>
      <c r="S6" s="1245" t="e">
        <f>$J6</f>
        <v>#N/A</v>
      </c>
      <c r="T6" s="220" t="s">
        <v>491</v>
      </c>
      <c r="U6" s="234"/>
      <c r="V6" s="2383"/>
      <c r="W6" s="2384"/>
      <c r="X6" s="2384"/>
      <c r="Y6" s="2384"/>
      <c r="Z6" s="2384"/>
      <c r="AA6" s="2384"/>
      <c r="AB6" s="2385"/>
      <c r="AC6" s="2383"/>
      <c r="AD6" s="2384"/>
      <c r="AE6" s="2384"/>
      <c r="AF6" s="2384"/>
      <c r="AG6" s="2384"/>
      <c r="AH6" s="2384"/>
      <c r="AI6" s="2384"/>
      <c r="AJ6" s="2385"/>
      <c r="AK6" s="1095" t="s">
        <v>569</v>
      </c>
      <c r="AM6" s="433"/>
      <c r="AN6" s="433" t="str">
        <f t="shared" si="0"/>
        <v>Группа потребителей</v>
      </c>
      <c r="AO6" s="433"/>
      <c r="AP6" s="433"/>
      <c r="AQ6" s="956">
        <v>0</v>
      </c>
    </row>
    <row r="7" spans="1:43" ht="23.25" hidden="1" customHeight="1">
      <c r="A7" s="1151"/>
      <c r="B7" s="1151"/>
      <c r="C7" s="1151"/>
      <c r="D7" s="1151"/>
      <c r="E7" s="2396"/>
      <c r="F7" s="2396"/>
      <c r="G7" s="2396"/>
      <c r="H7" s="2396"/>
      <c r="I7" s="2398"/>
      <c r="J7" s="2398"/>
      <c r="K7" s="2397" t="e">
        <f>J6&amp;".1"</f>
        <v>#N/A</v>
      </c>
      <c r="L7" s="1152"/>
      <c r="P7" s="2399"/>
      <c r="Q7" s="2399"/>
      <c r="R7" s="290">
        <v>1</v>
      </c>
      <c r="S7" s="1245" t="e">
        <f>$K7</f>
        <v>#N/A</v>
      </c>
      <c r="T7" s="1225"/>
      <c r="U7" s="234"/>
      <c r="V7" s="658"/>
      <c r="W7" s="658"/>
      <c r="X7" s="1045"/>
      <c r="Y7" s="2400"/>
      <c r="Z7" s="2276" t="s">
        <v>52</v>
      </c>
      <c r="AA7" s="2400"/>
      <c r="AB7" s="2276" t="s">
        <v>52</v>
      </c>
      <c r="AC7" s="658"/>
      <c r="AD7" s="658"/>
      <c r="AE7" s="1045"/>
      <c r="AF7" s="2400"/>
      <c r="AG7" s="2276" t="s">
        <v>52</v>
      </c>
      <c r="AH7" s="2402"/>
      <c r="AI7" s="2276" t="s">
        <v>52</v>
      </c>
      <c r="AJ7" s="1226"/>
      <c r="AK7" s="24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956">
        <v>0</v>
      </c>
    </row>
    <row r="8" spans="1:43" ht="14.25" hidden="1" customHeight="1">
      <c r="A8" s="1151"/>
      <c r="B8" s="1151"/>
      <c r="C8" s="1151"/>
      <c r="D8" s="1151"/>
      <c r="E8" s="2396"/>
      <c r="F8" s="2396"/>
      <c r="G8" s="2396"/>
      <c r="H8" s="2396"/>
      <c r="I8" s="2398"/>
      <c r="J8" s="2398"/>
      <c r="K8" s="2397"/>
      <c r="L8" s="1152"/>
      <c r="P8" s="2399"/>
      <c r="Q8" s="2399"/>
      <c r="R8" s="290"/>
      <c r="S8" s="1244"/>
      <c r="T8" s="234"/>
      <c r="U8" s="234"/>
      <c r="V8" s="259"/>
      <c r="W8" s="259"/>
      <c r="X8" s="262" t="str">
        <f>Y7&amp;"-"&amp;AA7</f>
        <v>-</v>
      </c>
      <c r="Y8" s="2401"/>
      <c r="Z8" s="2276"/>
      <c r="AA8" s="2401"/>
      <c r="AB8" s="2276"/>
      <c r="AC8" s="259"/>
      <c r="AD8" s="259"/>
      <c r="AE8" s="262" t="str">
        <f>AF7&amp;"-"&amp;AH7</f>
        <v>-</v>
      </c>
      <c r="AF8" s="2401"/>
      <c r="AG8" s="2276"/>
      <c r="AH8" s="2403"/>
      <c r="AI8" s="2276"/>
      <c r="AJ8" s="1227"/>
      <c r="AK8" s="2469"/>
      <c r="AM8" s="433"/>
      <c r="AN8" s="433" t="str">
        <f t="shared" si="0"/>
        <v/>
      </c>
      <c r="AO8" s="433"/>
      <c r="AP8" s="433"/>
      <c r="AQ8" s="956">
        <v>0</v>
      </c>
    </row>
    <row r="9" spans="1:43" ht="21" hidden="1" customHeight="1">
      <c r="A9" s="1151"/>
      <c r="B9" s="1151"/>
      <c r="C9" s="1151"/>
      <c r="D9" s="1151"/>
      <c r="E9" s="2396"/>
      <c r="F9" s="2396"/>
      <c r="G9" s="2396"/>
      <c r="H9" s="2396"/>
      <c r="I9" s="2398"/>
      <c r="J9" s="2397"/>
      <c r="K9" s="1151"/>
      <c r="L9" s="1152"/>
      <c r="P9" s="2399"/>
      <c r="Q9" s="2399"/>
      <c r="R9" s="289"/>
      <c r="S9" s="1066"/>
      <c r="T9" s="221" t="s">
        <v>570</v>
      </c>
      <c r="U9" s="300"/>
      <c r="V9" s="300"/>
      <c r="W9" s="300"/>
      <c r="X9" s="300"/>
      <c r="Y9" s="300"/>
      <c r="Z9" s="300"/>
      <c r="AA9" s="300"/>
      <c r="AB9" s="300"/>
      <c r="AC9" s="300"/>
      <c r="AD9" s="300"/>
      <c r="AE9" s="300"/>
      <c r="AF9" s="300"/>
      <c r="AG9" s="300"/>
      <c r="AH9" s="300"/>
      <c r="AI9" s="300"/>
      <c r="AJ9" s="300"/>
      <c r="AK9" s="1046" t="s">
        <v>571</v>
      </c>
      <c r="AM9" s="433"/>
      <c r="AN9" s="433" t="str">
        <f t="shared" si="0"/>
        <v>Добавить значение признака дифференциации</v>
      </c>
      <c r="AO9" s="433"/>
      <c r="AP9" s="433"/>
      <c r="AQ9" s="956">
        <v>0</v>
      </c>
    </row>
    <row r="10" spans="1:43" ht="21" hidden="1" customHeight="1">
      <c r="A10" s="1151"/>
      <c r="B10" s="1151"/>
      <c r="C10" s="1151"/>
      <c r="D10" s="1151"/>
      <c r="E10" s="2396"/>
      <c r="F10" s="2396"/>
      <c r="G10" s="2396"/>
      <c r="H10" s="2396"/>
      <c r="I10" s="2397"/>
      <c r="J10" s="1151"/>
      <c r="K10" s="1151"/>
      <c r="L10" s="1152"/>
      <c r="P10" s="2399"/>
      <c r="Q10" s="1238"/>
      <c r="R10" s="289"/>
      <c r="S10" s="1066"/>
      <c r="T10" s="298" t="s">
        <v>496</v>
      </c>
      <c r="U10" s="300"/>
      <c r="V10" s="300"/>
      <c r="W10" s="300"/>
      <c r="X10" s="300"/>
      <c r="Y10" s="300"/>
      <c r="Z10" s="300"/>
      <c r="AA10" s="300"/>
      <c r="AB10" s="299"/>
      <c r="AC10" s="300"/>
      <c r="AD10" s="300"/>
      <c r="AE10" s="300"/>
      <c r="AF10" s="300"/>
      <c r="AG10" s="300"/>
      <c r="AH10" s="300"/>
      <c r="AI10" s="299"/>
      <c r="AJ10" s="300"/>
      <c r="AK10" s="1228"/>
      <c r="AM10" s="433"/>
      <c r="AN10" s="433" t="str">
        <f t="shared" si="0"/>
        <v>Добавить группу потребителей</v>
      </c>
      <c r="AO10" s="433"/>
      <c r="AP10" s="433"/>
      <c r="AQ10" s="956">
        <v>0</v>
      </c>
    </row>
    <row r="11" spans="1:43" ht="21" hidden="1" customHeight="1">
      <c r="A11" s="1151"/>
      <c r="B11" s="1151"/>
      <c r="C11" s="1151"/>
      <c r="D11" s="1151"/>
      <c r="E11" s="2396"/>
      <c r="F11" s="2396"/>
      <c r="G11" s="2396"/>
      <c r="H11" s="2395"/>
      <c r="I11" s="1151"/>
      <c r="J11" s="1151"/>
      <c r="K11" s="1151"/>
      <c r="L11" s="1152"/>
      <c r="M11" s="1153"/>
      <c r="N11" s="1153"/>
      <c r="O11" s="469"/>
      <c r="P11" s="293"/>
      <c r="Q11" s="308"/>
      <c r="R11" s="288"/>
      <c r="S11" s="1066"/>
      <c r="T11" s="305" t="s">
        <v>572</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956">
        <v>0</v>
      </c>
    </row>
    <row r="12" spans="1:43" s="1430" customFormat="1" ht="14.25" hidden="1" customHeight="1">
      <c r="A12" s="1131"/>
      <c r="B12" s="1131"/>
      <c r="C12" s="1102"/>
      <c r="D12" s="1102"/>
      <c r="E12" s="2396"/>
      <c r="F12" s="2395"/>
      <c r="G12" s="1102"/>
      <c r="H12" s="1102"/>
      <c r="I12" s="1102"/>
      <c r="J12" s="1102"/>
      <c r="K12" s="1102"/>
      <c r="L12" s="1246"/>
      <c r="M12" s="1109"/>
      <c r="N12" s="1109"/>
      <c r="P12" s="1104"/>
      <c r="Q12" s="1105"/>
      <c r="R12" s="1104"/>
      <c r="S12" s="1110"/>
      <c r="T12" s="1113" t="s">
        <v>499</v>
      </c>
      <c r="U12" s="1112"/>
      <c r="V12" s="1112"/>
      <c r="W12" s="1112"/>
      <c r="X12" s="1112"/>
      <c r="Y12" s="1112"/>
      <c r="Z12" s="1112"/>
      <c r="AA12" s="1112"/>
      <c r="AB12" s="1112"/>
      <c r="AC12" s="1112"/>
      <c r="AD12" s="1112"/>
      <c r="AE12" s="1112"/>
      <c r="AF12" s="1112"/>
      <c r="AG12" s="1112"/>
      <c r="AH12" s="1112"/>
      <c r="AI12" s="1112"/>
      <c r="AJ12" s="1112"/>
      <c r="AK12" s="1112"/>
      <c r="AM12" s="688"/>
      <c r="AN12" s="688" t="str">
        <f t="shared" si="0"/>
        <v>Добавить централизованную систему для дифференциации</v>
      </c>
      <c r="AO12" s="688"/>
      <c r="AP12" s="688"/>
      <c r="AQ12" s="451">
        <v>0</v>
      </c>
    </row>
    <row r="13" spans="1:43" s="1430" customFormat="1" ht="14.25" hidden="1" customHeight="1">
      <c r="A13" s="1131"/>
      <c r="B13" s="1131"/>
      <c r="C13" s="1131"/>
      <c r="D13" s="1131"/>
      <c r="E13" s="2395"/>
      <c r="F13" s="1131"/>
      <c r="G13" s="1131"/>
      <c r="H13" s="1131"/>
      <c r="I13" s="1131"/>
      <c r="J13" s="1131"/>
      <c r="K13" s="1131"/>
      <c r="L13" s="1134"/>
      <c r="M13" s="1109"/>
      <c r="N13" s="1109"/>
      <c r="O13" s="451"/>
      <c r="P13" s="313"/>
      <c r="Q13" s="1132"/>
      <c r="R13" s="313"/>
      <c r="S13" s="1110"/>
      <c r="T13" s="1113" t="s">
        <v>500</v>
      </c>
      <c r="U13" s="1112"/>
      <c r="V13" s="1112"/>
      <c r="W13" s="1112"/>
      <c r="X13" s="1112"/>
      <c r="Y13" s="1112"/>
      <c r="Z13" s="1112"/>
      <c r="AA13" s="1112"/>
      <c r="AB13" s="1112"/>
      <c r="AC13" s="1112"/>
      <c r="AD13" s="1112"/>
      <c r="AE13" s="1112"/>
      <c r="AF13" s="1112"/>
      <c r="AG13" s="1112"/>
      <c r="AH13" s="1112"/>
      <c r="AI13" s="1112"/>
      <c r="AJ13" s="1112"/>
      <c r="AK13" s="1112"/>
      <c r="AM13" s="433"/>
      <c r="AN13" s="433" t="str">
        <f t="shared" si="0"/>
        <v>Добавить территорию для дифференциации</v>
      </c>
      <c r="AO13" s="433"/>
      <c r="AP13" s="433"/>
      <c r="AQ13" s="444">
        <v>0</v>
      </c>
    </row>
    <row r="14" spans="1:43" ht="14.25" hidden="1" customHeight="1">
      <c r="AB14" s="261"/>
      <c r="AI14" s="261"/>
      <c r="AQ14" s="956">
        <v>0</v>
      </c>
    </row>
    <row r="15" spans="1:43" ht="14.25" hidden="1" customHeight="1">
      <c r="AC15" s="1148"/>
      <c r="AD15" s="1148"/>
      <c r="AE15" s="1149"/>
      <c r="AF15" s="2393"/>
      <c r="AG15" s="2392" t="s">
        <v>52</v>
      </c>
      <c r="AH15" s="2393"/>
      <c r="AI15" s="2392" t="s">
        <v>52</v>
      </c>
      <c r="AQ15" s="956">
        <v>0</v>
      </c>
    </row>
    <row r="16" spans="1:43" ht="14.25" hidden="1" customHeight="1">
      <c r="AC16" s="1148"/>
      <c r="AD16" s="1148"/>
      <c r="AE16" s="262" t="str">
        <f>AF15&amp;"-"&amp;AH15</f>
        <v>-</v>
      </c>
      <c r="AF16" s="2392"/>
      <c r="AG16" s="2392"/>
      <c r="AH16" s="2392"/>
      <c r="AI16" s="2392"/>
      <c r="AQ16" s="956">
        <v>0</v>
      </c>
    </row>
    <row r="17" spans="1:43" ht="14.25" hidden="1" customHeight="1">
      <c r="AI17" s="261"/>
      <c r="AQ17" s="956">
        <v>0</v>
      </c>
    </row>
    <row r="18" spans="1:43" s="1154" customFormat="1" ht="22.5" hidden="1" customHeight="1">
      <c r="L18" s="1235"/>
      <c r="M18" s="1150"/>
      <c r="N18" s="1150"/>
      <c r="O18" s="1155" t="s">
        <v>501</v>
      </c>
      <c r="P18" s="1150"/>
      <c r="Q18" s="1159"/>
      <c r="R18" s="1159"/>
      <c r="S18" s="640"/>
      <c r="Y18" s="1155"/>
      <c r="AA18" s="1155"/>
      <c r="AF18" s="1155"/>
      <c r="AH18" s="1155"/>
      <c r="AL18" s="444"/>
      <c r="AM18" s="444"/>
      <c r="AN18" s="444"/>
      <c r="AO18" s="444"/>
      <c r="AP18" s="444"/>
      <c r="AQ18" s="961">
        <v>0</v>
      </c>
    </row>
    <row r="19" spans="1:43" s="1154" customFormat="1" ht="14.25" hidden="1" customHeight="1">
      <c r="L19" s="1235"/>
      <c r="M19" s="1150"/>
      <c r="N19" s="1150"/>
      <c r="O19" s="1150"/>
      <c r="P19" s="1150"/>
      <c r="Q19" s="1159"/>
      <c r="R19" s="1159"/>
      <c r="S19" s="640"/>
      <c r="AL19" s="444"/>
      <c r="AM19" s="444"/>
      <c r="AN19" s="444"/>
      <c r="AO19" s="444"/>
      <c r="AP19" s="444"/>
      <c r="AQ19" s="961">
        <v>0</v>
      </c>
    </row>
    <row r="20" spans="1:43" s="1154" customFormat="1" ht="12" hidden="1" customHeight="1">
      <c r="L20" s="1235"/>
      <c r="M20" s="1150"/>
      <c r="N20" s="1150"/>
      <c r="O20" s="1152" t="s">
        <v>502</v>
      </c>
      <c r="P20" s="1150"/>
      <c r="Q20" s="1230"/>
      <c r="R20" s="1230"/>
      <c r="S20" s="640"/>
      <c r="T20" s="961" t="s">
        <v>503</v>
      </c>
      <c r="Z20" s="120" t="s">
        <v>504</v>
      </c>
      <c r="AB20" s="120" t="s">
        <v>505</v>
      </c>
      <c r="AC20" s="961" t="s">
        <v>503</v>
      </c>
      <c r="AG20" s="120" t="s">
        <v>506</v>
      </c>
      <c r="AI20" s="120" t="s">
        <v>505</v>
      </c>
      <c r="AQ20" s="961">
        <v>0</v>
      </c>
    </row>
    <row r="21" spans="1:43" ht="14.25" hidden="1" customHeight="1">
      <c r="O21" s="1152"/>
      <c r="AQ21" s="956">
        <v>0</v>
      </c>
    </row>
    <row r="22" spans="1:43" ht="14.25" hidden="1" customHeight="1">
      <c r="O22" s="1152"/>
      <c r="AQ22" s="956">
        <v>0</v>
      </c>
    </row>
    <row r="23" spans="1:43" ht="14.65" customHeight="1">
      <c r="Q23" s="309"/>
      <c r="R23" s="309"/>
      <c r="S23" s="1063"/>
      <c r="T23" s="296"/>
      <c r="U23" s="296"/>
      <c r="V23" s="442"/>
      <c r="W23" s="442"/>
      <c r="X23" s="442"/>
      <c r="Y23" s="442"/>
      <c r="Z23" s="442"/>
      <c r="AA23" s="442"/>
      <c r="AB23" s="442"/>
      <c r="AC23" s="442"/>
      <c r="AD23" s="442"/>
      <c r="AE23" s="442"/>
      <c r="AF23" s="442"/>
      <c r="AG23" s="442"/>
      <c r="AH23" s="442"/>
      <c r="AI23" s="442"/>
      <c r="AQ23" s="956">
        <v>14</v>
      </c>
    </row>
    <row r="24" spans="1:43" ht="14.65" customHeight="1">
      <c r="Q24" s="309"/>
      <c r="R24" s="309"/>
      <c r="S24" s="23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76"/>
      <c r="U24" s="2376"/>
      <c r="V24" s="2376"/>
      <c r="W24" s="2376"/>
      <c r="X24" s="2376"/>
      <c r="Y24" s="2376"/>
      <c r="Z24" s="2376"/>
      <c r="AA24" s="2376"/>
      <c r="AB24" s="2376"/>
      <c r="AC24" s="2376"/>
      <c r="AD24" s="2376"/>
      <c r="AE24" s="2376"/>
      <c r="AF24" s="2376"/>
      <c r="AG24" s="2376"/>
      <c r="AH24" s="2376"/>
      <c r="AI24" s="1031"/>
      <c r="AQ24" s="956">
        <v>14</v>
      </c>
    </row>
    <row r="25" spans="1:43" ht="14.65" customHeight="1">
      <c r="Q25" s="309"/>
      <c r="R25" s="309"/>
      <c r="S25" s="2349" t="str">
        <f>IF(org=0,"Не определено",org)</f>
        <v>ООО "Смоленскрегионтеплоэнерго"</v>
      </c>
      <c r="T25" s="2349"/>
      <c r="U25" s="2349"/>
      <c r="V25" s="2349"/>
      <c r="W25" s="2349"/>
      <c r="X25" s="2349"/>
      <c r="Y25" s="2349"/>
      <c r="Z25" s="2349"/>
      <c r="AA25" s="2349"/>
      <c r="AB25" s="2349"/>
      <c r="AC25" s="2349"/>
      <c r="AD25" s="2349"/>
      <c r="AE25" s="2349"/>
      <c r="AF25" s="2349"/>
      <c r="AG25" s="2349"/>
      <c r="AH25" s="2349"/>
      <c r="AI25" s="1031"/>
      <c r="AQ25" s="956">
        <v>14</v>
      </c>
    </row>
    <row r="26" spans="1:43" ht="14.25" hidden="1" customHeight="1">
      <c r="Q26" s="309"/>
      <c r="R26" s="309"/>
      <c r="S26" s="1063"/>
      <c r="T26" s="296"/>
      <c r="U26" s="296"/>
      <c r="V26" s="256"/>
      <c r="W26" s="256"/>
      <c r="X26" s="256"/>
      <c r="Y26" s="256"/>
      <c r="Z26" s="256"/>
      <c r="AA26" s="256"/>
      <c r="AB26" s="256"/>
      <c r="AC26" s="256"/>
      <c r="AD26" s="256"/>
      <c r="AE26" s="256"/>
      <c r="AF26" s="256"/>
      <c r="AG26" s="256"/>
      <c r="AH26" s="256"/>
      <c r="AI26" s="256"/>
      <c r="AJ26" s="442"/>
      <c r="AQ26" s="956">
        <v>0</v>
      </c>
    </row>
    <row r="27" spans="1:43" s="1609" customFormat="1" ht="25.5" hidden="1" customHeight="1">
      <c r="A27" s="1156"/>
      <c r="B27" s="1156"/>
      <c r="C27" s="1156"/>
      <c r="D27" s="1156"/>
      <c r="E27" s="1156"/>
      <c r="F27" s="1156"/>
      <c r="G27" s="1156"/>
      <c r="H27" s="1156"/>
      <c r="I27" s="1156"/>
      <c r="J27" s="1156"/>
      <c r="K27" s="1156"/>
      <c r="L27" s="1157"/>
      <c r="M27" s="1156"/>
      <c r="N27" s="1156"/>
      <c r="O27" s="1156"/>
      <c r="S27" s="2386" t="s">
        <v>28</v>
      </c>
      <c r="T27" s="2386"/>
      <c r="U27" s="1160"/>
      <c r="V27" s="2388" t="str">
        <f>IF(TITLE_NAME_OR_PR_CHANGE="",IF(TITLE_NAME_OR_PR="","",TITLE_NAME_OR_PR),TITLE_NAME_OR_PR_CHANGE)</f>
        <v/>
      </c>
      <c r="W27" s="2388"/>
      <c r="X27" s="2388"/>
      <c r="Y27" s="2388"/>
      <c r="Z27" s="2388"/>
      <c r="AA27" s="2388"/>
      <c r="AB27" s="260"/>
      <c r="AC27" s="2388" t="str">
        <f>IF(TITLE_NAME_OR_PR_CHANGE="",IF(TITLE_NAME_OR_PR="","",TITLE_NAME_OR_PR),TITLE_NAME_OR_PR_CHANGE)</f>
        <v/>
      </c>
      <c r="AD27" s="2388"/>
      <c r="AE27" s="2388"/>
      <c r="AF27" s="2388"/>
      <c r="AG27" s="2388"/>
      <c r="AH27" s="2388"/>
      <c r="AI27" s="260"/>
      <c r="AJ27" s="260"/>
      <c r="AK27" s="214"/>
      <c r="AL27" s="301"/>
      <c r="AM27" s="301"/>
      <c r="AN27" s="301"/>
      <c r="AO27" s="301"/>
      <c r="AP27" s="301"/>
      <c r="AQ27" s="351">
        <v>0</v>
      </c>
    </row>
    <row r="28" spans="1:43" s="1609" customFormat="1" ht="18.75" hidden="1" customHeight="1">
      <c r="A28" s="1156"/>
      <c r="B28" s="1156"/>
      <c r="C28" s="1156"/>
      <c r="D28" s="1156"/>
      <c r="E28" s="1156"/>
      <c r="F28" s="1156"/>
      <c r="G28" s="1156"/>
      <c r="H28" s="1156"/>
      <c r="I28" s="1156"/>
      <c r="J28" s="1156"/>
      <c r="K28" s="1156"/>
      <c r="L28" s="1157"/>
      <c r="M28" s="1156"/>
      <c r="N28" s="1156"/>
      <c r="O28" s="1156"/>
      <c r="S28" s="2386" t="s">
        <v>507</v>
      </c>
      <c r="T28" s="2386"/>
      <c r="U28" s="1160"/>
      <c r="V28" s="2387" t="str">
        <f>IF(TITLE_DATE_PR_CHANGE="",IF(TITLE_DATE_PR="","",TITLE_DATE_PR),TITLE_DATE_PR_CHANGE)</f>
        <v/>
      </c>
      <c r="W28" s="2387"/>
      <c r="X28" s="2387"/>
      <c r="Y28" s="2387"/>
      <c r="Z28" s="2387"/>
      <c r="AA28" s="2387"/>
      <c r="AB28" s="260"/>
      <c r="AC28" s="2387" t="str">
        <f>IF(TITLE_DATE_PR_CHANGE="",IF(TITLE_DATE_PR="","",TITLE_DATE_PR),TITLE_DATE_PR_CHANGE)</f>
        <v/>
      </c>
      <c r="AD28" s="2387"/>
      <c r="AE28" s="2387"/>
      <c r="AF28" s="2387"/>
      <c r="AG28" s="2387"/>
      <c r="AH28" s="2387"/>
      <c r="AI28" s="260"/>
      <c r="AJ28" s="260"/>
      <c r="AK28" s="214"/>
      <c r="AL28" s="301"/>
      <c r="AM28" s="301"/>
      <c r="AN28" s="301"/>
      <c r="AO28" s="301"/>
      <c r="AP28" s="301"/>
      <c r="AQ28" s="351">
        <v>0</v>
      </c>
    </row>
    <row r="29" spans="1:43" s="1609" customFormat="1" ht="18.75" hidden="1" customHeight="1">
      <c r="A29" s="1156"/>
      <c r="B29" s="1156"/>
      <c r="C29" s="1156"/>
      <c r="D29" s="1156"/>
      <c r="E29" s="1156"/>
      <c r="F29" s="1156"/>
      <c r="G29" s="1156"/>
      <c r="H29" s="1156"/>
      <c r="I29" s="1156"/>
      <c r="J29" s="1156"/>
      <c r="K29" s="1156"/>
      <c r="L29" s="1157"/>
      <c r="M29" s="1156"/>
      <c r="N29" s="1156"/>
      <c r="O29" s="1156"/>
      <c r="S29" s="2386" t="s">
        <v>508</v>
      </c>
      <c r="T29" s="2386"/>
      <c r="U29" s="1160"/>
      <c r="V29" s="2388" t="str">
        <f>IF(TITLE_NUMBER_PR_CHANGE="",IF(TITLE_NUMBER_PR="","",TITLE_NUMBER_PR),TITLE_NUMBER_PR_CHANGE)</f>
        <v/>
      </c>
      <c r="W29" s="2388"/>
      <c r="X29" s="2388"/>
      <c r="Y29" s="2388"/>
      <c r="Z29" s="2388"/>
      <c r="AA29" s="2388"/>
      <c r="AB29" s="260"/>
      <c r="AC29" s="2388" t="str">
        <f>IF(TITLE_NUMBER_PR_CHANGE="",IF(TITLE_NUMBER_PR="","",TITLE_NUMBER_PR),TITLE_NUMBER_PR_CHANGE)</f>
        <v/>
      </c>
      <c r="AD29" s="2388"/>
      <c r="AE29" s="2388"/>
      <c r="AF29" s="2388"/>
      <c r="AG29" s="2388"/>
      <c r="AH29" s="2388"/>
      <c r="AI29" s="260"/>
      <c r="AJ29" s="260"/>
      <c r="AK29" s="214"/>
      <c r="AL29" s="301"/>
      <c r="AM29" s="301"/>
      <c r="AN29" s="301"/>
      <c r="AO29" s="301"/>
      <c r="AP29" s="301"/>
      <c r="AQ29" s="351">
        <v>0</v>
      </c>
    </row>
    <row r="30" spans="1:43" s="1609" customFormat="1" ht="18.75" hidden="1" customHeight="1">
      <c r="A30" s="1156"/>
      <c r="B30" s="1156"/>
      <c r="C30" s="1156"/>
      <c r="D30" s="1156"/>
      <c r="E30" s="1156"/>
      <c r="F30" s="1156"/>
      <c r="G30" s="1156"/>
      <c r="H30" s="1156"/>
      <c r="I30" s="1156"/>
      <c r="J30" s="1156"/>
      <c r="K30" s="1156"/>
      <c r="L30" s="1157"/>
      <c r="M30" s="1156"/>
      <c r="N30" s="1156"/>
      <c r="O30" s="1156"/>
      <c r="S30" s="2386" t="s">
        <v>29</v>
      </c>
      <c r="T30" s="2386"/>
      <c r="U30" s="1160"/>
      <c r="V30" s="2388" t="str">
        <f>IF(TITLE_IST_PUB_CHANGE="",IF(TITLE_IST_PUB="","",TITLE_IST_PUB),TITLE_IST_PUB_CHANGE)</f>
        <v/>
      </c>
      <c r="W30" s="2388"/>
      <c r="X30" s="2388"/>
      <c r="Y30" s="2388"/>
      <c r="Z30" s="2388"/>
      <c r="AA30" s="2388"/>
      <c r="AB30" s="260"/>
      <c r="AC30" s="2388" t="str">
        <f>IF(TITLE_IST_PUB_CHANGE="",IF(TITLE_IST_PUB="","",TITLE_IST_PUB),TITLE_IST_PUB_CHANGE)</f>
        <v/>
      </c>
      <c r="AD30" s="2388"/>
      <c r="AE30" s="2388"/>
      <c r="AF30" s="2388"/>
      <c r="AG30" s="2388"/>
      <c r="AH30" s="2388"/>
      <c r="AI30" s="260"/>
      <c r="AJ30" s="260"/>
      <c r="AK30" s="214"/>
      <c r="AL30" s="301"/>
      <c r="AM30" s="301"/>
      <c r="AN30" s="301"/>
      <c r="AO30" s="301"/>
      <c r="AP30" s="301"/>
      <c r="AQ30" s="351">
        <v>0</v>
      </c>
    </row>
    <row r="31" spans="1:43" ht="14.25" hidden="1" customHeight="1">
      <c r="Q31" s="309"/>
      <c r="R31" s="309"/>
      <c r="S31" s="1063"/>
      <c r="T31" s="296"/>
      <c r="U31" s="296"/>
      <c r="V31" s="256"/>
      <c r="W31" s="256"/>
      <c r="X31" s="256"/>
      <c r="Y31" s="256"/>
      <c r="Z31" s="256"/>
      <c r="AA31" s="256"/>
      <c r="AB31" s="256"/>
      <c r="AC31" s="256"/>
      <c r="AD31" s="256"/>
      <c r="AE31" s="256"/>
      <c r="AF31" s="256"/>
      <c r="AG31" s="256"/>
      <c r="AH31" s="256"/>
      <c r="AI31" s="256"/>
      <c r="AJ31" s="442"/>
      <c r="AQ31" s="956">
        <v>0</v>
      </c>
    </row>
    <row r="32" spans="1:43" s="1609" customFormat="1" ht="18.75" hidden="1" customHeight="1">
      <c r="A32" s="1156"/>
      <c r="B32" s="1156"/>
      <c r="C32" s="1156"/>
      <c r="D32" s="1156"/>
      <c r="E32" s="1156"/>
      <c r="F32" s="1156"/>
      <c r="G32" s="1156"/>
      <c r="H32" s="1156"/>
      <c r="I32" s="1156"/>
      <c r="J32" s="1156"/>
      <c r="K32" s="1156"/>
      <c r="L32" s="1157"/>
      <c r="M32" s="1156"/>
      <c r="N32" s="1156"/>
      <c r="O32" s="1156"/>
      <c r="S32" s="2386" t="s">
        <v>509</v>
      </c>
      <c r="T32" s="2386"/>
      <c r="U32" s="1160"/>
      <c r="V32" s="2387" t="str">
        <f>IF(TITLE_DATE_PR_CHANGE="",IF(TITLE_DATE_PR="","",TITLE_DATE_PR),TITLE_DATE_PR_CHANGE)</f>
        <v/>
      </c>
      <c r="W32" s="2387"/>
      <c r="X32" s="2387"/>
      <c r="Y32" s="2387"/>
      <c r="Z32" s="2387"/>
      <c r="AA32" s="2387"/>
      <c r="AB32" s="260"/>
      <c r="AC32" s="2387" t="str">
        <f>IF(TITLE_DATE_PR_CHANGE="",IF(TITLE_DATE_PR="","",TITLE_DATE_PR),TITLE_DATE_PR_CHANGE)</f>
        <v/>
      </c>
      <c r="AD32" s="2387"/>
      <c r="AE32" s="2387"/>
      <c r="AF32" s="2387"/>
      <c r="AG32" s="2387"/>
      <c r="AH32" s="2387"/>
      <c r="AI32" s="260"/>
      <c r="AJ32" s="260"/>
      <c r="AK32" s="214"/>
      <c r="AL32" s="301"/>
      <c r="AM32" s="301"/>
      <c r="AN32" s="301"/>
      <c r="AO32" s="301"/>
      <c r="AP32" s="301"/>
      <c r="AQ32" s="351">
        <v>0</v>
      </c>
    </row>
    <row r="33" spans="1:43" s="1609" customFormat="1" ht="18.75" hidden="1" customHeight="1">
      <c r="A33" s="1156"/>
      <c r="B33" s="1156"/>
      <c r="C33" s="1156"/>
      <c r="D33" s="1156"/>
      <c r="E33" s="1156"/>
      <c r="F33" s="1156"/>
      <c r="G33" s="1156"/>
      <c r="H33" s="1156"/>
      <c r="I33" s="1156"/>
      <c r="J33" s="1156"/>
      <c r="K33" s="1156"/>
      <c r="L33" s="1157"/>
      <c r="M33" s="1156"/>
      <c r="N33" s="1156"/>
      <c r="O33" s="1156"/>
      <c r="S33" s="2386" t="s">
        <v>510</v>
      </c>
      <c r="T33" s="2386"/>
      <c r="U33" s="1160"/>
      <c r="V33" s="2388" t="str">
        <f>IF(TITLE_NUMBER_PR_CHANGE="",IF(TITLE_NUMBER_PR="","",TITLE_NUMBER_PR),TITLE_NUMBER_PR_CHANGE)</f>
        <v/>
      </c>
      <c r="W33" s="2388"/>
      <c r="X33" s="2388"/>
      <c r="Y33" s="2388"/>
      <c r="Z33" s="2388"/>
      <c r="AA33" s="2388"/>
      <c r="AB33" s="260"/>
      <c r="AC33" s="2388" t="str">
        <f>IF(TITLE_NUMBER_PR_CHANGE="",IF(TITLE_NUMBER_PR="","",TITLE_NUMBER_PR),TITLE_NUMBER_PR_CHANGE)</f>
        <v/>
      </c>
      <c r="AD33" s="2388"/>
      <c r="AE33" s="2388"/>
      <c r="AF33" s="2388"/>
      <c r="AG33" s="2388"/>
      <c r="AH33" s="2388"/>
      <c r="AI33" s="260"/>
      <c r="AJ33" s="260"/>
      <c r="AK33" s="214"/>
      <c r="AL33" s="301"/>
      <c r="AM33" s="301"/>
      <c r="AN33" s="301"/>
      <c r="AO33" s="301"/>
      <c r="AP33" s="301"/>
      <c r="AQ33" s="351">
        <v>0</v>
      </c>
    </row>
    <row r="34" spans="1:43" s="1609" customFormat="1" ht="1.1499999999999999" customHeight="1">
      <c r="A34" s="1156"/>
      <c r="B34" s="1156"/>
      <c r="C34" s="1156"/>
      <c r="D34" s="1156"/>
      <c r="E34" s="1156"/>
      <c r="F34" s="1156"/>
      <c r="G34" s="1156"/>
      <c r="H34" s="1156"/>
      <c r="I34" s="1156"/>
      <c r="J34" s="1156"/>
      <c r="K34" s="1156"/>
      <c r="L34" s="1157"/>
      <c r="M34" s="1156"/>
      <c r="N34" s="1156"/>
      <c r="O34" s="1156"/>
      <c r="S34" s="257"/>
      <c r="T34" s="257"/>
      <c r="U34" s="1242"/>
      <c r="V34" s="260"/>
      <c r="W34" s="260"/>
      <c r="X34" s="260"/>
      <c r="Y34" s="260"/>
      <c r="Z34" s="260"/>
      <c r="AA34" s="260"/>
      <c r="AB34" s="212" t="s">
        <v>511</v>
      </c>
      <c r="AC34" s="260"/>
      <c r="AD34" s="260"/>
      <c r="AE34" s="260"/>
      <c r="AF34" s="260"/>
      <c r="AG34" s="260"/>
      <c r="AH34" s="260"/>
      <c r="AI34" s="212" t="s">
        <v>511</v>
      </c>
      <c r="AL34" s="301"/>
      <c r="AM34" s="301"/>
      <c r="AN34" s="301"/>
      <c r="AO34" s="301"/>
      <c r="AP34" s="301"/>
      <c r="AQ34" s="351">
        <v>1</v>
      </c>
    </row>
    <row r="35" spans="1:43" ht="14.65" customHeight="1">
      <c r="Q35" s="309"/>
      <c r="R35" s="309"/>
      <c r="S35" s="1063"/>
      <c r="T35" s="296"/>
      <c r="U35" s="1032"/>
      <c r="V35" s="2407"/>
      <c r="W35" s="2407"/>
      <c r="X35" s="2407"/>
      <c r="Y35" s="2407"/>
      <c r="Z35" s="2407"/>
      <c r="AA35" s="2407"/>
      <c r="AB35" s="2407"/>
      <c r="AC35" s="2407"/>
      <c r="AD35" s="2407"/>
      <c r="AE35" s="2407"/>
      <c r="AF35" s="2407"/>
      <c r="AG35" s="2407"/>
      <c r="AH35" s="2407"/>
      <c r="AI35" s="2407"/>
      <c r="AQ35" s="956">
        <v>14</v>
      </c>
    </row>
    <row r="36" spans="1:43" ht="14.65" customHeight="1">
      <c r="Q36" s="309"/>
      <c r="R36" s="309"/>
      <c r="S36" s="2266" t="s">
        <v>384</v>
      </c>
      <c r="T36" s="2266"/>
      <c r="U36" s="2266"/>
      <c r="V36" s="2266"/>
      <c r="W36" s="2266"/>
      <c r="X36" s="2266"/>
      <c r="Y36" s="2266"/>
      <c r="Z36" s="2266"/>
      <c r="AA36" s="2266"/>
      <c r="AB36" s="2266"/>
      <c r="AC36" s="2266"/>
      <c r="AD36" s="2266"/>
      <c r="AE36" s="2266"/>
      <c r="AF36" s="2266"/>
      <c r="AG36" s="2266"/>
      <c r="AH36" s="2266"/>
      <c r="AI36" s="2266"/>
      <c r="AJ36" s="2266"/>
      <c r="AK36" s="2266" t="s">
        <v>385</v>
      </c>
      <c r="AQ36" s="956">
        <v>14</v>
      </c>
    </row>
    <row r="37" spans="1:43" ht="14.65" customHeight="1">
      <c r="Q37" s="309"/>
      <c r="R37" s="309"/>
      <c r="S37" s="2408" t="s">
        <v>75</v>
      </c>
      <c r="T37" s="2357" t="s">
        <v>512</v>
      </c>
      <c r="U37" s="235"/>
      <c r="V37" s="2409" t="s">
        <v>513</v>
      </c>
      <c r="W37" s="2410"/>
      <c r="X37" s="2410"/>
      <c r="Y37" s="2410"/>
      <c r="Z37" s="2410"/>
      <c r="AA37" s="2411"/>
      <c r="AB37" s="2412" t="s">
        <v>514</v>
      </c>
      <c r="AC37" s="2409" t="s">
        <v>513</v>
      </c>
      <c r="AD37" s="2410"/>
      <c r="AE37" s="2410"/>
      <c r="AF37" s="2410"/>
      <c r="AG37" s="2410"/>
      <c r="AH37" s="2411"/>
      <c r="AI37" s="2412" t="s">
        <v>515</v>
      </c>
      <c r="AJ37" s="2415" t="s">
        <v>516</v>
      </c>
      <c r="AK37" s="2266"/>
      <c r="AQ37" s="956">
        <v>14</v>
      </c>
    </row>
    <row r="38" spans="1:43" ht="35.65" customHeight="1">
      <c r="Q38" s="309"/>
      <c r="R38" s="309"/>
      <c r="S38" s="2408"/>
      <c r="T38" s="2357"/>
      <c r="U38" s="874"/>
      <c r="V38" s="1240" t="s">
        <v>573</v>
      </c>
      <c r="W38" s="2247" t="s">
        <v>519</v>
      </c>
      <c r="X38" s="2246"/>
      <c r="Y38" s="2247" t="s">
        <v>520</v>
      </c>
      <c r="Z38" s="2252"/>
      <c r="AA38" s="2246"/>
      <c r="AB38" s="2413"/>
      <c r="AC38" s="1240" t="s">
        <v>573</v>
      </c>
      <c r="AD38" s="2247" t="s">
        <v>519</v>
      </c>
      <c r="AE38" s="2246"/>
      <c r="AF38" s="2247" t="s">
        <v>520</v>
      </c>
      <c r="AG38" s="2252"/>
      <c r="AH38" s="2246"/>
      <c r="AI38" s="2413"/>
      <c r="AJ38" s="2416"/>
      <c r="AK38" s="2266"/>
      <c r="AQ38" s="956">
        <v>34</v>
      </c>
    </row>
    <row r="39" spans="1:43" ht="35.65" customHeight="1">
      <c r="A39" s="1158"/>
      <c r="B39" s="1158" t="s">
        <v>226</v>
      </c>
      <c r="C39" s="1158" t="s">
        <v>227</v>
      </c>
      <c r="D39" s="1158" t="s">
        <v>228</v>
      </c>
      <c r="E39" s="1152" t="s">
        <v>521</v>
      </c>
      <c r="F39" s="1152" t="s">
        <v>522</v>
      </c>
      <c r="G39" s="1152" t="s">
        <v>523</v>
      </c>
      <c r="H39" s="1152"/>
      <c r="I39" s="1152" t="s">
        <v>574</v>
      </c>
      <c r="J39" s="1152" t="s">
        <v>526</v>
      </c>
      <c r="K39" s="1152" t="s">
        <v>575</v>
      </c>
      <c r="L39" s="1152" t="s">
        <v>502</v>
      </c>
      <c r="Q39" s="309"/>
      <c r="R39" s="309"/>
      <c r="S39" s="2408"/>
      <c r="T39" s="2357"/>
      <c r="U39" s="236"/>
      <c r="V39" s="1240" t="s">
        <v>576</v>
      </c>
      <c r="W39" s="1010" t="s">
        <v>577</v>
      </c>
      <c r="X39" s="1010" t="s">
        <v>578</v>
      </c>
      <c r="Y39" s="1243" t="s">
        <v>530</v>
      </c>
      <c r="Z39" s="2362" t="s">
        <v>531</v>
      </c>
      <c r="AA39" s="2375"/>
      <c r="AB39" s="2414"/>
      <c r="AC39" s="1240" t="s">
        <v>576</v>
      </c>
      <c r="AD39" s="1010" t="s">
        <v>577</v>
      </c>
      <c r="AE39" s="1010" t="s">
        <v>578</v>
      </c>
      <c r="AF39" s="1243" t="s">
        <v>530</v>
      </c>
      <c r="AG39" s="2362" t="s">
        <v>531</v>
      </c>
      <c r="AH39" s="2375"/>
      <c r="AI39" s="2414"/>
      <c r="AJ39" s="2417"/>
      <c r="AK39" s="2266"/>
      <c r="AQ39" s="956">
        <v>34</v>
      </c>
    </row>
    <row r="40" spans="1:43" s="1429" customFormat="1" ht="0" hidden="1" customHeight="1">
      <c r="A40" s="1158"/>
      <c r="B40" s="1158"/>
      <c r="C40" s="1158"/>
      <c r="D40" s="1158"/>
      <c r="E40" s="1158"/>
      <c r="F40" s="1158"/>
      <c r="G40" s="1158"/>
      <c r="H40" s="1158"/>
      <c r="I40" s="1158"/>
      <c r="J40" s="1158"/>
      <c r="K40" s="1158"/>
      <c r="L40" s="1152"/>
      <c r="M40" s="1150"/>
      <c r="N40" s="1150"/>
      <c r="O40" s="1150"/>
      <c r="P40" s="1034"/>
      <c r="Q40" s="1035"/>
      <c r="R40" s="1042">
        <v>1</v>
      </c>
      <c r="S40" s="1065" t="s">
        <v>161</v>
      </c>
      <c r="T40" s="1043" t="s">
        <v>89</v>
      </c>
      <c r="U40" s="1033" t="str">
        <f ca="1">OFFSET(U40,0,-1)</f>
        <v>2</v>
      </c>
      <c r="V40" s="1239">
        <f ca="1">OFFSET(V40,0,-1)+1</f>
        <v>3</v>
      </c>
      <c r="W40" s="1239">
        <f ca="1">OFFSET(W40,0,-1)+1</f>
        <v>4</v>
      </c>
      <c r="X40" s="1239">
        <f ca="1">OFFSET(X40,0,-1)+1</f>
        <v>5</v>
      </c>
      <c r="Y40" s="1239">
        <f ca="1">OFFSET(Y40,0,-1)+1</f>
        <v>6</v>
      </c>
      <c r="Z40" s="2406">
        <f ca="1">OFFSET(Z40,0,-1)+1</f>
        <v>7</v>
      </c>
      <c r="AA40" s="2406"/>
      <c r="AB40" s="1239">
        <f ca="1">OFFSET(AB40,0,-2)+1</f>
        <v>8</v>
      </c>
      <c r="AC40" s="1239">
        <f ca="1">OFFSET(AC40,0,-1)+1</f>
        <v>9</v>
      </c>
      <c r="AD40" s="1239">
        <f ca="1">OFFSET(AD40,0,-1)+1</f>
        <v>10</v>
      </c>
      <c r="AE40" s="1239">
        <f ca="1">OFFSET(AE40,0,-1)+1</f>
        <v>11</v>
      </c>
      <c r="AF40" s="1239">
        <f ca="1">OFFSET(AF40,0,-1)+1</f>
        <v>12</v>
      </c>
      <c r="AG40" s="2406">
        <f ca="1">OFFSET(AG40,0,-1)+1</f>
        <v>13</v>
      </c>
      <c r="AH40" s="2406"/>
      <c r="AI40" s="1239">
        <f ca="1">OFFSET(AI40,0,-2)+1</f>
        <v>14</v>
      </c>
      <c r="AJ40" s="1033">
        <f ca="1">OFFSET(AJ40,0,-1)</f>
        <v>14</v>
      </c>
      <c r="AK40" s="1239">
        <f ca="1">OFFSET(AK40,0,-1)+1</f>
        <v>15</v>
      </c>
      <c r="AL40" s="444"/>
      <c r="AM40" s="444"/>
      <c r="AN40" s="444"/>
      <c r="AO40" s="444"/>
      <c r="AP40" s="444"/>
      <c r="AQ40" s="429">
        <v>0</v>
      </c>
    </row>
    <row r="41" spans="1:43" ht="24" customHeight="1">
      <c r="A41" s="1151" t="s">
        <v>315</v>
      </c>
      <c r="B41" s="1151"/>
      <c r="C41" s="1151"/>
      <c r="D41" s="1151"/>
      <c r="E41" s="2395">
        <v>1</v>
      </c>
      <c r="F41" s="1151"/>
      <c r="G41" s="1151"/>
      <c r="H41" s="1151"/>
      <c r="I41" s="1151"/>
      <c r="J41" s="1151"/>
      <c r="K41" s="1151"/>
      <c r="L41" s="1152"/>
      <c r="M41" s="1153"/>
      <c r="N41" s="1153"/>
      <c r="O41" s="1153"/>
      <c r="P41" s="294"/>
      <c r="Q41" s="293"/>
      <c r="R41" s="288"/>
      <c r="S41" s="1245">
        <f>INDEX(PT_DIFFERENTIATION_NUM_NTAR,MATCH(A41,PT_DIFFERENTIATION_NTAR_ID,0))</f>
        <v>0</v>
      </c>
      <c r="T41" s="232" t="s">
        <v>214</v>
      </c>
      <c r="U41" s="234"/>
      <c r="V41" s="2389"/>
      <c r="W41" s="2390"/>
      <c r="X41" s="2390"/>
      <c r="Y41" s="2390"/>
      <c r="Z41" s="2390"/>
      <c r="AA41" s="2390"/>
      <c r="AB41" s="2391"/>
      <c r="AC41" s="2389" t="str">
        <f>INDEX(PT_DIFFERENTIATION_NTAR,MATCH(A41,PT_DIFFERENTIATION_NTAR_ID,0))</f>
        <v/>
      </c>
      <c r="AD41" s="2390"/>
      <c r="AE41" s="2390"/>
      <c r="AF41" s="2390"/>
      <c r="AG41" s="2390"/>
      <c r="AH41" s="2390"/>
      <c r="AI41" s="2390"/>
      <c r="AJ41" s="2391"/>
      <c r="AK41" s="104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956">
        <v>23</v>
      </c>
    </row>
    <row r="42" spans="1:43" ht="24" customHeight="1">
      <c r="A42" s="1151" t="s">
        <v>315</v>
      </c>
      <c r="B42" s="1151" t="s">
        <v>316</v>
      </c>
      <c r="C42" s="1151"/>
      <c r="D42" s="1151"/>
      <c r="E42" s="2396"/>
      <c r="F42" s="2395">
        <v>1</v>
      </c>
      <c r="G42" s="1151"/>
      <c r="H42" s="1151"/>
      <c r="I42" s="1151"/>
      <c r="J42" s="1151"/>
      <c r="K42" s="1151"/>
      <c r="L42" s="1152"/>
      <c r="M42" s="1153"/>
      <c r="N42" s="1153"/>
      <c r="O42" s="1153"/>
      <c r="P42" s="1241"/>
      <c r="Q42" s="285"/>
      <c r="R42" s="286"/>
      <c r="S42" s="1245" t="str">
        <f>INDEX(PT_DIFFERENTIATION_NUM_TER,MATCH(B42,PT_DIFFERENTIATION_TER_ID,0))</f>
        <v>.</v>
      </c>
      <c r="T42" s="242" t="s">
        <v>481</v>
      </c>
      <c r="U42" s="234"/>
      <c r="V42" s="2389"/>
      <c r="W42" s="2390"/>
      <c r="X42" s="2390"/>
      <c r="Y42" s="2390"/>
      <c r="Z42" s="2390"/>
      <c r="AA42" s="2390"/>
      <c r="AB42" s="2391"/>
      <c r="AC42" s="2389" t="str">
        <f>INDEX(PT_DIFFERENTIATION_TER,MATCH(B42,PT_DIFFERENTIATION_TER_ID,0))</f>
        <v/>
      </c>
      <c r="AD42" s="2390"/>
      <c r="AE42" s="2390"/>
      <c r="AF42" s="2390"/>
      <c r="AG42" s="2390"/>
      <c r="AH42" s="2390"/>
      <c r="AI42" s="2390"/>
      <c r="AJ42" s="2391"/>
      <c r="AK42" s="1046" t="s">
        <v>482</v>
      </c>
      <c r="AM42" s="433"/>
      <c r="AN42" s="433" t="str">
        <f t="shared" si="1"/>
        <v>Территория действия тарифа</v>
      </c>
      <c r="AO42" s="433"/>
      <c r="AP42" s="433"/>
      <c r="AQ42" s="956">
        <v>23</v>
      </c>
    </row>
    <row r="43" spans="1:43" ht="24" customHeight="1">
      <c r="A43" s="1151" t="s">
        <v>315</v>
      </c>
      <c r="B43" s="1151" t="s">
        <v>316</v>
      </c>
      <c r="C43" s="1151" t="s">
        <v>317</v>
      </c>
      <c r="D43" s="1151"/>
      <c r="E43" s="2396"/>
      <c r="F43" s="2396"/>
      <c r="G43" s="2395">
        <v>1</v>
      </c>
      <c r="H43" s="1151"/>
      <c r="I43" s="1151"/>
      <c r="J43" s="1151"/>
      <c r="K43" s="1151"/>
      <c r="L43" s="1152"/>
      <c r="M43" s="1153"/>
      <c r="N43" s="1153"/>
      <c r="O43" s="1153"/>
      <c r="P43" s="287"/>
      <c r="Q43" s="285"/>
      <c r="R43" s="286"/>
      <c r="S43" s="1245" t="str">
        <f>INDEX(PT_DIFFERENTIATION_NUM_CS,MATCH(C43,PT_DIFFERENTIATION_CS_ID,0))</f>
        <v>..</v>
      </c>
      <c r="T43" s="243" t="s">
        <v>565</v>
      </c>
      <c r="U43" s="234"/>
      <c r="V43" s="2389"/>
      <c r="W43" s="2390"/>
      <c r="X43" s="2390"/>
      <c r="Y43" s="2390"/>
      <c r="Z43" s="2390"/>
      <c r="AA43" s="2390"/>
      <c r="AB43" s="2391"/>
      <c r="AC43" s="2389" t="str">
        <f>INDEX(PT_DIFFERENTIATION_CS,MATCH(C43,PT_DIFFERENTIATION_CS_ID,0))</f>
        <v/>
      </c>
      <c r="AD43" s="2390"/>
      <c r="AE43" s="2390"/>
      <c r="AF43" s="2390"/>
      <c r="AG43" s="2390"/>
      <c r="AH43" s="2390"/>
      <c r="AI43" s="2390"/>
      <c r="AJ43" s="2391"/>
      <c r="AK43" s="1046" t="s">
        <v>566</v>
      </c>
      <c r="AM43" s="433"/>
      <c r="AN43" s="433" t="str">
        <f t="shared" si="1"/>
        <v>Наименование централизованной системы холодного водоснабжения</v>
      </c>
      <c r="AO43" s="433"/>
      <c r="AP43" s="433"/>
      <c r="AQ43" s="956">
        <v>23</v>
      </c>
    </row>
    <row r="44" spans="1:43" ht="24" customHeight="1">
      <c r="A44" s="1151" t="s">
        <v>315</v>
      </c>
      <c r="B44" s="1151" t="s">
        <v>316</v>
      </c>
      <c r="C44" s="1151" t="s">
        <v>317</v>
      </c>
      <c r="D44" s="1151" t="s">
        <v>580</v>
      </c>
      <c r="E44" s="2396"/>
      <c r="F44" s="2396"/>
      <c r="G44" s="2396"/>
      <c r="H44" s="2396"/>
      <c r="I44" s="2397" t="str">
        <f>S43&amp;".1"</f>
        <v>...1</v>
      </c>
      <c r="J44" s="1151"/>
      <c r="K44" s="1151"/>
      <c r="L44" s="1152"/>
      <c r="P44" s="2399">
        <v>1</v>
      </c>
      <c r="Q44" s="1238"/>
      <c r="R44" s="289"/>
      <c r="S44" s="1245" t="str">
        <f>$I44</f>
        <v>...1</v>
      </c>
      <c r="T44" s="219" t="s">
        <v>567</v>
      </c>
      <c r="U44" s="234"/>
      <c r="V44" s="2463"/>
      <c r="W44" s="2464"/>
      <c r="X44" s="2464"/>
      <c r="Y44" s="2464"/>
      <c r="Z44" s="2464"/>
      <c r="AA44" s="2464"/>
      <c r="AB44" s="2465"/>
      <c r="AC44" s="2466"/>
      <c r="AD44" s="2467"/>
      <c r="AE44" s="2467"/>
      <c r="AF44" s="2467"/>
      <c r="AG44" s="2467"/>
      <c r="AH44" s="2467"/>
      <c r="AI44" s="2467"/>
      <c r="AJ44" s="2468"/>
      <c r="AK44" s="1046" t="s">
        <v>568</v>
      </c>
      <c r="AM44" s="433"/>
      <c r="AN44" s="433" t="str">
        <f t="shared" si="1"/>
        <v>Наименование признака дифференциации</v>
      </c>
      <c r="AO44" s="433"/>
      <c r="AP44" s="433"/>
      <c r="AQ44" s="956">
        <v>23</v>
      </c>
    </row>
    <row r="45" spans="1:43" ht="24" customHeight="1">
      <c r="A45" s="1151" t="s">
        <v>315</v>
      </c>
      <c r="B45" s="1151" t="s">
        <v>316</v>
      </c>
      <c r="C45" s="1151" t="s">
        <v>317</v>
      </c>
      <c r="D45" s="1151" t="s">
        <v>580</v>
      </c>
      <c r="E45" s="2396"/>
      <c r="F45" s="2396"/>
      <c r="G45" s="2396"/>
      <c r="H45" s="2396"/>
      <c r="I45" s="2398"/>
      <c r="J45" s="2397" t="str">
        <f>I44&amp;".1"</f>
        <v>...1.1</v>
      </c>
      <c r="K45" s="1151"/>
      <c r="L45" s="1152" t="s">
        <v>490</v>
      </c>
      <c r="P45" s="2399"/>
      <c r="Q45" s="2399">
        <v>1</v>
      </c>
      <c r="R45" s="290"/>
      <c r="S45" s="1245" t="str">
        <f>$J45</f>
        <v>...1.1</v>
      </c>
      <c r="T45" s="220" t="s">
        <v>491</v>
      </c>
      <c r="U45" s="234"/>
      <c r="V45" s="2383"/>
      <c r="W45" s="2384"/>
      <c r="X45" s="2384"/>
      <c r="Y45" s="2384"/>
      <c r="Z45" s="2384"/>
      <c r="AA45" s="2384"/>
      <c r="AB45" s="2385"/>
      <c r="AC45" s="2383"/>
      <c r="AD45" s="2384"/>
      <c r="AE45" s="2384"/>
      <c r="AF45" s="2384"/>
      <c r="AG45" s="2384"/>
      <c r="AH45" s="2384"/>
      <c r="AI45" s="2384"/>
      <c r="AJ45" s="2385"/>
      <c r="AK45" s="1095" t="s">
        <v>569</v>
      </c>
      <c r="AM45" s="433"/>
      <c r="AN45" s="433" t="str">
        <f t="shared" si="1"/>
        <v>Группа потребителей</v>
      </c>
      <c r="AO45" s="433"/>
      <c r="AP45" s="433"/>
      <c r="AQ45" s="956">
        <v>23</v>
      </c>
    </row>
    <row r="46" spans="1:43" ht="24" customHeight="1">
      <c r="A46" s="1151" t="s">
        <v>315</v>
      </c>
      <c r="B46" s="1151" t="s">
        <v>316</v>
      </c>
      <c r="C46" s="1151" t="s">
        <v>317</v>
      </c>
      <c r="D46" s="1151" t="s">
        <v>580</v>
      </c>
      <c r="E46" s="2396"/>
      <c r="F46" s="2396"/>
      <c r="G46" s="2396"/>
      <c r="H46" s="2396"/>
      <c r="I46" s="2398"/>
      <c r="J46" s="2398"/>
      <c r="K46" s="2397" t="str">
        <f>J45&amp;".1"</f>
        <v>...1.1.1</v>
      </c>
      <c r="L46" s="1152"/>
      <c r="P46" s="2399"/>
      <c r="Q46" s="2399"/>
      <c r="R46" s="290">
        <v>1</v>
      </c>
      <c r="S46" s="1245" t="str">
        <f>$K46</f>
        <v>...1.1.1</v>
      </c>
      <c r="T46" s="1225"/>
      <c r="U46" s="234"/>
      <c r="V46" s="658"/>
      <c r="W46" s="658"/>
      <c r="X46" s="1045"/>
      <c r="Y46" s="2400"/>
      <c r="Z46" s="2276" t="s">
        <v>52</v>
      </c>
      <c r="AA46" s="2400"/>
      <c r="AB46" s="2276" t="s">
        <v>52</v>
      </c>
      <c r="AC46" s="658"/>
      <c r="AD46" s="658"/>
      <c r="AE46" s="1045"/>
      <c r="AF46" s="2400"/>
      <c r="AG46" s="2276" t="s">
        <v>52</v>
      </c>
      <c r="AH46" s="2402"/>
      <c r="AI46" s="2276" t="s">
        <v>52</v>
      </c>
      <c r="AJ46" s="1226"/>
      <c r="AK46" s="24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956">
        <v>23</v>
      </c>
    </row>
    <row r="47" spans="1:43" ht="0" hidden="1" customHeight="1">
      <c r="A47" s="1151" t="s">
        <v>315</v>
      </c>
      <c r="B47" s="1151" t="s">
        <v>316</v>
      </c>
      <c r="C47" s="1151" t="s">
        <v>317</v>
      </c>
      <c r="D47" s="1151" t="s">
        <v>580</v>
      </c>
      <c r="E47" s="2396"/>
      <c r="F47" s="2396"/>
      <c r="G47" s="2396"/>
      <c r="H47" s="2396"/>
      <c r="I47" s="2398"/>
      <c r="J47" s="2398"/>
      <c r="K47" s="2397"/>
      <c r="L47" s="1152"/>
      <c r="P47" s="2399"/>
      <c r="Q47" s="2399"/>
      <c r="R47" s="290"/>
      <c r="S47" s="1244"/>
      <c r="T47" s="234"/>
      <c r="U47" s="234"/>
      <c r="V47" s="259"/>
      <c r="W47" s="259"/>
      <c r="X47" s="262" t="str">
        <f>Y46&amp;"-"&amp;AA46</f>
        <v>-</v>
      </c>
      <c r="Y47" s="2401"/>
      <c r="Z47" s="2276"/>
      <c r="AA47" s="2401"/>
      <c r="AB47" s="2276"/>
      <c r="AC47" s="259"/>
      <c r="AD47" s="259"/>
      <c r="AE47" s="262" t="str">
        <f>AF46&amp;"-"&amp;AH46</f>
        <v>-</v>
      </c>
      <c r="AF47" s="2401"/>
      <c r="AG47" s="2276"/>
      <c r="AH47" s="2403"/>
      <c r="AI47" s="2276"/>
      <c r="AJ47" s="1227"/>
      <c r="AK47" s="2469"/>
      <c r="AM47" s="433"/>
      <c r="AN47" s="433" t="str">
        <f t="shared" si="1"/>
        <v/>
      </c>
      <c r="AO47" s="433"/>
      <c r="AP47" s="433"/>
      <c r="AQ47" s="956">
        <v>0</v>
      </c>
    </row>
    <row r="48" spans="1:43" ht="21" customHeight="1">
      <c r="A48" s="1151" t="s">
        <v>315</v>
      </c>
      <c r="B48" s="1151" t="s">
        <v>316</v>
      </c>
      <c r="C48" s="1151" t="s">
        <v>317</v>
      </c>
      <c r="D48" s="1151" t="s">
        <v>580</v>
      </c>
      <c r="E48" s="2396"/>
      <c r="F48" s="2396"/>
      <c r="G48" s="2396"/>
      <c r="H48" s="2396"/>
      <c r="I48" s="2398"/>
      <c r="J48" s="2397"/>
      <c r="K48" s="1151"/>
      <c r="L48" s="1152"/>
      <c r="P48" s="2399"/>
      <c r="Q48" s="2399"/>
      <c r="R48" s="289"/>
      <c r="S48" s="1066"/>
      <c r="T48" s="221" t="s">
        <v>570</v>
      </c>
      <c r="U48" s="300"/>
      <c r="V48" s="300"/>
      <c r="W48" s="300"/>
      <c r="X48" s="300"/>
      <c r="Y48" s="300"/>
      <c r="Z48" s="300"/>
      <c r="AA48" s="300"/>
      <c r="AB48" s="300"/>
      <c r="AC48" s="300"/>
      <c r="AD48" s="300"/>
      <c r="AE48" s="300"/>
      <c r="AF48" s="300"/>
      <c r="AG48" s="300"/>
      <c r="AH48" s="300"/>
      <c r="AI48" s="300"/>
      <c r="AJ48" s="300"/>
      <c r="AK48" s="1046" t="s">
        <v>571</v>
      </c>
      <c r="AM48" s="433"/>
      <c r="AN48" s="433" t="str">
        <f t="shared" si="1"/>
        <v>Добавить значение признака дифференциации</v>
      </c>
      <c r="AO48" s="433"/>
      <c r="AP48" s="433"/>
      <c r="AQ48" s="956">
        <v>20</v>
      </c>
    </row>
    <row r="49" spans="1:43" ht="21.95" customHeight="1">
      <c r="A49" s="1151" t="s">
        <v>315</v>
      </c>
      <c r="B49" s="1151" t="s">
        <v>316</v>
      </c>
      <c r="C49" s="1151" t="s">
        <v>317</v>
      </c>
      <c r="D49" s="1151" t="s">
        <v>580</v>
      </c>
      <c r="E49" s="2396"/>
      <c r="F49" s="2396"/>
      <c r="G49" s="2396"/>
      <c r="H49" s="2396"/>
      <c r="I49" s="2397"/>
      <c r="J49" s="1151"/>
      <c r="K49" s="1151"/>
      <c r="L49" s="1152"/>
      <c r="P49" s="2399"/>
      <c r="Q49" s="1238"/>
      <c r="R49" s="289"/>
      <c r="S49" s="1066"/>
      <c r="T49" s="298" t="s">
        <v>496</v>
      </c>
      <c r="U49" s="300"/>
      <c r="V49" s="300"/>
      <c r="W49" s="300"/>
      <c r="X49" s="300"/>
      <c r="Y49" s="300"/>
      <c r="Z49" s="300"/>
      <c r="AA49" s="300"/>
      <c r="AB49" s="299"/>
      <c r="AC49" s="300"/>
      <c r="AD49" s="300"/>
      <c r="AE49" s="300"/>
      <c r="AF49" s="300"/>
      <c r="AG49" s="300"/>
      <c r="AH49" s="300"/>
      <c r="AI49" s="299"/>
      <c r="AJ49" s="300"/>
      <c r="AK49" s="1228"/>
      <c r="AM49" s="433"/>
      <c r="AN49" s="433" t="str">
        <f t="shared" si="1"/>
        <v>Добавить группу потребителей</v>
      </c>
      <c r="AO49" s="433"/>
      <c r="AP49" s="433"/>
      <c r="AQ49" s="956">
        <v>21</v>
      </c>
    </row>
    <row r="50" spans="1:43" ht="21.95" customHeight="1">
      <c r="A50" s="1151" t="s">
        <v>315</v>
      </c>
      <c r="B50" s="1151" t="s">
        <v>316</v>
      </c>
      <c r="C50" s="1151" t="s">
        <v>317</v>
      </c>
      <c r="D50" s="1151" t="s">
        <v>580</v>
      </c>
      <c r="E50" s="2396"/>
      <c r="F50" s="2396"/>
      <c r="G50" s="2396"/>
      <c r="H50" s="2395"/>
      <c r="I50" s="1151"/>
      <c r="J50" s="1151"/>
      <c r="K50" s="1151"/>
      <c r="L50" s="1152"/>
      <c r="M50" s="1153"/>
      <c r="N50" s="1153"/>
      <c r="O50" s="469"/>
      <c r="P50" s="293"/>
      <c r="Q50" s="308"/>
      <c r="R50" s="288"/>
      <c r="S50" s="1066"/>
      <c r="T50" s="305" t="s">
        <v>572</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956">
        <v>21</v>
      </c>
    </row>
    <row r="51" spans="1:43" s="1430" customFormat="1" ht="0" hidden="1" customHeight="1">
      <c r="A51" s="1131" t="s">
        <v>315</v>
      </c>
      <c r="B51" s="1131" t="s">
        <v>316</v>
      </c>
      <c r="C51" s="1102"/>
      <c r="D51" s="1102"/>
      <c r="E51" s="2396"/>
      <c r="F51" s="2395"/>
      <c r="G51" s="1102"/>
      <c r="H51" s="1102"/>
      <c r="I51" s="1102"/>
      <c r="J51" s="1102"/>
      <c r="K51" s="1102"/>
      <c r="L51" s="1246"/>
      <c r="M51" s="1109"/>
      <c r="N51" s="1109"/>
      <c r="P51" s="1104"/>
      <c r="Q51" s="1105"/>
      <c r="R51" s="1104"/>
      <c r="S51" s="1110"/>
      <c r="T51" s="1113" t="s">
        <v>499</v>
      </c>
      <c r="U51" s="1112"/>
      <c r="V51" s="1112"/>
      <c r="W51" s="1112"/>
      <c r="X51" s="1112"/>
      <c r="Y51" s="1112"/>
      <c r="Z51" s="1112"/>
      <c r="AA51" s="1112"/>
      <c r="AB51" s="1112"/>
      <c r="AC51" s="1112"/>
      <c r="AD51" s="1112"/>
      <c r="AE51" s="1112"/>
      <c r="AF51" s="1112"/>
      <c r="AG51" s="1112"/>
      <c r="AH51" s="1112"/>
      <c r="AI51" s="1112"/>
      <c r="AJ51" s="1112"/>
      <c r="AK51" s="1112"/>
      <c r="AM51" s="688"/>
      <c r="AN51" s="688" t="str">
        <f t="shared" si="1"/>
        <v>Добавить централизованную систему для дифференциации</v>
      </c>
      <c r="AO51" s="688"/>
      <c r="AP51" s="688"/>
      <c r="AQ51" s="451">
        <v>0</v>
      </c>
    </row>
    <row r="52" spans="1:43" s="1430" customFormat="1" ht="0" hidden="1" customHeight="1">
      <c r="A52" s="1131" t="s">
        <v>315</v>
      </c>
      <c r="B52" s="1131"/>
      <c r="C52" s="1131"/>
      <c r="D52" s="1131"/>
      <c r="E52" s="2395"/>
      <c r="F52" s="1131"/>
      <c r="G52" s="1131"/>
      <c r="H52" s="1131"/>
      <c r="I52" s="1131"/>
      <c r="J52" s="1131"/>
      <c r="K52" s="1131"/>
      <c r="L52" s="1134"/>
      <c r="M52" s="1109"/>
      <c r="N52" s="1109"/>
      <c r="O52" s="451"/>
      <c r="P52" s="313"/>
      <c r="Q52" s="1132"/>
      <c r="R52" s="313"/>
      <c r="S52" s="1110"/>
      <c r="T52" s="1113" t="s">
        <v>500</v>
      </c>
      <c r="U52" s="1112"/>
      <c r="V52" s="1112"/>
      <c r="W52" s="1112"/>
      <c r="X52" s="1112"/>
      <c r="Y52" s="1112"/>
      <c r="Z52" s="1112"/>
      <c r="AA52" s="1112"/>
      <c r="AB52" s="1112"/>
      <c r="AC52" s="1112"/>
      <c r="AD52" s="1112"/>
      <c r="AE52" s="1112"/>
      <c r="AF52" s="1112"/>
      <c r="AG52" s="1112"/>
      <c r="AH52" s="1112"/>
      <c r="AI52" s="1112"/>
      <c r="AJ52" s="1112"/>
      <c r="AK52" s="1112"/>
      <c r="AM52" s="433"/>
      <c r="AN52" s="433" t="str">
        <f t="shared" si="1"/>
        <v>Добавить территорию для дифференциации</v>
      </c>
      <c r="AO52" s="433"/>
      <c r="AP52" s="433"/>
      <c r="AQ52" s="444">
        <v>0</v>
      </c>
    </row>
    <row r="53" spans="1:43" s="1430" customFormat="1" ht="0" hidden="1" customHeight="1">
      <c r="A53" s="1102"/>
      <c r="B53" s="1102"/>
      <c r="C53" s="1102"/>
      <c r="D53" s="1102"/>
      <c r="E53" s="1131"/>
      <c r="F53" s="1102"/>
      <c r="G53" s="1102"/>
      <c r="H53" s="1102"/>
      <c r="I53" s="1102"/>
      <c r="J53" s="1102"/>
      <c r="K53" s="1102"/>
      <c r="L53" s="1246"/>
      <c r="M53" s="1109"/>
      <c r="N53" s="1109"/>
      <c r="P53" s="1104"/>
      <c r="Q53" s="1105"/>
      <c r="R53" s="1104"/>
      <c r="S53" s="1110"/>
      <c r="T53" s="1113" t="s">
        <v>532</v>
      </c>
      <c r="U53" s="1112"/>
      <c r="V53" s="1112"/>
      <c r="W53" s="1112"/>
      <c r="X53" s="1112"/>
      <c r="Y53" s="1112"/>
      <c r="Z53" s="1112"/>
      <c r="AA53" s="1112"/>
      <c r="AB53" s="1112"/>
      <c r="AC53" s="1112"/>
      <c r="AD53" s="1112"/>
      <c r="AE53" s="1112"/>
      <c r="AF53" s="1112"/>
      <c r="AG53" s="1112"/>
      <c r="AH53" s="1112"/>
      <c r="AI53" s="1112"/>
      <c r="AJ53" s="1112"/>
      <c r="AK53" s="1112"/>
      <c r="AM53" s="688"/>
      <c r="AN53" s="688" t="str">
        <f t="shared" si="1"/>
        <v>Добавить наименование тарифа</v>
      </c>
      <c r="AO53" s="688"/>
      <c r="AP53" s="688"/>
      <c r="AQ53" s="451">
        <v>0</v>
      </c>
    </row>
    <row r="54" spans="1:43" ht="11.45" customHeight="1">
      <c r="M54" s="961"/>
      <c r="N54" s="961"/>
      <c r="O54" s="469"/>
      <c r="P54" s="956"/>
      <c r="Q54" s="956"/>
      <c r="R54" s="956"/>
      <c r="S54" s="956"/>
      <c r="AL54" s="956"/>
      <c r="AM54" s="956"/>
      <c r="AN54" s="956"/>
      <c r="AO54" s="956"/>
      <c r="AP54" s="956"/>
      <c r="AQ54" s="956">
        <v>11</v>
      </c>
    </row>
    <row r="55" spans="1:43" ht="14.65" customHeight="1">
      <c r="O55" s="469"/>
      <c r="S55" s="1041"/>
      <c r="T55" s="2394"/>
      <c r="U55" s="2394"/>
      <c r="V55" s="2394"/>
      <c r="W55" s="2394"/>
      <c r="X55" s="2394"/>
      <c r="Y55" s="2394"/>
      <c r="Z55" s="2394"/>
      <c r="AA55" s="2394"/>
      <c r="AB55" s="2394"/>
      <c r="AC55" s="2394"/>
      <c r="AD55" s="2394"/>
      <c r="AE55" s="2394"/>
      <c r="AF55" s="2394"/>
      <c r="AG55" s="2394"/>
      <c r="AH55" s="2394"/>
      <c r="AI55" s="2394"/>
      <c r="AJ55" s="2394"/>
      <c r="AK55" s="2394"/>
      <c r="AQ55" s="956">
        <v>14</v>
      </c>
    </row>
    <row r="56" spans="1:43" ht="14.65" customHeight="1">
      <c r="O56" s="469"/>
      <c r="AQ56" s="956">
        <v>14</v>
      </c>
    </row>
    <row r="57" spans="1:43" ht="14.65" customHeight="1">
      <c r="O57" s="469"/>
      <c r="S57" s="1041"/>
      <c r="T57" s="2394"/>
      <c r="U57" s="2394"/>
      <c r="V57" s="2394"/>
      <c r="W57" s="2394"/>
      <c r="X57" s="2394"/>
      <c r="Y57" s="2394"/>
      <c r="Z57" s="2394"/>
      <c r="AA57" s="2394"/>
      <c r="AB57" s="2394"/>
      <c r="AC57" s="2394"/>
      <c r="AD57" s="2394"/>
      <c r="AE57" s="2394"/>
      <c r="AF57" s="2394"/>
      <c r="AG57" s="2394"/>
      <c r="AH57" s="2394"/>
      <c r="AI57" s="2394"/>
      <c r="AJ57" s="2394"/>
      <c r="AK57" s="2394"/>
      <c r="AQ57" s="956">
        <v>14</v>
      </c>
    </row>
    <row r="58" spans="1:43" ht="22.5" hidden="1" customHeight="1">
      <c r="A58" s="961" t="s">
        <v>69</v>
      </c>
      <c r="B58" s="961">
        <v>0</v>
      </c>
      <c r="C58" s="961">
        <v>0</v>
      </c>
      <c r="D58" s="961">
        <v>0</v>
      </c>
      <c r="E58" s="961">
        <v>0</v>
      </c>
      <c r="F58" s="961">
        <v>0</v>
      </c>
      <c r="G58" s="961">
        <v>0</v>
      </c>
      <c r="H58" s="961">
        <v>0</v>
      </c>
      <c r="I58" s="961">
        <v>0</v>
      </c>
      <c r="J58" s="961">
        <v>0</v>
      </c>
      <c r="K58" s="961">
        <v>0</v>
      </c>
      <c r="L58" s="1235">
        <v>0</v>
      </c>
      <c r="M58" s="1150">
        <v>0</v>
      </c>
      <c r="N58" s="1150">
        <v>0</v>
      </c>
      <c r="O58" s="1150">
        <v>0</v>
      </c>
      <c r="P58" s="1234">
        <v>3</v>
      </c>
      <c r="Q58" s="278">
        <v>3</v>
      </c>
      <c r="R58" s="278">
        <v>3</v>
      </c>
      <c r="S58" s="512">
        <v>12</v>
      </c>
      <c r="T58" s="956">
        <v>35</v>
      </c>
      <c r="U58" s="956">
        <v>0</v>
      </c>
      <c r="V58" s="956">
        <v>0</v>
      </c>
      <c r="W58" s="956">
        <v>0</v>
      </c>
      <c r="X58" s="956">
        <v>0</v>
      </c>
      <c r="Y58" s="956">
        <v>0</v>
      </c>
      <c r="Z58" s="956">
        <v>0</v>
      </c>
      <c r="AA58" s="956">
        <v>0</v>
      </c>
      <c r="AB58" s="956">
        <v>0</v>
      </c>
      <c r="AC58" s="956">
        <v>24</v>
      </c>
      <c r="AD58" s="956">
        <v>24</v>
      </c>
      <c r="AE58" s="956">
        <v>24</v>
      </c>
      <c r="AF58" s="956">
        <v>11</v>
      </c>
      <c r="AG58" s="956">
        <v>3</v>
      </c>
      <c r="AH58" s="956">
        <v>11</v>
      </c>
      <c r="AI58" s="956">
        <v>0</v>
      </c>
      <c r="AJ58" s="956">
        <v>4</v>
      </c>
      <c r="AK58" s="956">
        <v>115</v>
      </c>
      <c r="AL58" s="444">
        <v>10</v>
      </c>
      <c r="AM58" s="444">
        <v>10</v>
      </c>
      <c r="AN58" s="444">
        <v>10</v>
      </c>
      <c r="AO58" s="444">
        <v>10</v>
      </c>
      <c r="AP58" s="444">
        <v>10</v>
      </c>
      <c r="AQ58" s="956">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54" hidden="1"/>
    <col min="2" max="2" width="11" style="1154" hidden="1" customWidth="1"/>
    <col min="3" max="3" width="10.5703125" style="1154" hidden="1"/>
    <col min="4" max="4" width="11.85546875" style="1154" hidden="1" customWidth="1"/>
    <col min="5" max="5" width="10" style="1154" hidden="1" customWidth="1"/>
    <col min="6" max="6" width="8.7109375" style="1154" hidden="1" customWidth="1"/>
    <col min="7" max="7" width="7.5703125" style="1154" hidden="1" customWidth="1"/>
    <col min="8" max="8" width="11.42578125" style="1154" hidden="1" customWidth="1"/>
    <col min="9" max="9" width="14.140625" style="1154" hidden="1" customWidth="1"/>
    <col min="10" max="10" width="9.85546875" style="1154" hidden="1" customWidth="1"/>
    <col min="11" max="11" width="14.7109375" style="1154" hidden="1" customWidth="1"/>
    <col min="12" max="12" width="19.140625" style="1866" hidden="1" customWidth="1"/>
    <col min="13" max="14" width="12.28515625" style="1535" hidden="1" customWidth="1"/>
    <col min="15" max="15" width="23.42578125" style="1535" hidden="1" customWidth="1"/>
    <col min="16" max="16" width="3" style="1857" customWidth="1"/>
    <col min="17" max="18" width="3" style="278" customWidth="1"/>
    <col min="19" max="19" width="12" style="1858" customWidth="1"/>
    <col min="20" max="20" width="35" style="1423" customWidth="1"/>
    <col min="21" max="21" width="0.140625" style="1423" customWidth="1"/>
    <col min="22" max="24" width="24.7109375" style="1423" hidden="1" customWidth="1"/>
    <col min="25" max="25" width="11.7109375" style="1423" hidden="1" customWidth="1"/>
    <col min="26" max="26" width="3.7109375" style="1423" hidden="1" customWidth="1"/>
    <col min="27" max="27" width="11.7109375" style="1423" hidden="1" customWidth="1"/>
    <col min="28" max="28" width="8.5703125" style="1423" hidden="1" customWidth="1"/>
    <col min="29" max="29" width="24.7109375" style="1423" customWidth="1"/>
    <col min="30" max="31" width="24" style="1423" customWidth="1"/>
    <col min="32" max="32" width="11" style="1423" customWidth="1"/>
    <col min="33" max="33" width="3.7109375" style="1423" customWidth="1"/>
    <col min="34" max="34" width="11" style="1423" customWidth="1"/>
    <col min="35" max="35" width="8.5703125" style="1423" hidden="1" customWidth="1"/>
    <col min="36" max="36" width="4" style="1423" customWidth="1"/>
    <col min="37" max="37" width="115" style="1423" customWidth="1"/>
    <col min="38" max="42" width="10" style="1430" customWidth="1"/>
    <col min="43" max="43" width="10.5703125" style="1423" hidden="1"/>
  </cols>
  <sheetData>
    <row r="1" spans="1:43" ht="22.5" hidden="1" customHeight="1">
      <c r="X1" s="261"/>
      <c r="Y1" s="261"/>
      <c r="AE1" s="261"/>
      <c r="AF1" s="261"/>
      <c r="AQ1" s="956" t="s">
        <v>1</v>
      </c>
    </row>
    <row r="2" spans="1:43" ht="23.25" hidden="1" customHeight="1">
      <c r="A2" s="1151"/>
      <c r="B2" s="1151"/>
      <c r="C2" s="1151"/>
      <c r="D2" s="1151"/>
      <c r="E2" s="2395">
        <v>1</v>
      </c>
      <c r="F2" s="1151"/>
      <c r="G2" s="1151"/>
      <c r="H2" s="1151"/>
      <c r="I2" s="1151"/>
      <c r="J2" s="1151"/>
      <c r="K2" s="1151"/>
      <c r="L2" s="1152"/>
      <c r="M2" s="1153"/>
      <c r="N2" s="1153"/>
      <c r="O2" s="1153"/>
      <c r="P2" s="294"/>
      <c r="Q2" s="293"/>
      <c r="R2" s="288"/>
      <c r="S2" s="1245" t="e">
        <f>INDEX(PT_DIFFERENTIATION_NUM_NTAR,MATCH(A2,PT_DIFFERENTIATION_NTAR_ID,0))</f>
        <v>#N/A</v>
      </c>
      <c r="T2" s="232" t="s">
        <v>214</v>
      </c>
      <c r="U2" s="234"/>
      <c r="V2" s="2389"/>
      <c r="W2" s="2390"/>
      <c r="X2" s="2390"/>
      <c r="Y2" s="2390"/>
      <c r="Z2" s="2390"/>
      <c r="AA2" s="2390"/>
      <c r="AB2" s="2391"/>
      <c r="AC2" s="2389" t="e">
        <f>INDEX(PT_DIFFERENTIATION_NTAR,MATCH(A2,PT_DIFFERENTIATION_NTAR_ID,0))</f>
        <v>#N/A</v>
      </c>
      <c r="AD2" s="2390"/>
      <c r="AE2" s="2390"/>
      <c r="AF2" s="2390"/>
      <c r="AG2" s="2390"/>
      <c r="AH2" s="2390"/>
      <c r="AI2" s="2390"/>
      <c r="AJ2" s="2391"/>
      <c r="AK2" s="104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956">
        <v>0</v>
      </c>
    </row>
    <row r="3" spans="1:43" ht="23.25" hidden="1" customHeight="1">
      <c r="A3" s="1151"/>
      <c r="B3" s="1151"/>
      <c r="C3" s="1151"/>
      <c r="D3" s="1151"/>
      <c r="E3" s="2396"/>
      <c r="F3" s="2395">
        <v>1</v>
      </c>
      <c r="G3" s="1151"/>
      <c r="H3" s="1151"/>
      <c r="I3" s="1151"/>
      <c r="J3" s="1151"/>
      <c r="K3" s="1151"/>
      <c r="L3" s="1152"/>
      <c r="M3" s="1153"/>
      <c r="N3" s="1153"/>
      <c r="O3" s="1153"/>
      <c r="P3" s="1241"/>
      <c r="Q3" s="285"/>
      <c r="R3" s="286"/>
      <c r="S3" s="1245" t="e">
        <f>INDEX(PT_DIFFERENTIATION_NUM_TER,MATCH(B3,PT_DIFFERENTIATION_TER_ID,0))</f>
        <v>#N/A</v>
      </c>
      <c r="T3" s="242" t="s">
        <v>481</v>
      </c>
      <c r="U3" s="234"/>
      <c r="V3" s="2389"/>
      <c r="W3" s="2390"/>
      <c r="X3" s="2390"/>
      <c r="Y3" s="2390"/>
      <c r="Z3" s="2390"/>
      <c r="AA3" s="2390"/>
      <c r="AB3" s="2391"/>
      <c r="AC3" s="2389" t="e">
        <f>INDEX(PT_DIFFERENTIATION_TER,MATCH(B3,PT_DIFFERENTIATION_TER_ID,0))</f>
        <v>#N/A</v>
      </c>
      <c r="AD3" s="2390"/>
      <c r="AE3" s="2390"/>
      <c r="AF3" s="2390"/>
      <c r="AG3" s="2390"/>
      <c r="AH3" s="2390"/>
      <c r="AI3" s="2390"/>
      <c r="AJ3" s="2391"/>
      <c r="AK3" s="1046" t="s">
        <v>482</v>
      </c>
      <c r="AM3" s="433"/>
      <c r="AN3" s="433" t="str">
        <f t="shared" si="0"/>
        <v>Территория действия тарифа</v>
      </c>
      <c r="AO3" s="433"/>
      <c r="AP3" s="433"/>
      <c r="AQ3" s="956">
        <v>0</v>
      </c>
    </row>
    <row r="4" spans="1:43" ht="23.25" hidden="1" customHeight="1">
      <c r="A4" s="1151"/>
      <c r="B4" s="1151"/>
      <c r="C4" s="1151"/>
      <c r="D4" s="1151"/>
      <c r="E4" s="2396"/>
      <c r="F4" s="2396"/>
      <c r="G4" s="2395">
        <v>1</v>
      </c>
      <c r="H4" s="1151"/>
      <c r="I4" s="1151"/>
      <c r="J4" s="1151"/>
      <c r="K4" s="1151"/>
      <c r="L4" s="1152"/>
      <c r="M4" s="1153"/>
      <c r="N4" s="1153"/>
      <c r="O4" s="1153"/>
      <c r="P4" s="287"/>
      <c r="Q4" s="285"/>
      <c r="R4" s="286"/>
      <c r="S4" s="1245" t="e">
        <f>INDEX(PT_DIFFERENTIATION_NUM_CS,MATCH(C4,PT_DIFFERENTIATION_CS_ID,0))</f>
        <v>#N/A</v>
      </c>
      <c r="T4" s="243" t="s">
        <v>565</v>
      </c>
      <c r="U4" s="234"/>
      <c r="V4" s="2389"/>
      <c r="W4" s="2390"/>
      <c r="X4" s="2390"/>
      <c r="Y4" s="2390"/>
      <c r="Z4" s="2390"/>
      <c r="AA4" s="2390"/>
      <c r="AB4" s="2391"/>
      <c r="AC4" s="2389" t="e">
        <f>INDEX(PT_DIFFERENTIATION_CS,MATCH(C4,PT_DIFFERENTIATION_CS_ID,0))</f>
        <v>#N/A</v>
      </c>
      <c r="AD4" s="2390"/>
      <c r="AE4" s="2390"/>
      <c r="AF4" s="2390"/>
      <c r="AG4" s="2390"/>
      <c r="AH4" s="2390"/>
      <c r="AI4" s="2390"/>
      <c r="AJ4" s="2391"/>
      <c r="AK4" s="1046" t="s">
        <v>566</v>
      </c>
      <c r="AM4" s="433"/>
      <c r="AN4" s="433" t="str">
        <f t="shared" si="0"/>
        <v>Наименование централизованной системы холодного водоснабжения</v>
      </c>
      <c r="AO4" s="433"/>
      <c r="AP4" s="433"/>
      <c r="AQ4" s="956">
        <v>0</v>
      </c>
    </row>
    <row r="5" spans="1:43" ht="23.25" hidden="1" customHeight="1">
      <c r="A5" s="1151"/>
      <c r="B5" s="1151"/>
      <c r="C5" s="1151"/>
      <c r="D5" s="1151"/>
      <c r="E5" s="2396"/>
      <c r="F5" s="2396"/>
      <c r="G5" s="2396"/>
      <c r="H5" s="2396"/>
      <c r="I5" s="2397" t="e">
        <f>S4&amp;".1"</f>
        <v>#N/A</v>
      </c>
      <c r="J5" s="1151"/>
      <c r="K5" s="1151"/>
      <c r="L5" s="1152"/>
      <c r="P5" s="2399">
        <v>1</v>
      </c>
      <c r="Q5" s="1238"/>
      <c r="R5" s="289"/>
      <c r="S5" s="1245" t="e">
        <f>$I5</f>
        <v>#N/A</v>
      </c>
      <c r="T5" s="219" t="s">
        <v>567</v>
      </c>
      <c r="U5" s="234"/>
      <c r="V5" s="2463"/>
      <c r="W5" s="2464"/>
      <c r="X5" s="2464"/>
      <c r="Y5" s="2464"/>
      <c r="Z5" s="2464"/>
      <c r="AA5" s="2464"/>
      <c r="AB5" s="2465"/>
      <c r="AC5" s="2466"/>
      <c r="AD5" s="2467"/>
      <c r="AE5" s="2467"/>
      <c r="AF5" s="2467"/>
      <c r="AG5" s="2467"/>
      <c r="AH5" s="2467"/>
      <c r="AI5" s="2467"/>
      <c r="AJ5" s="2468"/>
      <c r="AK5" s="1046" t="s">
        <v>568</v>
      </c>
      <c r="AM5" s="433"/>
      <c r="AN5" s="433" t="str">
        <f t="shared" si="0"/>
        <v>Наименование признака дифференциации</v>
      </c>
      <c r="AO5" s="433"/>
      <c r="AP5" s="433"/>
      <c r="AQ5" s="956">
        <v>0</v>
      </c>
    </row>
    <row r="6" spans="1:43" ht="23.25" hidden="1" customHeight="1">
      <c r="A6" s="1151"/>
      <c r="B6" s="1151"/>
      <c r="C6" s="1151"/>
      <c r="D6" s="1151"/>
      <c r="E6" s="2396"/>
      <c r="F6" s="2396"/>
      <c r="G6" s="2396"/>
      <c r="H6" s="2396"/>
      <c r="I6" s="2398"/>
      <c r="J6" s="2397" t="e">
        <f>I5&amp;".1"</f>
        <v>#N/A</v>
      </c>
      <c r="K6" s="1151"/>
      <c r="L6" s="1152" t="s">
        <v>490</v>
      </c>
      <c r="P6" s="2399"/>
      <c r="Q6" s="2399">
        <v>1</v>
      </c>
      <c r="R6" s="290"/>
      <c r="S6" s="1245" t="e">
        <f>$J6</f>
        <v>#N/A</v>
      </c>
      <c r="T6" s="220" t="s">
        <v>491</v>
      </c>
      <c r="U6" s="234"/>
      <c r="V6" s="2383"/>
      <c r="W6" s="2384"/>
      <c r="X6" s="2384"/>
      <c r="Y6" s="2384"/>
      <c r="Z6" s="2384"/>
      <c r="AA6" s="2384"/>
      <c r="AB6" s="2385"/>
      <c r="AC6" s="2383"/>
      <c r="AD6" s="2384"/>
      <c r="AE6" s="2384"/>
      <c r="AF6" s="2384"/>
      <c r="AG6" s="2384"/>
      <c r="AH6" s="2384"/>
      <c r="AI6" s="2384"/>
      <c r="AJ6" s="2385"/>
      <c r="AK6" s="1095" t="s">
        <v>569</v>
      </c>
      <c r="AM6" s="433"/>
      <c r="AN6" s="433" t="str">
        <f t="shared" si="0"/>
        <v>Группа потребителей</v>
      </c>
      <c r="AO6" s="433"/>
      <c r="AP6" s="433"/>
      <c r="AQ6" s="956">
        <v>0</v>
      </c>
    </row>
    <row r="7" spans="1:43" ht="23.25" hidden="1" customHeight="1">
      <c r="A7" s="1151"/>
      <c r="B7" s="1151"/>
      <c r="C7" s="1151"/>
      <c r="D7" s="1151"/>
      <c r="E7" s="2396"/>
      <c r="F7" s="2396"/>
      <c r="G7" s="2396"/>
      <c r="H7" s="2396"/>
      <c r="I7" s="2398"/>
      <c r="J7" s="2398"/>
      <c r="K7" s="2397" t="e">
        <f>J6&amp;".1"</f>
        <v>#N/A</v>
      </c>
      <c r="L7" s="1152"/>
      <c r="P7" s="2399"/>
      <c r="Q7" s="2399"/>
      <c r="R7" s="290">
        <v>1</v>
      </c>
      <c r="S7" s="1245" t="e">
        <f>$K7</f>
        <v>#N/A</v>
      </c>
      <c r="T7" s="1225"/>
      <c r="U7" s="234"/>
      <c r="V7" s="658"/>
      <c r="W7" s="658"/>
      <c r="X7" s="1045"/>
      <c r="Y7" s="2400"/>
      <c r="Z7" s="2276" t="s">
        <v>52</v>
      </c>
      <c r="AA7" s="2400"/>
      <c r="AB7" s="2276" t="s">
        <v>52</v>
      </c>
      <c r="AC7" s="658"/>
      <c r="AD7" s="658"/>
      <c r="AE7" s="1045"/>
      <c r="AF7" s="2400"/>
      <c r="AG7" s="2276" t="s">
        <v>52</v>
      </c>
      <c r="AH7" s="2402"/>
      <c r="AI7" s="2276" t="s">
        <v>52</v>
      </c>
      <c r="AJ7" s="1226"/>
      <c r="AK7" s="24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956">
        <v>0</v>
      </c>
    </row>
    <row r="8" spans="1:43" ht="14.25" hidden="1" customHeight="1">
      <c r="A8" s="1151"/>
      <c r="B8" s="1151"/>
      <c r="C8" s="1151"/>
      <c r="D8" s="1151"/>
      <c r="E8" s="2396"/>
      <c r="F8" s="2396"/>
      <c r="G8" s="2396"/>
      <c r="H8" s="2396"/>
      <c r="I8" s="2398"/>
      <c r="J8" s="2398"/>
      <c r="K8" s="2397"/>
      <c r="L8" s="1152"/>
      <c r="P8" s="2399"/>
      <c r="Q8" s="2399"/>
      <c r="R8" s="290"/>
      <c r="S8" s="1244"/>
      <c r="T8" s="234"/>
      <c r="U8" s="234"/>
      <c r="V8" s="259"/>
      <c r="W8" s="259"/>
      <c r="X8" s="262" t="str">
        <f>Y7&amp;"-"&amp;AA7</f>
        <v>-</v>
      </c>
      <c r="Y8" s="2401"/>
      <c r="Z8" s="2276"/>
      <c r="AA8" s="2401"/>
      <c r="AB8" s="2276"/>
      <c r="AC8" s="259"/>
      <c r="AD8" s="259"/>
      <c r="AE8" s="262" t="str">
        <f>AF7&amp;"-"&amp;AH7</f>
        <v>-</v>
      </c>
      <c r="AF8" s="2401"/>
      <c r="AG8" s="2276"/>
      <c r="AH8" s="2403"/>
      <c r="AI8" s="2276"/>
      <c r="AJ8" s="1227"/>
      <c r="AK8" s="2469"/>
      <c r="AM8" s="433"/>
      <c r="AN8" s="433" t="str">
        <f t="shared" si="0"/>
        <v/>
      </c>
      <c r="AO8" s="433"/>
      <c r="AP8" s="433"/>
      <c r="AQ8" s="956">
        <v>0</v>
      </c>
    </row>
    <row r="9" spans="1:43" ht="21" hidden="1" customHeight="1">
      <c r="A9" s="1151"/>
      <c r="B9" s="1151"/>
      <c r="C9" s="1151"/>
      <c r="D9" s="1151"/>
      <c r="E9" s="2396"/>
      <c r="F9" s="2396"/>
      <c r="G9" s="2396"/>
      <c r="H9" s="2396"/>
      <c r="I9" s="2398"/>
      <c r="J9" s="2397"/>
      <c r="K9" s="1151"/>
      <c r="L9" s="1152"/>
      <c r="P9" s="2399"/>
      <c r="Q9" s="2399"/>
      <c r="R9" s="289"/>
      <c r="S9" s="1066"/>
      <c r="T9" s="221" t="s">
        <v>570</v>
      </c>
      <c r="U9" s="300"/>
      <c r="V9" s="300"/>
      <c r="W9" s="300"/>
      <c r="X9" s="300"/>
      <c r="Y9" s="300"/>
      <c r="Z9" s="300"/>
      <c r="AA9" s="300"/>
      <c r="AB9" s="300"/>
      <c r="AC9" s="300"/>
      <c r="AD9" s="300"/>
      <c r="AE9" s="300"/>
      <c r="AF9" s="300"/>
      <c r="AG9" s="300"/>
      <c r="AH9" s="300"/>
      <c r="AI9" s="300"/>
      <c r="AJ9" s="300"/>
      <c r="AK9" s="1046" t="s">
        <v>571</v>
      </c>
      <c r="AM9" s="433"/>
      <c r="AN9" s="433" t="str">
        <f t="shared" si="0"/>
        <v>Добавить значение признака дифференциации</v>
      </c>
      <c r="AO9" s="433"/>
      <c r="AP9" s="433"/>
      <c r="AQ9" s="956">
        <v>0</v>
      </c>
    </row>
    <row r="10" spans="1:43" ht="21" hidden="1" customHeight="1">
      <c r="A10" s="1151"/>
      <c r="B10" s="1151"/>
      <c r="C10" s="1151"/>
      <c r="D10" s="1151"/>
      <c r="E10" s="2396"/>
      <c r="F10" s="2396"/>
      <c r="G10" s="2396"/>
      <c r="H10" s="2396"/>
      <c r="I10" s="2397"/>
      <c r="J10" s="1151"/>
      <c r="K10" s="1151"/>
      <c r="L10" s="1152"/>
      <c r="P10" s="2399"/>
      <c r="Q10" s="1238"/>
      <c r="R10" s="289"/>
      <c r="S10" s="1066"/>
      <c r="T10" s="298" t="s">
        <v>496</v>
      </c>
      <c r="U10" s="300"/>
      <c r="V10" s="300"/>
      <c r="W10" s="300"/>
      <c r="X10" s="300"/>
      <c r="Y10" s="300"/>
      <c r="Z10" s="300"/>
      <c r="AA10" s="300"/>
      <c r="AB10" s="299"/>
      <c r="AC10" s="300"/>
      <c r="AD10" s="300"/>
      <c r="AE10" s="300"/>
      <c r="AF10" s="300"/>
      <c r="AG10" s="300"/>
      <c r="AH10" s="300"/>
      <c r="AI10" s="299"/>
      <c r="AJ10" s="300"/>
      <c r="AK10" s="1228"/>
      <c r="AM10" s="433"/>
      <c r="AN10" s="433" t="str">
        <f t="shared" si="0"/>
        <v>Добавить группу потребителей</v>
      </c>
      <c r="AO10" s="433"/>
      <c r="AP10" s="433"/>
      <c r="AQ10" s="956">
        <v>0</v>
      </c>
    </row>
    <row r="11" spans="1:43" ht="21" hidden="1" customHeight="1">
      <c r="A11" s="1151"/>
      <c r="B11" s="1151"/>
      <c r="C11" s="1151"/>
      <c r="D11" s="1151"/>
      <c r="E11" s="2396"/>
      <c r="F11" s="2396"/>
      <c r="G11" s="2396"/>
      <c r="H11" s="2395"/>
      <c r="I11" s="1151"/>
      <c r="J11" s="1151"/>
      <c r="K11" s="1151"/>
      <c r="L11" s="1152"/>
      <c r="M11" s="1153"/>
      <c r="N11" s="1153"/>
      <c r="O11" s="469"/>
      <c r="P11" s="293"/>
      <c r="Q11" s="308"/>
      <c r="R11" s="288"/>
      <c r="S11" s="1066"/>
      <c r="T11" s="305" t="s">
        <v>572</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956">
        <v>0</v>
      </c>
    </row>
    <row r="12" spans="1:43" s="1430" customFormat="1" ht="14.25" hidden="1" customHeight="1">
      <c r="A12" s="1131"/>
      <c r="B12" s="1131"/>
      <c r="C12" s="1102"/>
      <c r="D12" s="1102"/>
      <c r="E12" s="2396"/>
      <c r="F12" s="2395"/>
      <c r="G12" s="1102"/>
      <c r="H12" s="1102"/>
      <c r="I12" s="1102"/>
      <c r="J12" s="1102"/>
      <c r="K12" s="1102"/>
      <c r="L12" s="1246"/>
      <c r="M12" s="1109"/>
      <c r="N12" s="1109"/>
      <c r="P12" s="1104"/>
      <c r="Q12" s="1105"/>
      <c r="R12" s="1104"/>
      <c r="S12" s="1110"/>
      <c r="T12" s="1113" t="s">
        <v>499</v>
      </c>
      <c r="U12" s="1112"/>
      <c r="V12" s="1112"/>
      <c r="W12" s="1112"/>
      <c r="X12" s="1112"/>
      <c r="Y12" s="1112"/>
      <c r="Z12" s="1112"/>
      <c r="AA12" s="1112"/>
      <c r="AB12" s="1112"/>
      <c r="AC12" s="1112"/>
      <c r="AD12" s="1112"/>
      <c r="AE12" s="1112"/>
      <c r="AF12" s="1112"/>
      <c r="AG12" s="1112"/>
      <c r="AH12" s="1112"/>
      <c r="AI12" s="1112"/>
      <c r="AJ12" s="1112"/>
      <c r="AK12" s="1112"/>
      <c r="AM12" s="688"/>
      <c r="AN12" s="688" t="str">
        <f t="shared" si="0"/>
        <v>Добавить централизованную систему для дифференциации</v>
      </c>
      <c r="AO12" s="688"/>
      <c r="AP12" s="688"/>
      <c r="AQ12" s="451">
        <v>0</v>
      </c>
    </row>
    <row r="13" spans="1:43" s="1430" customFormat="1" ht="14.25" hidden="1" customHeight="1">
      <c r="A13" s="1131"/>
      <c r="B13" s="1131"/>
      <c r="C13" s="1131"/>
      <c r="D13" s="1131"/>
      <c r="E13" s="2395"/>
      <c r="F13" s="1131"/>
      <c r="G13" s="1131"/>
      <c r="H13" s="1131"/>
      <c r="I13" s="1131"/>
      <c r="J13" s="1131"/>
      <c r="K13" s="1131"/>
      <c r="L13" s="1134"/>
      <c r="M13" s="1109"/>
      <c r="N13" s="1109"/>
      <c r="O13" s="451"/>
      <c r="P13" s="313"/>
      <c r="Q13" s="1132"/>
      <c r="R13" s="313"/>
      <c r="S13" s="1110"/>
      <c r="T13" s="1113" t="s">
        <v>500</v>
      </c>
      <c r="U13" s="1112"/>
      <c r="V13" s="1112"/>
      <c r="W13" s="1112"/>
      <c r="X13" s="1112"/>
      <c r="Y13" s="1112"/>
      <c r="Z13" s="1112"/>
      <c r="AA13" s="1112"/>
      <c r="AB13" s="1112"/>
      <c r="AC13" s="1112"/>
      <c r="AD13" s="1112"/>
      <c r="AE13" s="1112"/>
      <c r="AF13" s="1112"/>
      <c r="AG13" s="1112"/>
      <c r="AH13" s="1112"/>
      <c r="AI13" s="1112"/>
      <c r="AJ13" s="1112"/>
      <c r="AK13" s="1112"/>
      <c r="AM13" s="433"/>
      <c r="AN13" s="433" t="str">
        <f t="shared" si="0"/>
        <v>Добавить территорию для дифференциации</v>
      </c>
      <c r="AO13" s="433"/>
      <c r="AP13" s="433"/>
      <c r="AQ13" s="444">
        <v>0</v>
      </c>
    </row>
    <row r="14" spans="1:43" ht="14.25" hidden="1" customHeight="1">
      <c r="AB14" s="261"/>
      <c r="AI14" s="261"/>
      <c r="AQ14" s="956">
        <v>0</v>
      </c>
    </row>
    <row r="15" spans="1:43" ht="14.25" hidden="1" customHeight="1">
      <c r="AC15" s="1148"/>
      <c r="AD15" s="1148"/>
      <c r="AE15" s="1149"/>
      <c r="AF15" s="2393"/>
      <c r="AG15" s="2392" t="s">
        <v>52</v>
      </c>
      <c r="AH15" s="2393"/>
      <c r="AI15" s="2392" t="s">
        <v>52</v>
      </c>
      <c r="AQ15" s="956">
        <v>0</v>
      </c>
    </row>
    <row r="16" spans="1:43" ht="14.25" hidden="1" customHeight="1">
      <c r="AC16" s="1148"/>
      <c r="AD16" s="1148"/>
      <c r="AE16" s="262" t="str">
        <f>AF15&amp;"-"&amp;AH15</f>
        <v>-</v>
      </c>
      <c r="AF16" s="2392"/>
      <c r="AG16" s="2392"/>
      <c r="AH16" s="2392"/>
      <c r="AI16" s="2392"/>
      <c r="AQ16" s="956">
        <v>0</v>
      </c>
    </row>
    <row r="17" spans="1:43" ht="14.25" hidden="1" customHeight="1">
      <c r="AI17" s="261"/>
      <c r="AQ17" s="956">
        <v>0</v>
      </c>
    </row>
    <row r="18" spans="1:43" s="1154" customFormat="1" ht="22.5" hidden="1" customHeight="1">
      <c r="L18" s="1235"/>
      <c r="M18" s="1150"/>
      <c r="N18" s="1150"/>
      <c r="O18" s="1155" t="s">
        <v>501</v>
      </c>
      <c r="P18" s="1150"/>
      <c r="Q18" s="1159"/>
      <c r="R18" s="1159"/>
      <c r="S18" s="640"/>
      <c r="Y18" s="1155"/>
      <c r="AA18" s="1155"/>
      <c r="AF18" s="1155"/>
      <c r="AH18" s="1155"/>
      <c r="AL18" s="444"/>
      <c r="AM18" s="444"/>
      <c r="AN18" s="444"/>
      <c r="AO18" s="444"/>
      <c r="AP18" s="444"/>
      <c r="AQ18" s="961">
        <v>0</v>
      </c>
    </row>
    <row r="19" spans="1:43" s="1154" customFormat="1" ht="14.25" hidden="1" customHeight="1">
      <c r="L19" s="1235"/>
      <c r="M19" s="1150"/>
      <c r="N19" s="1150"/>
      <c r="O19" s="1150"/>
      <c r="P19" s="1150"/>
      <c r="Q19" s="1159"/>
      <c r="R19" s="1159"/>
      <c r="S19" s="640"/>
      <c r="AL19" s="444"/>
      <c r="AM19" s="444"/>
      <c r="AN19" s="444"/>
      <c r="AO19" s="444"/>
      <c r="AP19" s="444"/>
      <c r="AQ19" s="961">
        <v>0</v>
      </c>
    </row>
    <row r="20" spans="1:43" s="1154" customFormat="1" ht="12" hidden="1" customHeight="1">
      <c r="L20" s="1235"/>
      <c r="M20" s="1150"/>
      <c r="N20" s="1150"/>
      <c r="O20" s="1152" t="s">
        <v>502</v>
      </c>
      <c r="P20" s="1150"/>
      <c r="Q20" s="1230"/>
      <c r="R20" s="1230"/>
      <c r="S20" s="640"/>
      <c r="T20" s="961" t="s">
        <v>503</v>
      </c>
      <c r="Z20" s="120" t="s">
        <v>504</v>
      </c>
      <c r="AB20" s="120" t="s">
        <v>505</v>
      </c>
      <c r="AC20" s="961" t="s">
        <v>503</v>
      </c>
      <c r="AG20" s="120" t="s">
        <v>506</v>
      </c>
      <c r="AI20" s="120" t="s">
        <v>505</v>
      </c>
      <c r="AQ20" s="961">
        <v>0</v>
      </c>
    </row>
    <row r="21" spans="1:43" ht="14.25" hidden="1" customHeight="1">
      <c r="O21" s="1152"/>
      <c r="AQ21" s="956">
        <v>0</v>
      </c>
    </row>
    <row r="22" spans="1:43" ht="14.25" hidden="1" customHeight="1">
      <c r="O22" s="1152"/>
      <c r="AQ22" s="956">
        <v>0</v>
      </c>
    </row>
    <row r="23" spans="1:43" ht="14.65" customHeight="1">
      <c r="Q23" s="309"/>
      <c r="R23" s="309"/>
      <c r="S23" s="1063"/>
      <c r="T23" s="296"/>
      <c r="U23" s="296"/>
      <c r="V23" s="442"/>
      <c r="W23" s="442"/>
      <c r="X23" s="442"/>
      <c r="Y23" s="442"/>
      <c r="Z23" s="442"/>
      <c r="AA23" s="442"/>
      <c r="AB23" s="442"/>
      <c r="AC23" s="442"/>
      <c r="AD23" s="442"/>
      <c r="AE23" s="442"/>
      <c r="AF23" s="442"/>
      <c r="AG23" s="442"/>
      <c r="AH23" s="442"/>
      <c r="AI23" s="442"/>
      <c r="AQ23" s="956">
        <v>14</v>
      </c>
    </row>
    <row r="24" spans="1:43" ht="14.65" customHeight="1">
      <c r="Q24" s="309"/>
      <c r="R24" s="309"/>
      <c r="S24" s="23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76"/>
      <c r="U24" s="2376"/>
      <c r="V24" s="2376"/>
      <c r="W24" s="2376"/>
      <c r="X24" s="2376"/>
      <c r="Y24" s="2376"/>
      <c r="Z24" s="2376"/>
      <c r="AA24" s="2376"/>
      <c r="AB24" s="2376"/>
      <c r="AC24" s="2376"/>
      <c r="AD24" s="2376"/>
      <c r="AE24" s="2376"/>
      <c r="AF24" s="2376"/>
      <c r="AG24" s="2376"/>
      <c r="AH24" s="2376"/>
      <c r="AI24" s="1031"/>
      <c r="AQ24" s="956">
        <v>14</v>
      </c>
    </row>
    <row r="25" spans="1:43" ht="14.65" customHeight="1">
      <c r="Q25" s="309"/>
      <c r="R25" s="309"/>
      <c r="S25" s="2349" t="str">
        <f>IF(org=0,"Не определено",org)</f>
        <v>ООО "Смоленскрегионтеплоэнерго"</v>
      </c>
      <c r="T25" s="2349"/>
      <c r="U25" s="2349"/>
      <c r="V25" s="2349"/>
      <c r="W25" s="2349"/>
      <c r="X25" s="2349"/>
      <c r="Y25" s="2349"/>
      <c r="Z25" s="2349"/>
      <c r="AA25" s="2349"/>
      <c r="AB25" s="2349"/>
      <c r="AC25" s="2349"/>
      <c r="AD25" s="2349"/>
      <c r="AE25" s="2349"/>
      <c r="AF25" s="2349"/>
      <c r="AG25" s="2349"/>
      <c r="AH25" s="2349"/>
      <c r="AI25" s="1031"/>
      <c r="AQ25" s="956">
        <v>14</v>
      </c>
    </row>
    <row r="26" spans="1:43" ht="14.25" hidden="1" customHeight="1">
      <c r="Q26" s="309"/>
      <c r="R26" s="309"/>
      <c r="S26" s="1063"/>
      <c r="T26" s="296"/>
      <c r="U26" s="296"/>
      <c r="V26" s="256"/>
      <c r="W26" s="256"/>
      <c r="X26" s="256"/>
      <c r="Y26" s="256"/>
      <c r="Z26" s="256"/>
      <c r="AA26" s="256"/>
      <c r="AB26" s="256"/>
      <c r="AC26" s="256"/>
      <c r="AD26" s="256"/>
      <c r="AE26" s="256"/>
      <c r="AF26" s="256"/>
      <c r="AG26" s="256"/>
      <c r="AH26" s="256"/>
      <c r="AI26" s="256"/>
      <c r="AJ26" s="442"/>
      <c r="AQ26" s="956">
        <v>0</v>
      </c>
    </row>
    <row r="27" spans="1:43" s="1609" customFormat="1" ht="25.5" hidden="1" customHeight="1">
      <c r="A27" s="1156"/>
      <c r="B27" s="1156"/>
      <c r="C27" s="1156"/>
      <c r="D27" s="1156"/>
      <c r="E27" s="1156"/>
      <c r="F27" s="1156"/>
      <c r="G27" s="1156"/>
      <c r="H27" s="1156"/>
      <c r="I27" s="1156"/>
      <c r="J27" s="1156"/>
      <c r="K27" s="1156"/>
      <c r="L27" s="1157"/>
      <c r="M27" s="1156"/>
      <c r="N27" s="1156"/>
      <c r="O27" s="1156"/>
      <c r="S27" s="2386" t="s">
        <v>28</v>
      </c>
      <c r="T27" s="2386"/>
      <c r="U27" s="1160"/>
      <c r="V27" s="2388" t="str">
        <f>IF(TITLE_NAME_OR_PR_CHANGE="",IF(TITLE_NAME_OR_PR="","",TITLE_NAME_OR_PR),TITLE_NAME_OR_PR_CHANGE)</f>
        <v/>
      </c>
      <c r="W27" s="2388"/>
      <c r="X27" s="2388"/>
      <c r="Y27" s="2388"/>
      <c r="Z27" s="2388"/>
      <c r="AA27" s="2388"/>
      <c r="AB27" s="260"/>
      <c r="AC27" s="2388" t="str">
        <f>IF(TITLE_NAME_OR_PR_CHANGE="",IF(TITLE_NAME_OR_PR="","",TITLE_NAME_OR_PR),TITLE_NAME_OR_PR_CHANGE)</f>
        <v/>
      </c>
      <c r="AD27" s="2388"/>
      <c r="AE27" s="2388"/>
      <c r="AF27" s="2388"/>
      <c r="AG27" s="2388"/>
      <c r="AH27" s="2388"/>
      <c r="AI27" s="260"/>
      <c r="AJ27" s="260"/>
      <c r="AK27" s="214"/>
      <c r="AL27" s="301"/>
      <c r="AM27" s="301"/>
      <c r="AN27" s="301"/>
      <c r="AO27" s="301"/>
      <c r="AP27" s="301"/>
      <c r="AQ27" s="351">
        <v>0</v>
      </c>
    </row>
    <row r="28" spans="1:43" s="1609" customFormat="1" ht="18.75" hidden="1" customHeight="1">
      <c r="A28" s="1156"/>
      <c r="B28" s="1156"/>
      <c r="C28" s="1156"/>
      <c r="D28" s="1156"/>
      <c r="E28" s="1156"/>
      <c r="F28" s="1156"/>
      <c r="G28" s="1156"/>
      <c r="H28" s="1156"/>
      <c r="I28" s="1156"/>
      <c r="J28" s="1156"/>
      <c r="K28" s="1156"/>
      <c r="L28" s="1157"/>
      <c r="M28" s="1156"/>
      <c r="N28" s="1156"/>
      <c r="O28" s="1156"/>
      <c r="S28" s="2386" t="s">
        <v>507</v>
      </c>
      <c r="T28" s="2386"/>
      <c r="U28" s="1160"/>
      <c r="V28" s="2387" t="str">
        <f>IF(TITLE_DATE_PR_CHANGE="",IF(TITLE_DATE_PR="","",TITLE_DATE_PR),TITLE_DATE_PR_CHANGE)</f>
        <v/>
      </c>
      <c r="W28" s="2387"/>
      <c r="X28" s="2387"/>
      <c r="Y28" s="2387"/>
      <c r="Z28" s="2387"/>
      <c r="AA28" s="2387"/>
      <c r="AB28" s="260"/>
      <c r="AC28" s="2387" t="str">
        <f>IF(TITLE_DATE_PR_CHANGE="",IF(TITLE_DATE_PR="","",TITLE_DATE_PR),TITLE_DATE_PR_CHANGE)</f>
        <v/>
      </c>
      <c r="AD28" s="2387"/>
      <c r="AE28" s="2387"/>
      <c r="AF28" s="2387"/>
      <c r="AG28" s="2387"/>
      <c r="AH28" s="2387"/>
      <c r="AI28" s="260"/>
      <c r="AJ28" s="260"/>
      <c r="AK28" s="214"/>
      <c r="AL28" s="301"/>
      <c r="AM28" s="301"/>
      <c r="AN28" s="301"/>
      <c r="AO28" s="301"/>
      <c r="AP28" s="301"/>
      <c r="AQ28" s="351">
        <v>0</v>
      </c>
    </row>
    <row r="29" spans="1:43" s="1609" customFormat="1" ht="18.75" hidden="1" customHeight="1">
      <c r="A29" s="1156"/>
      <c r="B29" s="1156"/>
      <c r="C29" s="1156"/>
      <c r="D29" s="1156"/>
      <c r="E29" s="1156"/>
      <c r="F29" s="1156"/>
      <c r="G29" s="1156"/>
      <c r="H29" s="1156"/>
      <c r="I29" s="1156"/>
      <c r="J29" s="1156"/>
      <c r="K29" s="1156"/>
      <c r="L29" s="1157"/>
      <c r="M29" s="1156"/>
      <c r="N29" s="1156"/>
      <c r="O29" s="1156"/>
      <c r="S29" s="2386" t="s">
        <v>508</v>
      </c>
      <c r="T29" s="2386"/>
      <c r="U29" s="1160"/>
      <c r="V29" s="2388" t="str">
        <f>IF(TITLE_NUMBER_PR_CHANGE="",IF(TITLE_NUMBER_PR="","",TITLE_NUMBER_PR),TITLE_NUMBER_PR_CHANGE)</f>
        <v/>
      </c>
      <c r="W29" s="2388"/>
      <c r="X29" s="2388"/>
      <c r="Y29" s="2388"/>
      <c r="Z29" s="2388"/>
      <c r="AA29" s="2388"/>
      <c r="AB29" s="260"/>
      <c r="AC29" s="2388" t="str">
        <f>IF(TITLE_NUMBER_PR_CHANGE="",IF(TITLE_NUMBER_PR="","",TITLE_NUMBER_PR),TITLE_NUMBER_PR_CHANGE)</f>
        <v/>
      </c>
      <c r="AD29" s="2388"/>
      <c r="AE29" s="2388"/>
      <c r="AF29" s="2388"/>
      <c r="AG29" s="2388"/>
      <c r="AH29" s="2388"/>
      <c r="AI29" s="260"/>
      <c r="AJ29" s="260"/>
      <c r="AK29" s="214"/>
      <c r="AL29" s="301"/>
      <c r="AM29" s="301"/>
      <c r="AN29" s="301"/>
      <c r="AO29" s="301"/>
      <c r="AP29" s="301"/>
      <c r="AQ29" s="351">
        <v>0</v>
      </c>
    </row>
    <row r="30" spans="1:43" s="1609" customFormat="1" ht="18.75" hidden="1" customHeight="1">
      <c r="A30" s="1156"/>
      <c r="B30" s="1156"/>
      <c r="C30" s="1156"/>
      <c r="D30" s="1156"/>
      <c r="E30" s="1156"/>
      <c r="F30" s="1156"/>
      <c r="G30" s="1156"/>
      <c r="H30" s="1156"/>
      <c r="I30" s="1156"/>
      <c r="J30" s="1156"/>
      <c r="K30" s="1156"/>
      <c r="L30" s="1157"/>
      <c r="M30" s="1156"/>
      <c r="N30" s="1156"/>
      <c r="O30" s="1156"/>
      <c r="S30" s="2386" t="s">
        <v>29</v>
      </c>
      <c r="T30" s="2386"/>
      <c r="U30" s="1160"/>
      <c r="V30" s="2388" t="str">
        <f>IF(TITLE_IST_PUB_CHANGE="",IF(TITLE_IST_PUB="","",TITLE_IST_PUB),TITLE_IST_PUB_CHANGE)</f>
        <v/>
      </c>
      <c r="W30" s="2388"/>
      <c r="X30" s="2388"/>
      <c r="Y30" s="2388"/>
      <c r="Z30" s="2388"/>
      <c r="AA30" s="2388"/>
      <c r="AB30" s="260"/>
      <c r="AC30" s="2388" t="str">
        <f>IF(TITLE_IST_PUB_CHANGE="",IF(TITLE_IST_PUB="","",TITLE_IST_PUB),TITLE_IST_PUB_CHANGE)</f>
        <v/>
      </c>
      <c r="AD30" s="2388"/>
      <c r="AE30" s="2388"/>
      <c r="AF30" s="2388"/>
      <c r="AG30" s="2388"/>
      <c r="AH30" s="2388"/>
      <c r="AI30" s="260"/>
      <c r="AJ30" s="260"/>
      <c r="AK30" s="214"/>
      <c r="AL30" s="301"/>
      <c r="AM30" s="301"/>
      <c r="AN30" s="301"/>
      <c r="AO30" s="301"/>
      <c r="AP30" s="301"/>
      <c r="AQ30" s="351">
        <v>0</v>
      </c>
    </row>
    <row r="31" spans="1:43" ht="14.25" hidden="1" customHeight="1">
      <c r="Q31" s="309"/>
      <c r="R31" s="309"/>
      <c r="S31" s="1063"/>
      <c r="T31" s="296"/>
      <c r="U31" s="296"/>
      <c r="V31" s="256"/>
      <c r="W31" s="256"/>
      <c r="X31" s="256"/>
      <c r="Y31" s="256"/>
      <c r="Z31" s="256"/>
      <c r="AA31" s="256"/>
      <c r="AB31" s="256"/>
      <c r="AC31" s="256"/>
      <c r="AD31" s="256"/>
      <c r="AE31" s="256"/>
      <c r="AF31" s="256"/>
      <c r="AG31" s="256"/>
      <c r="AH31" s="256"/>
      <c r="AI31" s="256"/>
      <c r="AJ31" s="442"/>
      <c r="AQ31" s="956">
        <v>0</v>
      </c>
    </row>
    <row r="32" spans="1:43" s="1609" customFormat="1" ht="18.75" hidden="1" customHeight="1">
      <c r="A32" s="1156"/>
      <c r="B32" s="1156"/>
      <c r="C32" s="1156"/>
      <c r="D32" s="1156"/>
      <c r="E32" s="1156"/>
      <c r="F32" s="1156"/>
      <c r="G32" s="1156"/>
      <c r="H32" s="1156"/>
      <c r="I32" s="1156"/>
      <c r="J32" s="1156"/>
      <c r="K32" s="1156"/>
      <c r="L32" s="1157"/>
      <c r="M32" s="1156"/>
      <c r="N32" s="1156"/>
      <c r="O32" s="1156"/>
      <c r="S32" s="2386" t="s">
        <v>509</v>
      </c>
      <c r="T32" s="2386"/>
      <c r="U32" s="1160"/>
      <c r="V32" s="2387" t="str">
        <f>IF(TITLE_DATE_PR_CHANGE="",IF(TITLE_DATE_PR="","",TITLE_DATE_PR),TITLE_DATE_PR_CHANGE)</f>
        <v/>
      </c>
      <c r="W32" s="2387"/>
      <c r="X32" s="2387"/>
      <c r="Y32" s="2387"/>
      <c r="Z32" s="2387"/>
      <c r="AA32" s="2387"/>
      <c r="AB32" s="260"/>
      <c r="AC32" s="2387" t="str">
        <f>IF(TITLE_DATE_PR_CHANGE="",IF(TITLE_DATE_PR="","",TITLE_DATE_PR),TITLE_DATE_PR_CHANGE)</f>
        <v/>
      </c>
      <c r="AD32" s="2387"/>
      <c r="AE32" s="2387"/>
      <c r="AF32" s="2387"/>
      <c r="AG32" s="2387"/>
      <c r="AH32" s="2387"/>
      <c r="AI32" s="260"/>
      <c r="AJ32" s="260"/>
      <c r="AK32" s="214"/>
      <c r="AL32" s="301"/>
      <c r="AM32" s="301"/>
      <c r="AN32" s="301"/>
      <c r="AO32" s="301"/>
      <c r="AP32" s="301"/>
      <c r="AQ32" s="351">
        <v>0</v>
      </c>
    </row>
    <row r="33" spans="1:43" s="1609" customFormat="1" ht="18.75" hidden="1" customHeight="1">
      <c r="A33" s="1156"/>
      <c r="B33" s="1156"/>
      <c r="C33" s="1156"/>
      <c r="D33" s="1156"/>
      <c r="E33" s="1156"/>
      <c r="F33" s="1156"/>
      <c r="G33" s="1156"/>
      <c r="H33" s="1156"/>
      <c r="I33" s="1156"/>
      <c r="J33" s="1156"/>
      <c r="K33" s="1156"/>
      <c r="L33" s="1157"/>
      <c r="M33" s="1156"/>
      <c r="N33" s="1156"/>
      <c r="O33" s="1156"/>
      <c r="S33" s="2386" t="s">
        <v>510</v>
      </c>
      <c r="T33" s="2386"/>
      <c r="U33" s="1160"/>
      <c r="V33" s="2388" t="str">
        <f>IF(TITLE_NUMBER_PR_CHANGE="",IF(TITLE_NUMBER_PR="","",TITLE_NUMBER_PR),TITLE_NUMBER_PR_CHANGE)</f>
        <v/>
      </c>
      <c r="W33" s="2388"/>
      <c r="X33" s="2388"/>
      <c r="Y33" s="2388"/>
      <c r="Z33" s="2388"/>
      <c r="AA33" s="2388"/>
      <c r="AB33" s="260"/>
      <c r="AC33" s="2388" t="str">
        <f>IF(TITLE_NUMBER_PR_CHANGE="",IF(TITLE_NUMBER_PR="","",TITLE_NUMBER_PR),TITLE_NUMBER_PR_CHANGE)</f>
        <v/>
      </c>
      <c r="AD33" s="2388"/>
      <c r="AE33" s="2388"/>
      <c r="AF33" s="2388"/>
      <c r="AG33" s="2388"/>
      <c r="AH33" s="2388"/>
      <c r="AI33" s="260"/>
      <c r="AJ33" s="260"/>
      <c r="AK33" s="214"/>
      <c r="AL33" s="301"/>
      <c r="AM33" s="301"/>
      <c r="AN33" s="301"/>
      <c r="AO33" s="301"/>
      <c r="AP33" s="301"/>
      <c r="AQ33" s="351">
        <v>0</v>
      </c>
    </row>
    <row r="34" spans="1:43" s="1609" customFormat="1" ht="1.1499999999999999" customHeight="1">
      <c r="A34" s="1156"/>
      <c r="B34" s="1156"/>
      <c r="C34" s="1156"/>
      <c r="D34" s="1156"/>
      <c r="E34" s="1156"/>
      <c r="F34" s="1156"/>
      <c r="G34" s="1156"/>
      <c r="H34" s="1156"/>
      <c r="I34" s="1156"/>
      <c r="J34" s="1156"/>
      <c r="K34" s="1156"/>
      <c r="L34" s="1157"/>
      <c r="M34" s="1156"/>
      <c r="N34" s="1156"/>
      <c r="O34" s="1156"/>
      <c r="S34" s="257"/>
      <c r="T34" s="257"/>
      <c r="U34" s="1242"/>
      <c r="V34" s="260"/>
      <c r="W34" s="260"/>
      <c r="X34" s="260"/>
      <c r="Y34" s="260"/>
      <c r="Z34" s="260"/>
      <c r="AA34" s="260"/>
      <c r="AB34" s="212" t="s">
        <v>511</v>
      </c>
      <c r="AC34" s="260"/>
      <c r="AD34" s="260"/>
      <c r="AE34" s="260"/>
      <c r="AF34" s="260"/>
      <c r="AG34" s="260"/>
      <c r="AH34" s="260"/>
      <c r="AI34" s="212" t="s">
        <v>511</v>
      </c>
      <c r="AL34" s="301"/>
      <c r="AM34" s="301"/>
      <c r="AN34" s="301"/>
      <c r="AO34" s="301"/>
      <c r="AP34" s="301"/>
      <c r="AQ34" s="351">
        <v>1</v>
      </c>
    </row>
    <row r="35" spans="1:43" ht="14.65" customHeight="1">
      <c r="Q35" s="309"/>
      <c r="R35" s="309"/>
      <c r="S35" s="1063"/>
      <c r="T35" s="296"/>
      <c r="U35" s="1032"/>
      <c r="V35" s="2407"/>
      <c r="W35" s="2407"/>
      <c r="X35" s="2407"/>
      <c r="Y35" s="2407"/>
      <c r="Z35" s="2407"/>
      <c r="AA35" s="2407"/>
      <c r="AB35" s="2407"/>
      <c r="AC35" s="2407"/>
      <c r="AD35" s="2407"/>
      <c r="AE35" s="2407"/>
      <c r="AF35" s="2407"/>
      <c r="AG35" s="2407"/>
      <c r="AH35" s="2407"/>
      <c r="AI35" s="2407"/>
      <c r="AQ35" s="956">
        <v>14</v>
      </c>
    </row>
    <row r="36" spans="1:43" ht="14.65" customHeight="1">
      <c r="Q36" s="309"/>
      <c r="R36" s="309"/>
      <c r="S36" s="2266" t="s">
        <v>384</v>
      </c>
      <c r="T36" s="2266"/>
      <c r="U36" s="2266"/>
      <c r="V36" s="2266"/>
      <c r="W36" s="2266"/>
      <c r="X36" s="2266"/>
      <c r="Y36" s="2266"/>
      <c r="Z36" s="2266"/>
      <c r="AA36" s="2266"/>
      <c r="AB36" s="2266"/>
      <c r="AC36" s="2266"/>
      <c r="AD36" s="2266"/>
      <c r="AE36" s="2266"/>
      <c r="AF36" s="2266"/>
      <c r="AG36" s="2266"/>
      <c r="AH36" s="2266"/>
      <c r="AI36" s="2266"/>
      <c r="AJ36" s="2266"/>
      <c r="AK36" s="2266" t="s">
        <v>385</v>
      </c>
      <c r="AQ36" s="956">
        <v>14</v>
      </c>
    </row>
    <row r="37" spans="1:43" ht="14.65" customHeight="1">
      <c r="Q37" s="309"/>
      <c r="R37" s="309"/>
      <c r="S37" s="2408" t="s">
        <v>75</v>
      </c>
      <c r="T37" s="2357" t="s">
        <v>512</v>
      </c>
      <c r="U37" s="235"/>
      <c r="V37" s="2409" t="s">
        <v>513</v>
      </c>
      <c r="W37" s="2410"/>
      <c r="X37" s="2410"/>
      <c r="Y37" s="2410"/>
      <c r="Z37" s="2410"/>
      <c r="AA37" s="2411"/>
      <c r="AB37" s="2412" t="s">
        <v>514</v>
      </c>
      <c r="AC37" s="2409" t="s">
        <v>513</v>
      </c>
      <c r="AD37" s="2410"/>
      <c r="AE37" s="2410"/>
      <c r="AF37" s="2410"/>
      <c r="AG37" s="2410"/>
      <c r="AH37" s="2411"/>
      <c r="AI37" s="2412" t="s">
        <v>515</v>
      </c>
      <c r="AJ37" s="2415" t="s">
        <v>516</v>
      </c>
      <c r="AK37" s="2266"/>
      <c r="AQ37" s="956">
        <v>14</v>
      </c>
    </row>
    <row r="38" spans="1:43" ht="35.65" customHeight="1">
      <c r="Q38" s="309"/>
      <c r="R38" s="309"/>
      <c r="S38" s="2408"/>
      <c r="T38" s="2357"/>
      <c r="U38" s="874"/>
      <c r="V38" s="1240" t="s">
        <v>573</v>
      </c>
      <c r="W38" s="2247" t="s">
        <v>519</v>
      </c>
      <c r="X38" s="2246"/>
      <c r="Y38" s="2247" t="s">
        <v>520</v>
      </c>
      <c r="Z38" s="2252"/>
      <c r="AA38" s="2246"/>
      <c r="AB38" s="2413"/>
      <c r="AC38" s="1240" t="s">
        <v>573</v>
      </c>
      <c r="AD38" s="2247" t="s">
        <v>519</v>
      </c>
      <c r="AE38" s="2246"/>
      <c r="AF38" s="2247" t="s">
        <v>520</v>
      </c>
      <c r="AG38" s="2252"/>
      <c r="AH38" s="2246"/>
      <c r="AI38" s="2413"/>
      <c r="AJ38" s="2416"/>
      <c r="AK38" s="2266"/>
      <c r="AQ38" s="956">
        <v>34</v>
      </c>
    </row>
    <row r="39" spans="1:43" ht="35.65" customHeight="1">
      <c r="A39" s="1158"/>
      <c r="B39" s="1158" t="s">
        <v>226</v>
      </c>
      <c r="C39" s="1158" t="s">
        <v>227</v>
      </c>
      <c r="D39" s="1158" t="s">
        <v>228</v>
      </c>
      <c r="E39" s="1152" t="s">
        <v>521</v>
      </c>
      <c r="F39" s="1152" t="s">
        <v>522</v>
      </c>
      <c r="G39" s="1152" t="s">
        <v>523</v>
      </c>
      <c r="H39" s="1152"/>
      <c r="I39" s="1152" t="s">
        <v>574</v>
      </c>
      <c r="J39" s="1152" t="s">
        <v>526</v>
      </c>
      <c r="K39" s="1152" t="s">
        <v>575</v>
      </c>
      <c r="L39" s="1152" t="s">
        <v>502</v>
      </c>
      <c r="Q39" s="309"/>
      <c r="R39" s="309"/>
      <c r="S39" s="2408"/>
      <c r="T39" s="2357"/>
      <c r="U39" s="236"/>
      <c r="V39" s="1240" t="s">
        <v>576</v>
      </c>
      <c r="W39" s="1010" t="s">
        <v>577</v>
      </c>
      <c r="X39" s="1010" t="s">
        <v>578</v>
      </c>
      <c r="Y39" s="1243" t="s">
        <v>530</v>
      </c>
      <c r="Z39" s="2362" t="s">
        <v>531</v>
      </c>
      <c r="AA39" s="2375"/>
      <c r="AB39" s="2414"/>
      <c r="AC39" s="1240" t="s">
        <v>576</v>
      </c>
      <c r="AD39" s="1010" t="s">
        <v>577</v>
      </c>
      <c r="AE39" s="1010" t="s">
        <v>578</v>
      </c>
      <c r="AF39" s="1243" t="s">
        <v>530</v>
      </c>
      <c r="AG39" s="2362" t="s">
        <v>531</v>
      </c>
      <c r="AH39" s="2375"/>
      <c r="AI39" s="2414"/>
      <c r="AJ39" s="2417"/>
      <c r="AK39" s="2266"/>
      <c r="AQ39" s="956">
        <v>34</v>
      </c>
    </row>
    <row r="40" spans="1:43" s="1429" customFormat="1" ht="0" hidden="1" customHeight="1">
      <c r="A40" s="1158"/>
      <c r="B40" s="1158"/>
      <c r="C40" s="1158"/>
      <c r="D40" s="1158"/>
      <c r="E40" s="1158"/>
      <c r="F40" s="1158"/>
      <c r="G40" s="1158"/>
      <c r="H40" s="1158"/>
      <c r="I40" s="1158"/>
      <c r="J40" s="1158"/>
      <c r="K40" s="1158"/>
      <c r="L40" s="1152"/>
      <c r="M40" s="1150"/>
      <c r="N40" s="1150"/>
      <c r="O40" s="1150"/>
      <c r="P40" s="1034"/>
      <c r="Q40" s="1035"/>
      <c r="R40" s="1042">
        <v>1</v>
      </c>
      <c r="S40" s="1065" t="s">
        <v>161</v>
      </c>
      <c r="T40" s="1043" t="s">
        <v>89</v>
      </c>
      <c r="U40" s="1033" t="str">
        <f ca="1">OFFSET(U40,0,-1)</f>
        <v>2</v>
      </c>
      <c r="V40" s="1239">
        <f ca="1">OFFSET(V40,0,-1)+1</f>
        <v>3</v>
      </c>
      <c r="W40" s="1239">
        <f ca="1">OFFSET(W40,0,-1)+1</f>
        <v>4</v>
      </c>
      <c r="X40" s="1239">
        <f ca="1">OFFSET(X40,0,-1)+1</f>
        <v>5</v>
      </c>
      <c r="Y40" s="1239">
        <f ca="1">OFFSET(Y40,0,-1)+1</f>
        <v>6</v>
      </c>
      <c r="Z40" s="2406">
        <f ca="1">OFFSET(Z40,0,-1)+1</f>
        <v>7</v>
      </c>
      <c r="AA40" s="2406"/>
      <c r="AB40" s="1239">
        <f ca="1">OFFSET(AB40,0,-2)+1</f>
        <v>8</v>
      </c>
      <c r="AC40" s="1239">
        <f ca="1">OFFSET(AC40,0,-1)+1</f>
        <v>9</v>
      </c>
      <c r="AD40" s="1239">
        <f ca="1">OFFSET(AD40,0,-1)+1</f>
        <v>10</v>
      </c>
      <c r="AE40" s="1239">
        <f ca="1">OFFSET(AE40,0,-1)+1</f>
        <v>11</v>
      </c>
      <c r="AF40" s="1239">
        <f ca="1">OFFSET(AF40,0,-1)+1</f>
        <v>12</v>
      </c>
      <c r="AG40" s="2406">
        <f ca="1">OFFSET(AG40,0,-1)+1</f>
        <v>13</v>
      </c>
      <c r="AH40" s="2406"/>
      <c r="AI40" s="1239">
        <f ca="1">OFFSET(AI40,0,-2)+1</f>
        <v>14</v>
      </c>
      <c r="AJ40" s="1033">
        <f ca="1">OFFSET(AJ40,0,-1)</f>
        <v>14</v>
      </c>
      <c r="AK40" s="1239">
        <f ca="1">OFFSET(AK40,0,-1)+1</f>
        <v>15</v>
      </c>
      <c r="AL40" s="444"/>
      <c r="AM40" s="444"/>
      <c r="AN40" s="444"/>
      <c r="AO40" s="444"/>
      <c r="AP40" s="444"/>
      <c r="AQ40" s="429">
        <v>0</v>
      </c>
    </row>
    <row r="41" spans="1:43" ht="24" customHeight="1">
      <c r="A41" s="1151" t="s">
        <v>320</v>
      </c>
      <c r="B41" s="1151"/>
      <c r="C41" s="1151"/>
      <c r="D41" s="1151"/>
      <c r="E41" s="2395">
        <v>1</v>
      </c>
      <c r="F41" s="1151"/>
      <c r="G41" s="1151"/>
      <c r="H41" s="1151"/>
      <c r="I41" s="1151"/>
      <c r="J41" s="1151"/>
      <c r="K41" s="1151"/>
      <c r="L41" s="1152"/>
      <c r="M41" s="1153"/>
      <c r="N41" s="1153"/>
      <c r="O41" s="1153"/>
      <c r="P41" s="294"/>
      <c r="Q41" s="293"/>
      <c r="R41" s="288"/>
      <c r="S41" s="1245">
        <f>INDEX(PT_DIFFERENTIATION_NUM_NTAR,MATCH(A41,PT_DIFFERENTIATION_NTAR_ID,0))</f>
        <v>0</v>
      </c>
      <c r="T41" s="232" t="s">
        <v>214</v>
      </c>
      <c r="U41" s="234"/>
      <c r="V41" s="2389"/>
      <c r="W41" s="2390"/>
      <c r="X41" s="2390"/>
      <c r="Y41" s="2390"/>
      <c r="Z41" s="2390"/>
      <c r="AA41" s="2390"/>
      <c r="AB41" s="2391"/>
      <c r="AC41" s="2389" t="str">
        <f>INDEX(PT_DIFFERENTIATION_NTAR,MATCH(A41,PT_DIFFERENTIATION_NTAR_ID,0))</f>
        <v/>
      </c>
      <c r="AD41" s="2390"/>
      <c r="AE41" s="2390"/>
      <c r="AF41" s="2390"/>
      <c r="AG41" s="2390"/>
      <c r="AH41" s="2390"/>
      <c r="AI41" s="2390"/>
      <c r="AJ41" s="2391"/>
      <c r="AK41" s="104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956">
        <v>23</v>
      </c>
    </row>
    <row r="42" spans="1:43" ht="24" customHeight="1">
      <c r="A42" s="1151" t="s">
        <v>320</v>
      </c>
      <c r="B42" s="1151" t="s">
        <v>321</v>
      </c>
      <c r="C42" s="1151"/>
      <c r="D42" s="1151"/>
      <c r="E42" s="2396"/>
      <c r="F42" s="2395">
        <v>1</v>
      </c>
      <c r="G42" s="1151"/>
      <c r="H42" s="1151"/>
      <c r="I42" s="1151"/>
      <c r="J42" s="1151"/>
      <c r="K42" s="1151"/>
      <c r="L42" s="1152"/>
      <c r="M42" s="1153"/>
      <c r="N42" s="1153"/>
      <c r="O42" s="1153"/>
      <c r="P42" s="1241"/>
      <c r="Q42" s="285"/>
      <c r="R42" s="286"/>
      <c r="S42" s="1245" t="str">
        <f>INDEX(PT_DIFFERENTIATION_NUM_TER,MATCH(B42,PT_DIFFERENTIATION_TER_ID,0))</f>
        <v>.</v>
      </c>
      <c r="T42" s="242" t="s">
        <v>481</v>
      </c>
      <c r="U42" s="234"/>
      <c r="V42" s="2389"/>
      <c r="W42" s="2390"/>
      <c r="X42" s="2390"/>
      <c r="Y42" s="2390"/>
      <c r="Z42" s="2390"/>
      <c r="AA42" s="2390"/>
      <c r="AB42" s="2391"/>
      <c r="AC42" s="2389" t="str">
        <f>INDEX(PT_DIFFERENTIATION_TER,MATCH(B42,PT_DIFFERENTIATION_TER_ID,0))</f>
        <v/>
      </c>
      <c r="AD42" s="2390"/>
      <c r="AE42" s="2390"/>
      <c r="AF42" s="2390"/>
      <c r="AG42" s="2390"/>
      <c r="AH42" s="2390"/>
      <c r="AI42" s="2390"/>
      <c r="AJ42" s="2391"/>
      <c r="AK42" s="1046" t="s">
        <v>482</v>
      </c>
      <c r="AM42" s="433"/>
      <c r="AN42" s="433" t="str">
        <f t="shared" si="1"/>
        <v>Территория действия тарифа</v>
      </c>
      <c r="AO42" s="433"/>
      <c r="AP42" s="433"/>
      <c r="AQ42" s="956">
        <v>23</v>
      </c>
    </row>
    <row r="43" spans="1:43" ht="24" customHeight="1">
      <c r="A43" s="1151" t="s">
        <v>320</v>
      </c>
      <c r="B43" s="1151" t="s">
        <v>321</v>
      </c>
      <c r="C43" s="1151" t="s">
        <v>322</v>
      </c>
      <c r="D43" s="1151"/>
      <c r="E43" s="2396"/>
      <c r="F43" s="2396"/>
      <c r="G43" s="2395">
        <v>1</v>
      </c>
      <c r="H43" s="1151"/>
      <c r="I43" s="1151"/>
      <c r="J43" s="1151"/>
      <c r="K43" s="1151"/>
      <c r="L43" s="1152"/>
      <c r="M43" s="1153"/>
      <c r="N43" s="1153"/>
      <c r="O43" s="1153"/>
      <c r="P43" s="287"/>
      <c r="Q43" s="285"/>
      <c r="R43" s="286"/>
      <c r="S43" s="1245" t="str">
        <f>INDEX(PT_DIFFERENTIATION_NUM_CS,MATCH(C43,PT_DIFFERENTIATION_CS_ID,0))</f>
        <v>..</v>
      </c>
      <c r="T43" s="243" t="s">
        <v>565</v>
      </c>
      <c r="U43" s="234"/>
      <c r="V43" s="2389"/>
      <c r="W43" s="2390"/>
      <c r="X43" s="2390"/>
      <c r="Y43" s="2390"/>
      <c r="Z43" s="2390"/>
      <c r="AA43" s="2390"/>
      <c r="AB43" s="2391"/>
      <c r="AC43" s="2389" t="str">
        <f>INDEX(PT_DIFFERENTIATION_CS,MATCH(C43,PT_DIFFERENTIATION_CS_ID,0))</f>
        <v/>
      </c>
      <c r="AD43" s="2390"/>
      <c r="AE43" s="2390"/>
      <c r="AF43" s="2390"/>
      <c r="AG43" s="2390"/>
      <c r="AH43" s="2390"/>
      <c r="AI43" s="2390"/>
      <c r="AJ43" s="2391"/>
      <c r="AK43" s="1046" t="s">
        <v>566</v>
      </c>
      <c r="AM43" s="433"/>
      <c r="AN43" s="433" t="str">
        <f t="shared" si="1"/>
        <v>Наименование централизованной системы холодного водоснабжения</v>
      </c>
      <c r="AO43" s="433"/>
      <c r="AP43" s="433"/>
      <c r="AQ43" s="956">
        <v>23</v>
      </c>
    </row>
    <row r="44" spans="1:43" ht="24" customHeight="1">
      <c r="A44" s="1151" t="s">
        <v>320</v>
      </c>
      <c r="B44" s="1151" t="s">
        <v>321</v>
      </c>
      <c r="C44" s="1151" t="s">
        <v>322</v>
      </c>
      <c r="D44" s="1151" t="s">
        <v>581</v>
      </c>
      <c r="E44" s="2396"/>
      <c r="F44" s="2396"/>
      <c r="G44" s="2396"/>
      <c r="H44" s="2396"/>
      <c r="I44" s="2397" t="str">
        <f>S43&amp;".1"</f>
        <v>...1</v>
      </c>
      <c r="J44" s="1151"/>
      <c r="K44" s="1151"/>
      <c r="L44" s="1152"/>
      <c r="P44" s="2399">
        <v>1</v>
      </c>
      <c r="Q44" s="1238"/>
      <c r="R44" s="289"/>
      <c r="S44" s="1245" t="str">
        <f>$I44</f>
        <v>...1</v>
      </c>
      <c r="T44" s="219" t="s">
        <v>567</v>
      </c>
      <c r="U44" s="234"/>
      <c r="V44" s="2463"/>
      <c r="W44" s="2464"/>
      <c r="X44" s="2464"/>
      <c r="Y44" s="2464"/>
      <c r="Z44" s="2464"/>
      <c r="AA44" s="2464"/>
      <c r="AB44" s="2465"/>
      <c r="AC44" s="2466"/>
      <c r="AD44" s="2467"/>
      <c r="AE44" s="2467"/>
      <c r="AF44" s="2467"/>
      <c r="AG44" s="2467"/>
      <c r="AH44" s="2467"/>
      <c r="AI44" s="2467"/>
      <c r="AJ44" s="2468"/>
      <c r="AK44" s="1046" t="s">
        <v>568</v>
      </c>
      <c r="AM44" s="433"/>
      <c r="AN44" s="433" t="str">
        <f t="shared" si="1"/>
        <v>Наименование признака дифференциации</v>
      </c>
      <c r="AO44" s="433"/>
      <c r="AP44" s="433"/>
      <c r="AQ44" s="956">
        <v>23</v>
      </c>
    </row>
    <row r="45" spans="1:43" ht="24" customHeight="1">
      <c r="A45" s="1151" t="s">
        <v>320</v>
      </c>
      <c r="B45" s="1151" t="s">
        <v>321</v>
      </c>
      <c r="C45" s="1151" t="s">
        <v>322</v>
      </c>
      <c r="D45" s="1151" t="s">
        <v>581</v>
      </c>
      <c r="E45" s="2396"/>
      <c r="F45" s="2396"/>
      <c r="G45" s="2396"/>
      <c r="H45" s="2396"/>
      <c r="I45" s="2398"/>
      <c r="J45" s="2397" t="str">
        <f>I44&amp;".1"</f>
        <v>...1.1</v>
      </c>
      <c r="K45" s="1151"/>
      <c r="L45" s="1152" t="s">
        <v>490</v>
      </c>
      <c r="P45" s="2399"/>
      <c r="Q45" s="2399">
        <v>1</v>
      </c>
      <c r="R45" s="290"/>
      <c r="S45" s="1245" t="str">
        <f>$J45</f>
        <v>...1.1</v>
      </c>
      <c r="T45" s="220" t="s">
        <v>491</v>
      </c>
      <c r="U45" s="234"/>
      <c r="V45" s="2383"/>
      <c r="W45" s="2384"/>
      <c r="X45" s="2384"/>
      <c r="Y45" s="2384"/>
      <c r="Z45" s="2384"/>
      <c r="AA45" s="2384"/>
      <c r="AB45" s="2385"/>
      <c r="AC45" s="2383"/>
      <c r="AD45" s="2384"/>
      <c r="AE45" s="2384"/>
      <c r="AF45" s="2384"/>
      <c r="AG45" s="2384"/>
      <c r="AH45" s="2384"/>
      <c r="AI45" s="2384"/>
      <c r="AJ45" s="2385"/>
      <c r="AK45" s="1095" t="s">
        <v>569</v>
      </c>
      <c r="AM45" s="433"/>
      <c r="AN45" s="433" t="str">
        <f t="shared" si="1"/>
        <v>Группа потребителей</v>
      </c>
      <c r="AO45" s="433"/>
      <c r="AP45" s="433"/>
      <c r="AQ45" s="956">
        <v>23</v>
      </c>
    </row>
    <row r="46" spans="1:43" ht="24" customHeight="1">
      <c r="A46" s="1151" t="s">
        <v>320</v>
      </c>
      <c r="B46" s="1151" t="s">
        <v>321</v>
      </c>
      <c r="C46" s="1151" t="s">
        <v>322</v>
      </c>
      <c r="D46" s="1151" t="s">
        <v>581</v>
      </c>
      <c r="E46" s="2396"/>
      <c r="F46" s="2396"/>
      <c r="G46" s="2396"/>
      <c r="H46" s="2396"/>
      <c r="I46" s="2398"/>
      <c r="J46" s="2398"/>
      <c r="K46" s="2397" t="str">
        <f>J45&amp;".1"</f>
        <v>...1.1.1</v>
      </c>
      <c r="L46" s="1152"/>
      <c r="P46" s="2399"/>
      <c r="Q46" s="2399"/>
      <c r="R46" s="290">
        <v>1</v>
      </c>
      <c r="S46" s="1245" t="str">
        <f>$K46</f>
        <v>...1.1.1</v>
      </c>
      <c r="T46" s="1225"/>
      <c r="U46" s="234"/>
      <c r="V46" s="658"/>
      <c r="W46" s="658"/>
      <c r="X46" s="1045"/>
      <c r="Y46" s="2400"/>
      <c r="Z46" s="2276" t="s">
        <v>52</v>
      </c>
      <c r="AA46" s="2400"/>
      <c r="AB46" s="2276" t="s">
        <v>52</v>
      </c>
      <c r="AC46" s="658"/>
      <c r="AD46" s="658"/>
      <c r="AE46" s="1045"/>
      <c r="AF46" s="2400"/>
      <c r="AG46" s="2276" t="s">
        <v>52</v>
      </c>
      <c r="AH46" s="2402"/>
      <c r="AI46" s="2276" t="s">
        <v>52</v>
      </c>
      <c r="AJ46" s="1226"/>
      <c r="AK46" s="24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956">
        <v>23</v>
      </c>
    </row>
    <row r="47" spans="1:43" ht="0" hidden="1" customHeight="1">
      <c r="A47" s="1151" t="s">
        <v>320</v>
      </c>
      <c r="B47" s="1151" t="s">
        <v>321</v>
      </c>
      <c r="C47" s="1151" t="s">
        <v>322</v>
      </c>
      <c r="D47" s="1151" t="s">
        <v>581</v>
      </c>
      <c r="E47" s="2396"/>
      <c r="F47" s="2396"/>
      <c r="G47" s="2396"/>
      <c r="H47" s="2396"/>
      <c r="I47" s="2398"/>
      <c r="J47" s="2398"/>
      <c r="K47" s="2397"/>
      <c r="L47" s="1152"/>
      <c r="P47" s="2399"/>
      <c r="Q47" s="2399"/>
      <c r="R47" s="290"/>
      <c r="S47" s="1244"/>
      <c r="T47" s="234"/>
      <c r="U47" s="234"/>
      <c r="V47" s="259"/>
      <c r="W47" s="259"/>
      <c r="X47" s="262" t="str">
        <f>Y46&amp;"-"&amp;AA46</f>
        <v>-</v>
      </c>
      <c r="Y47" s="2401"/>
      <c r="Z47" s="2276"/>
      <c r="AA47" s="2401"/>
      <c r="AB47" s="2276"/>
      <c r="AC47" s="259"/>
      <c r="AD47" s="259"/>
      <c r="AE47" s="262" t="str">
        <f>AF46&amp;"-"&amp;AH46</f>
        <v>-</v>
      </c>
      <c r="AF47" s="2401"/>
      <c r="AG47" s="2276"/>
      <c r="AH47" s="2403"/>
      <c r="AI47" s="2276"/>
      <c r="AJ47" s="1227"/>
      <c r="AK47" s="2469"/>
      <c r="AM47" s="433"/>
      <c r="AN47" s="433" t="str">
        <f t="shared" si="1"/>
        <v/>
      </c>
      <c r="AO47" s="433"/>
      <c r="AP47" s="433"/>
      <c r="AQ47" s="956">
        <v>0</v>
      </c>
    </row>
    <row r="48" spans="1:43" ht="21" customHeight="1">
      <c r="A48" s="1151" t="s">
        <v>320</v>
      </c>
      <c r="B48" s="1151" t="s">
        <v>321</v>
      </c>
      <c r="C48" s="1151" t="s">
        <v>322</v>
      </c>
      <c r="D48" s="1151" t="s">
        <v>581</v>
      </c>
      <c r="E48" s="2396"/>
      <c r="F48" s="2396"/>
      <c r="G48" s="2396"/>
      <c r="H48" s="2396"/>
      <c r="I48" s="2398"/>
      <c r="J48" s="2397"/>
      <c r="K48" s="1151"/>
      <c r="L48" s="1152"/>
      <c r="P48" s="2399"/>
      <c r="Q48" s="2399"/>
      <c r="R48" s="289"/>
      <c r="S48" s="1066"/>
      <c r="T48" s="221" t="s">
        <v>570</v>
      </c>
      <c r="U48" s="300"/>
      <c r="V48" s="300"/>
      <c r="W48" s="300"/>
      <c r="X48" s="300"/>
      <c r="Y48" s="300"/>
      <c r="Z48" s="300"/>
      <c r="AA48" s="300"/>
      <c r="AB48" s="300"/>
      <c r="AC48" s="300"/>
      <c r="AD48" s="300"/>
      <c r="AE48" s="300"/>
      <c r="AF48" s="300"/>
      <c r="AG48" s="300"/>
      <c r="AH48" s="300"/>
      <c r="AI48" s="300"/>
      <c r="AJ48" s="300"/>
      <c r="AK48" s="1046" t="s">
        <v>571</v>
      </c>
      <c r="AM48" s="433"/>
      <c r="AN48" s="433" t="str">
        <f t="shared" si="1"/>
        <v>Добавить значение признака дифференциации</v>
      </c>
      <c r="AO48" s="433"/>
      <c r="AP48" s="433"/>
      <c r="AQ48" s="956">
        <v>20</v>
      </c>
    </row>
    <row r="49" spans="1:43" ht="21.95" customHeight="1">
      <c r="A49" s="1151" t="s">
        <v>320</v>
      </c>
      <c r="B49" s="1151" t="s">
        <v>321</v>
      </c>
      <c r="C49" s="1151" t="s">
        <v>322</v>
      </c>
      <c r="D49" s="1151" t="s">
        <v>581</v>
      </c>
      <c r="E49" s="2396"/>
      <c r="F49" s="2396"/>
      <c r="G49" s="2396"/>
      <c r="H49" s="2396"/>
      <c r="I49" s="2397"/>
      <c r="J49" s="1151"/>
      <c r="K49" s="1151"/>
      <c r="L49" s="1152"/>
      <c r="P49" s="2399"/>
      <c r="Q49" s="1238"/>
      <c r="R49" s="289"/>
      <c r="S49" s="1066"/>
      <c r="T49" s="298" t="s">
        <v>496</v>
      </c>
      <c r="U49" s="300"/>
      <c r="V49" s="300"/>
      <c r="W49" s="300"/>
      <c r="X49" s="300"/>
      <c r="Y49" s="300"/>
      <c r="Z49" s="300"/>
      <c r="AA49" s="300"/>
      <c r="AB49" s="299"/>
      <c r="AC49" s="300"/>
      <c r="AD49" s="300"/>
      <c r="AE49" s="300"/>
      <c r="AF49" s="300"/>
      <c r="AG49" s="300"/>
      <c r="AH49" s="300"/>
      <c r="AI49" s="299"/>
      <c r="AJ49" s="300"/>
      <c r="AK49" s="1228"/>
      <c r="AM49" s="433"/>
      <c r="AN49" s="433" t="str">
        <f t="shared" si="1"/>
        <v>Добавить группу потребителей</v>
      </c>
      <c r="AO49" s="433"/>
      <c r="AP49" s="433"/>
      <c r="AQ49" s="956">
        <v>21</v>
      </c>
    </row>
    <row r="50" spans="1:43" ht="21.95" customHeight="1">
      <c r="A50" s="1151" t="s">
        <v>320</v>
      </c>
      <c r="B50" s="1151" t="s">
        <v>321</v>
      </c>
      <c r="C50" s="1151" t="s">
        <v>322</v>
      </c>
      <c r="D50" s="1151" t="s">
        <v>581</v>
      </c>
      <c r="E50" s="2396"/>
      <c r="F50" s="2396"/>
      <c r="G50" s="2396"/>
      <c r="H50" s="2395"/>
      <c r="I50" s="1151"/>
      <c r="J50" s="1151"/>
      <c r="K50" s="1151"/>
      <c r="L50" s="1152"/>
      <c r="M50" s="1153"/>
      <c r="N50" s="1153"/>
      <c r="O50" s="469"/>
      <c r="P50" s="293"/>
      <c r="Q50" s="308"/>
      <c r="R50" s="288"/>
      <c r="S50" s="1066"/>
      <c r="T50" s="305" t="s">
        <v>572</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956">
        <v>21</v>
      </c>
    </row>
    <row r="51" spans="1:43" s="1430" customFormat="1" ht="0" hidden="1" customHeight="1">
      <c r="A51" s="1131" t="s">
        <v>320</v>
      </c>
      <c r="B51" s="1131" t="s">
        <v>321</v>
      </c>
      <c r="C51" s="1102"/>
      <c r="D51" s="1102"/>
      <c r="E51" s="2396"/>
      <c r="F51" s="2395"/>
      <c r="G51" s="1102"/>
      <c r="H51" s="1102"/>
      <c r="I51" s="1102"/>
      <c r="J51" s="1102"/>
      <c r="K51" s="1102"/>
      <c r="L51" s="1246"/>
      <c r="M51" s="1109"/>
      <c r="N51" s="1109"/>
      <c r="P51" s="1104"/>
      <c r="Q51" s="1105"/>
      <c r="R51" s="1104"/>
      <c r="S51" s="1110"/>
      <c r="T51" s="1113" t="s">
        <v>499</v>
      </c>
      <c r="U51" s="1112"/>
      <c r="V51" s="1112"/>
      <c r="W51" s="1112"/>
      <c r="X51" s="1112"/>
      <c r="Y51" s="1112"/>
      <c r="Z51" s="1112"/>
      <c r="AA51" s="1112"/>
      <c r="AB51" s="1112"/>
      <c r="AC51" s="1112"/>
      <c r="AD51" s="1112"/>
      <c r="AE51" s="1112"/>
      <c r="AF51" s="1112"/>
      <c r="AG51" s="1112"/>
      <c r="AH51" s="1112"/>
      <c r="AI51" s="1112"/>
      <c r="AJ51" s="1112"/>
      <c r="AK51" s="1112"/>
      <c r="AM51" s="688"/>
      <c r="AN51" s="688" t="str">
        <f t="shared" si="1"/>
        <v>Добавить централизованную систему для дифференциации</v>
      </c>
      <c r="AO51" s="688"/>
      <c r="AP51" s="688"/>
      <c r="AQ51" s="451">
        <v>0</v>
      </c>
    </row>
    <row r="52" spans="1:43" s="1430" customFormat="1" ht="0" hidden="1" customHeight="1">
      <c r="A52" s="1131" t="s">
        <v>320</v>
      </c>
      <c r="B52" s="1131"/>
      <c r="C52" s="1131"/>
      <c r="D52" s="1131"/>
      <c r="E52" s="2395"/>
      <c r="F52" s="1131"/>
      <c r="G52" s="1131"/>
      <c r="H52" s="1131"/>
      <c r="I52" s="1131"/>
      <c r="J52" s="1131"/>
      <c r="K52" s="1131"/>
      <c r="L52" s="1134"/>
      <c r="M52" s="1109"/>
      <c r="N52" s="1109"/>
      <c r="O52" s="451"/>
      <c r="P52" s="313"/>
      <c r="Q52" s="1132"/>
      <c r="R52" s="313"/>
      <c r="S52" s="1110"/>
      <c r="T52" s="1113" t="s">
        <v>500</v>
      </c>
      <c r="U52" s="1112"/>
      <c r="V52" s="1112"/>
      <c r="W52" s="1112"/>
      <c r="X52" s="1112"/>
      <c r="Y52" s="1112"/>
      <c r="Z52" s="1112"/>
      <c r="AA52" s="1112"/>
      <c r="AB52" s="1112"/>
      <c r="AC52" s="1112"/>
      <c r="AD52" s="1112"/>
      <c r="AE52" s="1112"/>
      <c r="AF52" s="1112"/>
      <c r="AG52" s="1112"/>
      <c r="AH52" s="1112"/>
      <c r="AI52" s="1112"/>
      <c r="AJ52" s="1112"/>
      <c r="AK52" s="1112"/>
      <c r="AM52" s="433"/>
      <c r="AN52" s="433" t="str">
        <f t="shared" si="1"/>
        <v>Добавить территорию для дифференциации</v>
      </c>
      <c r="AO52" s="433"/>
      <c r="AP52" s="433"/>
      <c r="AQ52" s="444">
        <v>0</v>
      </c>
    </row>
    <row r="53" spans="1:43" s="1430" customFormat="1" ht="0" hidden="1" customHeight="1">
      <c r="A53" s="1102"/>
      <c r="B53" s="1102"/>
      <c r="C53" s="1102"/>
      <c r="D53" s="1102"/>
      <c r="E53" s="1131"/>
      <c r="F53" s="1102"/>
      <c r="G53" s="1102"/>
      <c r="H53" s="1102"/>
      <c r="I53" s="1102"/>
      <c r="J53" s="1102"/>
      <c r="K53" s="1102"/>
      <c r="L53" s="1246"/>
      <c r="M53" s="1109"/>
      <c r="N53" s="1109"/>
      <c r="P53" s="1104"/>
      <c r="Q53" s="1105"/>
      <c r="R53" s="1104"/>
      <c r="S53" s="1110"/>
      <c r="T53" s="1113" t="s">
        <v>532</v>
      </c>
      <c r="U53" s="1112"/>
      <c r="V53" s="1112"/>
      <c r="W53" s="1112"/>
      <c r="X53" s="1112"/>
      <c r="Y53" s="1112"/>
      <c r="Z53" s="1112"/>
      <c r="AA53" s="1112"/>
      <c r="AB53" s="1112"/>
      <c r="AC53" s="1112"/>
      <c r="AD53" s="1112"/>
      <c r="AE53" s="1112"/>
      <c r="AF53" s="1112"/>
      <c r="AG53" s="1112"/>
      <c r="AH53" s="1112"/>
      <c r="AI53" s="1112"/>
      <c r="AJ53" s="1112"/>
      <c r="AK53" s="1112"/>
      <c r="AM53" s="688"/>
      <c r="AN53" s="688" t="str">
        <f t="shared" si="1"/>
        <v>Добавить наименование тарифа</v>
      </c>
      <c r="AO53" s="688"/>
      <c r="AP53" s="688"/>
      <c r="AQ53" s="451">
        <v>0</v>
      </c>
    </row>
    <row r="54" spans="1:43" ht="11.45" customHeight="1">
      <c r="M54" s="961"/>
      <c r="N54" s="961"/>
      <c r="O54" s="469"/>
      <c r="P54" s="956"/>
      <c r="Q54" s="956"/>
      <c r="R54" s="956"/>
      <c r="S54" s="956"/>
      <c r="AL54" s="956"/>
      <c r="AM54" s="956"/>
      <c r="AN54" s="956"/>
      <c r="AO54" s="956"/>
      <c r="AP54" s="956"/>
      <c r="AQ54" s="956">
        <v>11</v>
      </c>
    </row>
    <row r="55" spans="1:43" ht="14.65" customHeight="1">
      <c r="O55" s="469"/>
      <c r="S55" s="1041"/>
      <c r="T55" s="2394"/>
      <c r="U55" s="2394"/>
      <c r="V55" s="2394"/>
      <c r="W55" s="2394"/>
      <c r="X55" s="2394"/>
      <c r="Y55" s="2394"/>
      <c r="Z55" s="2394"/>
      <c r="AA55" s="2394"/>
      <c r="AB55" s="2394"/>
      <c r="AC55" s="2394"/>
      <c r="AD55" s="2394"/>
      <c r="AE55" s="2394"/>
      <c r="AF55" s="2394"/>
      <c r="AG55" s="2394"/>
      <c r="AH55" s="2394"/>
      <c r="AI55" s="2394"/>
      <c r="AJ55" s="2394"/>
      <c r="AK55" s="2394"/>
      <c r="AQ55" s="956">
        <v>14</v>
      </c>
    </row>
    <row r="56" spans="1:43" ht="14.65" customHeight="1">
      <c r="O56" s="469"/>
      <c r="AQ56" s="956">
        <v>14</v>
      </c>
    </row>
    <row r="57" spans="1:43" ht="14.65" customHeight="1">
      <c r="O57" s="469"/>
      <c r="S57" s="1041"/>
      <c r="T57" s="2394"/>
      <c r="U57" s="2394"/>
      <c r="V57" s="2394"/>
      <c r="W57" s="2394"/>
      <c r="X57" s="2394"/>
      <c r="Y57" s="2394"/>
      <c r="Z57" s="2394"/>
      <c r="AA57" s="2394"/>
      <c r="AB57" s="2394"/>
      <c r="AC57" s="2394"/>
      <c r="AD57" s="2394"/>
      <c r="AE57" s="2394"/>
      <c r="AF57" s="2394"/>
      <c r="AG57" s="2394"/>
      <c r="AH57" s="2394"/>
      <c r="AI57" s="2394"/>
      <c r="AJ57" s="2394"/>
      <c r="AK57" s="2394"/>
      <c r="AQ57" s="956">
        <v>14</v>
      </c>
    </row>
    <row r="58" spans="1:43" ht="22.5" hidden="1" customHeight="1">
      <c r="A58" s="961" t="s">
        <v>69</v>
      </c>
      <c r="B58" s="961">
        <v>0</v>
      </c>
      <c r="C58" s="961">
        <v>0</v>
      </c>
      <c r="D58" s="961">
        <v>0</v>
      </c>
      <c r="E58" s="961">
        <v>0</v>
      </c>
      <c r="F58" s="961">
        <v>0</v>
      </c>
      <c r="G58" s="961">
        <v>0</v>
      </c>
      <c r="H58" s="961">
        <v>0</v>
      </c>
      <c r="I58" s="961">
        <v>0</v>
      </c>
      <c r="J58" s="961">
        <v>0</v>
      </c>
      <c r="K58" s="961">
        <v>0</v>
      </c>
      <c r="L58" s="1235">
        <v>0</v>
      </c>
      <c r="M58" s="1150">
        <v>0</v>
      </c>
      <c r="N58" s="1150">
        <v>0</v>
      </c>
      <c r="O58" s="1150">
        <v>0</v>
      </c>
      <c r="P58" s="1234">
        <v>3</v>
      </c>
      <c r="Q58" s="278">
        <v>3</v>
      </c>
      <c r="R58" s="278">
        <v>3</v>
      </c>
      <c r="S58" s="512">
        <v>12</v>
      </c>
      <c r="T58" s="956">
        <v>35</v>
      </c>
      <c r="U58" s="956">
        <v>0</v>
      </c>
      <c r="V58" s="956">
        <v>0</v>
      </c>
      <c r="W58" s="956">
        <v>0</v>
      </c>
      <c r="X58" s="956">
        <v>0</v>
      </c>
      <c r="Y58" s="956">
        <v>0</v>
      </c>
      <c r="Z58" s="956">
        <v>0</v>
      </c>
      <c r="AA58" s="956">
        <v>0</v>
      </c>
      <c r="AB58" s="956">
        <v>0</v>
      </c>
      <c r="AC58" s="956">
        <v>24</v>
      </c>
      <c r="AD58" s="956">
        <v>24</v>
      </c>
      <c r="AE58" s="956">
        <v>24</v>
      </c>
      <c r="AF58" s="956">
        <v>11</v>
      </c>
      <c r="AG58" s="956">
        <v>3</v>
      </c>
      <c r="AH58" s="956">
        <v>11</v>
      </c>
      <c r="AI58" s="956">
        <v>0</v>
      </c>
      <c r="AJ58" s="956">
        <v>4</v>
      </c>
      <c r="AK58" s="956">
        <v>115</v>
      </c>
      <c r="AL58" s="444">
        <v>10</v>
      </c>
      <c r="AM58" s="444">
        <v>10</v>
      </c>
      <c r="AN58" s="444">
        <v>10</v>
      </c>
      <c r="AO58" s="444">
        <v>10</v>
      </c>
      <c r="AP58" s="444">
        <v>10</v>
      </c>
      <c r="AQ58" s="956">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54" hidden="1"/>
    <col min="2" max="2" width="11" style="1154" hidden="1" customWidth="1"/>
    <col min="3" max="3" width="10.5703125" style="1154" hidden="1"/>
    <col min="4" max="4" width="11.85546875" style="1154" hidden="1" customWidth="1"/>
    <col min="5" max="5" width="10" style="1154" hidden="1" customWidth="1"/>
    <col min="6" max="6" width="8.7109375" style="1154" hidden="1" customWidth="1"/>
    <col min="7" max="7" width="7.5703125" style="1154" hidden="1" customWidth="1"/>
    <col min="8" max="8" width="11.42578125" style="1154" hidden="1" customWidth="1"/>
    <col min="9" max="9" width="14.140625" style="1154" hidden="1" customWidth="1"/>
    <col min="10" max="10" width="9.85546875" style="1154" hidden="1" customWidth="1"/>
    <col min="11" max="11" width="14.7109375" style="1154" hidden="1" customWidth="1"/>
    <col min="12" max="12" width="19.140625" style="1866" hidden="1" customWidth="1"/>
    <col min="13" max="14" width="12.28515625" style="1535" hidden="1" customWidth="1"/>
    <col min="15" max="15" width="23.42578125" style="1535" hidden="1" customWidth="1"/>
    <col min="16" max="16" width="3" style="1857" customWidth="1"/>
    <col min="17" max="18" width="3" style="278" customWidth="1"/>
    <col min="19" max="19" width="12" style="1858" customWidth="1"/>
    <col min="20" max="20" width="35" style="1423" customWidth="1"/>
    <col min="21" max="21" width="0.140625" style="1423" customWidth="1"/>
    <col min="22" max="24" width="24.7109375" style="1423" hidden="1" customWidth="1"/>
    <col min="25" max="25" width="11.7109375" style="1423" hidden="1" customWidth="1"/>
    <col min="26" max="26" width="3.7109375" style="1423" hidden="1" customWidth="1"/>
    <col min="27" max="27" width="11.7109375" style="1423" hidden="1" customWidth="1"/>
    <col min="28" max="28" width="8.5703125" style="1423" hidden="1" customWidth="1"/>
    <col min="29" max="29" width="24.7109375" style="1423" customWidth="1"/>
    <col min="30" max="31" width="24" style="1423" customWidth="1"/>
    <col min="32" max="32" width="11" style="1423" customWidth="1"/>
    <col min="33" max="33" width="3.7109375" style="1423" customWidth="1"/>
    <col min="34" max="34" width="11" style="1423" customWidth="1"/>
    <col min="35" max="35" width="8.5703125" style="1423" hidden="1" customWidth="1"/>
    <col min="36" max="36" width="4" style="1423" customWidth="1"/>
    <col min="37" max="37" width="115" style="1423" customWidth="1"/>
    <col min="38" max="42" width="10" style="1430" customWidth="1"/>
    <col min="43" max="43" width="10.5703125" style="1423" hidden="1"/>
  </cols>
  <sheetData>
    <row r="1" spans="1:43" ht="22.5" hidden="1" customHeight="1">
      <c r="X1" s="261"/>
      <c r="Y1" s="261"/>
      <c r="AE1" s="261"/>
      <c r="AF1" s="261"/>
      <c r="AQ1" s="956" t="s">
        <v>1</v>
      </c>
    </row>
    <row r="2" spans="1:43" ht="23.25" hidden="1" customHeight="1">
      <c r="A2" s="1151"/>
      <c r="B2" s="1151"/>
      <c r="C2" s="1151"/>
      <c r="D2" s="1151"/>
      <c r="E2" s="2395">
        <v>1</v>
      </c>
      <c r="F2" s="1151"/>
      <c r="G2" s="1151"/>
      <c r="H2" s="1151"/>
      <c r="I2" s="1151"/>
      <c r="J2" s="1151"/>
      <c r="K2" s="1151"/>
      <c r="L2" s="1152"/>
      <c r="M2" s="1153"/>
      <c r="N2" s="1153"/>
      <c r="O2" s="1153"/>
      <c r="P2" s="294"/>
      <c r="Q2" s="293"/>
      <c r="R2" s="288"/>
      <c r="S2" s="1245" t="e">
        <f>INDEX(PT_DIFFERENTIATION_NUM_NTAR,MATCH(A2,PT_DIFFERENTIATION_NTAR_ID,0))</f>
        <v>#N/A</v>
      </c>
      <c r="T2" s="232" t="s">
        <v>214</v>
      </c>
      <c r="U2" s="234"/>
      <c r="V2" s="2389"/>
      <c r="W2" s="2390"/>
      <c r="X2" s="2390"/>
      <c r="Y2" s="2390"/>
      <c r="Z2" s="2390"/>
      <c r="AA2" s="2390"/>
      <c r="AB2" s="2391"/>
      <c r="AC2" s="2389" t="e">
        <f>INDEX(PT_DIFFERENTIATION_NTAR,MATCH(A2,PT_DIFFERENTIATION_NTAR_ID,0))</f>
        <v>#N/A</v>
      </c>
      <c r="AD2" s="2390"/>
      <c r="AE2" s="2390"/>
      <c r="AF2" s="2390"/>
      <c r="AG2" s="2390"/>
      <c r="AH2" s="2390"/>
      <c r="AI2" s="2390"/>
      <c r="AJ2" s="2391"/>
      <c r="AK2" s="104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956">
        <v>0</v>
      </c>
    </row>
    <row r="3" spans="1:43" ht="23.25" hidden="1" customHeight="1">
      <c r="A3" s="1151"/>
      <c r="B3" s="1151"/>
      <c r="C3" s="1151"/>
      <c r="D3" s="1151"/>
      <c r="E3" s="2396"/>
      <c r="F3" s="2395">
        <v>1</v>
      </c>
      <c r="G3" s="1151"/>
      <c r="H3" s="1151"/>
      <c r="I3" s="1151"/>
      <c r="J3" s="1151"/>
      <c r="K3" s="1151"/>
      <c r="L3" s="1152"/>
      <c r="M3" s="1153"/>
      <c r="N3" s="1153"/>
      <c r="O3" s="1153"/>
      <c r="P3" s="1241"/>
      <c r="Q3" s="285"/>
      <c r="R3" s="286"/>
      <c r="S3" s="1245" t="e">
        <f>INDEX(PT_DIFFERENTIATION_NUM_TER,MATCH(B3,PT_DIFFERENTIATION_TER_ID,0))</f>
        <v>#N/A</v>
      </c>
      <c r="T3" s="242" t="s">
        <v>481</v>
      </c>
      <c r="U3" s="234"/>
      <c r="V3" s="2389"/>
      <c r="W3" s="2390"/>
      <c r="X3" s="2390"/>
      <c r="Y3" s="2390"/>
      <c r="Z3" s="2390"/>
      <c r="AA3" s="2390"/>
      <c r="AB3" s="2391"/>
      <c r="AC3" s="2389" t="e">
        <f>INDEX(PT_DIFFERENTIATION_TER,MATCH(B3,PT_DIFFERENTIATION_TER_ID,0))</f>
        <v>#N/A</v>
      </c>
      <c r="AD3" s="2390"/>
      <c r="AE3" s="2390"/>
      <c r="AF3" s="2390"/>
      <c r="AG3" s="2390"/>
      <c r="AH3" s="2390"/>
      <c r="AI3" s="2390"/>
      <c r="AJ3" s="2391"/>
      <c r="AK3" s="1046" t="s">
        <v>482</v>
      </c>
      <c r="AM3" s="433"/>
      <c r="AN3" s="433" t="str">
        <f t="shared" si="0"/>
        <v>Территория действия тарифа</v>
      </c>
      <c r="AO3" s="433"/>
      <c r="AP3" s="433"/>
      <c r="AQ3" s="956">
        <v>0</v>
      </c>
    </row>
    <row r="4" spans="1:43" ht="23.25" hidden="1" customHeight="1">
      <c r="A4" s="1151"/>
      <c r="B4" s="1151"/>
      <c r="C4" s="1151"/>
      <c r="D4" s="1151"/>
      <c r="E4" s="2396"/>
      <c r="F4" s="2396"/>
      <c r="G4" s="2395">
        <v>1</v>
      </c>
      <c r="H4" s="1151"/>
      <c r="I4" s="1151"/>
      <c r="J4" s="1151"/>
      <c r="K4" s="1151"/>
      <c r="L4" s="1152"/>
      <c r="M4" s="1153"/>
      <c r="N4" s="1153"/>
      <c r="O4" s="1153"/>
      <c r="P4" s="287"/>
      <c r="Q4" s="285"/>
      <c r="R4" s="286"/>
      <c r="S4" s="1245" t="e">
        <f>INDEX(PT_DIFFERENTIATION_NUM_CS,MATCH(C4,PT_DIFFERENTIATION_CS_ID,0))</f>
        <v>#N/A</v>
      </c>
      <c r="T4" s="243" t="s">
        <v>565</v>
      </c>
      <c r="U4" s="234"/>
      <c r="V4" s="2389"/>
      <c r="W4" s="2390"/>
      <c r="X4" s="2390"/>
      <c r="Y4" s="2390"/>
      <c r="Z4" s="2390"/>
      <c r="AA4" s="2390"/>
      <c r="AB4" s="2391"/>
      <c r="AC4" s="2389" t="e">
        <f>INDEX(PT_DIFFERENTIATION_CS,MATCH(C4,PT_DIFFERENTIATION_CS_ID,0))</f>
        <v>#N/A</v>
      </c>
      <c r="AD4" s="2390"/>
      <c r="AE4" s="2390"/>
      <c r="AF4" s="2390"/>
      <c r="AG4" s="2390"/>
      <c r="AH4" s="2390"/>
      <c r="AI4" s="2390"/>
      <c r="AJ4" s="2391"/>
      <c r="AK4" s="1046" t="s">
        <v>566</v>
      </c>
      <c r="AM4" s="433"/>
      <c r="AN4" s="433" t="str">
        <f t="shared" si="0"/>
        <v>Наименование централизованной системы холодного водоснабжения</v>
      </c>
      <c r="AO4" s="433"/>
      <c r="AP4" s="433"/>
      <c r="AQ4" s="956">
        <v>0</v>
      </c>
    </row>
    <row r="5" spans="1:43" ht="23.25" hidden="1" customHeight="1">
      <c r="A5" s="1151"/>
      <c r="B5" s="1151"/>
      <c r="C5" s="1151"/>
      <c r="D5" s="1151"/>
      <c r="E5" s="2396"/>
      <c r="F5" s="2396"/>
      <c r="G5" s="2396"/>
      <c r="H5" s="2396"/>
      <c r="I5" s="2397" t="e">
        <f>S4&amp;".1"</f>
        <v>#N/A</v>
      </c>
      <c r="J5" s="1151"/>
      <c r="K5" s="1151"/>
      <c r="L5" s="1152"/>
      <c r="P5" s="2399">
        <v>1</v>
      </c>
      <c r="Q5" s="1238"/>
      <c r="R5" s="289"/>
      <c r="S5" s="1245" t="e">
        <f>$I5</f>
        <v>#N/A</v>
      </c>
      <c r="T5" s="219" t="s">
        <v>567</v>
      </c>
      <c r="U5" s="234"/>
      <c r="V5" s="2463"/>
      <c r="W5" s="2464"/>
      <c r="X5" s="2464"/>
      <c r="Y5" s="2464"/>
      <c r="Z5" s="2464"/>
      <c r="AA5" s="2464"/>
      <c r="AB5" s="2465"/>
      <c r="AC5" s="2466"/>
      <c r="AD5" s="2467"/>
      <c r="AE5" s="2467"/>
      <c r="AF5" s="2467"/>
      <c r="AG5" s="2467"/>
      <c r="AH5" s="2467"/>
      <c r="AI5" s="2467"/>
      <c r="AJ5" s="2468"/>
      <c r="AK5" s="1046" t="s">
        <v>568</v>
      </c>
      <c r="AM5" s="433"/>
      <c r="AN5" s="433" t="str">
        <f t="shared" si="0"/>
        <v>Наименование признака дифференциации</v>
      </c>
      <c r="AO5" s="433"/>
      <c r="AP5" s="433"/>
      <c r="AQ5" s="956">
        <v>0</v>
      </c>
    </row>
    <row r="6" spans="1:43" ht="23.25" hidden="1" customHeight="1">
      <c r="A6" s="1151"/>
      <c r="B6" s="1151"/>
      <c r="C6" s="1151"/>
      <c r="D6" s="1151"/>
      <c r="E6" s="2396"/>
      <c r="F6" s="2396"/>
      <c r="G6" s="2396"/>
      <c r="H6" s="2396"/>
      <c r="I6" s="2398"/>
      <c r="J6" s="2397" t="e">
        <f>I5&amp;".1"</f>
        <v>#N/A</v>
      </c>
      <c r="K6" s="1151"/>
      <c r="L6" s="1152" t="s">
        <v>490</v>
      </c>
      <c r="P6" s="2399"/>
      <c r="Q6" s="2399">
        <v>1</v>
      </c>
      <c r="R6" s="290"/>
      <c r="S6" s="1245" t="e">
        <f>$J6</f>
        <v>#N/A</v>
      </c>
      <c r="T6" s="220" t="s">
        <v>491</v>
      </c>
      <c r="U6" s="234"/>
      <c r="V6" s="2383"/>
      <c r="W6" s="2384"/>
      <c r="X6" s="2384"/>
      <c r="Y6" s="2384"/>
      <c r="Z6" s="2384"/>
      <c r="AA6" s="2384"/>
      <c r="AB6" s="2385"/>
      <c r="AC6" s="2383"/>
      <c r="AD6" s="2384"/>
      <c r="AE6" s="2384"/>
      <c r="AF6" s="2384"/>
      <c r="AG6" s="2384"/>
      <c r="AH6" s="2384"/>
      <c r="AI6" s="2384"/>
      <c r="AJ6" s="2385"/>
      <c r="AK6" s="1095" t="s">
        <v>569</v>
      </c>
      <c r="AM6" s="433"/>
      <c r="AN6" s="433" t="str">
        <f t="shared" si="0"/>
        <v>Группа потребителей</v>
      </c>
      <c r="AO6" s="433"/>
      <c r="AP6" s="433"/>
      <c r="AQ6" s="956">
        <v>0</v>
      </c>
    </row>
    <row r="7" spans="1:43" ht="23.25" hidden="1" customHeight="1">
      <c r="A7" s="1151"/>
      <c r="B7" s="1151"/>
      <c r="C7" s="1151"/>
      <c r="D7" s="1151"/>
      <c r="E7" s="2396"/>
      <c r="F7" s="2396"/>
      <c r="G7" s="2396"/>
      <c r="H7" s="2396"/>
      <c r="I7" s="2398"/>
      <c r="J7" s="2398"/>
      <c r="K7" s="2397" t="e">
        <f>J6&amp;".1"</f>
        <v>#N/A</v>
      </c>
      <c r="L7" s="1152"/>
      <c r="P7" s="2399"/>
      <c r="Q7" s="2399"/>
      <c r="R7" s="290">
        <v>1</v>
      </c>
      <c r="S7" s="1245" t="e">
        <f>$K7</f>
        <v>#N/A</v>
      </c>
      <c r="T7" s="1225"/>
      <c r="U7" s="234"/>
      <c r="V7" s="658"/>
      <c r="W7" s="658"/>
      <c r="X7" s="1045"/>
      <c r="Y7" s="2400"/>
      <c r="Z7" s="2276" t="s">
        <v>52</v>
      </c>
      <c r="AA7" s="2400"/>
      <c r="AB7" s="2276" t="s">
        <v>52</v>
      </c>
      <c r="AC7" s="658"/>
      <c r="AD7" s="658"/>
      <c r="AE7" s="1045"/>
      <c r="AF7" s="2400"/>
      <c r="AG7" s="2276" t="s">
        <v>52</v>
      </c>
      <c r="AH7" s="2402"/>
      <c r="AI7" s="2276" t="s">
        <v>52</v>
      </c>
      <c r="AJ7" s="1226"/>
      <c r="AK7" s="24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956">
        <v>0</v>
      </c>
    </row>
    <row r="8" spans="1:43" ht="14.25" hidden="1" customHeight="1">
      <c r="A8" s="1151"/>
      <c r="B8" s="1151"/>
      <c r="C8" s="1151"/>
      <c r="D8" s="1151"/>
      <c r="E8" s="2396"/>
      <c r="F8" s="2396"/>
      <c r="G8" s="2396"/>
      <c r="H8" s="2396"/>
      <c r="I8" s="2398"/>
      <c r="J8" s="2398"/>
      <c r="K8" s="2397"/>
      <c r="L8" s="1152"/>
      <c r="P8" s="2399"/>
      <c r="Q8" s="2399"/>
      <c r="R8" s="290"/>
      <c r="S8" s="1244"/>
      <c r="T8" s="234"/>
      <c r="U8" s="234"/>
      <c r="V8" s="259"/>
      <c r="W8" s="259"/>
      <c r="X8" s="262" t="str">
        <f>Y7&amp;"-"&amp;AA7</f>
        <v>-</v>
      </c>
      <c r="Y8" s="2401"/>
      <c r="Z8" s="2276"/>
      <c r="AA8" s="2401"/>
      <c r="AB8" s="2276"/>
      <c r="AC8" s="259"/>
      <c r="AD8" s="259"/>
      <c r="AE8" s="262" t="str">
        <f>AF7&amp;"-"&amp;AH7</f>
        <v>-</v>
      </c>
      <c r="AF8" s="2401"/>
      <c r="AG8" s="2276"/>
      <c r="AH8" s="2403"/>
      <c r="AI8" s="2276"/>
      <c r="AJ8" s="1227"/>
      <c r="AK8" s="2469"/>
      <c r="AM8" s="433"/>
      <c r="AN8" s="433" t="str">
        <f t="shared" si="0"/>
        <v/>
      </c>
      <c r="AO8" s="433"/>
      <c r="AP8" s="433"/>
      <c r="AQ8" s="956">
        <v>0</v>
      </c>
    </row>
    <row r="9" spans="1:43" ht="21" hidden="1" customHeight="1">
      <c r="A9" s="1151"/>
      <c r="B9" s="1151"/>
      <c r="C9" s="1151"/>
      <c r="D9" s="1151"/>
      <c r="E9" s="2396"/>
      <c r="F9" s="2396"/>
      <c r="G9" s="2396"/>
      <c r="H9" s="2396"/>
      <c r="I9" s="2398"/>
      <c r="J9" s="2397"/>
      <c r="K9" s="1151"/>
      <c r="L9" s="1152"/>
      <c r="P9" s="2399"/>
      <c r="Q9" s="2399"/>
      <c r="R9" s="289"/>
      <c r="S9" s="1066"/>
      <c r="T9" s="221" t="s">
        <v>570</v>
      </c>
      <c r="U9" s="300"/>
      <c r="V9" s="300"/>
      <c r="W9" s="300"/>
      <c r="X9" s="300"/>
      <c r="Y9" s="300"/>
      <c r="Z9" s="300"/>
      <c r="AA9" s="300"/>
      <c r="AB9" s="300"/>
      <c r="AC9" s="300"/>
      <c r="AD9" s="300"/>
      <c r="AE9" s="300"/>
      <c r="AF9" s="300"/>
      <c r="AG9" s="300"/>
      <c r="AH9" s="300"/>
      <c r="AI9" s="300"/>
      <c r="AJ9" s="300"/>
      <c r="AK9" s="1046" t="s">
        <v>571</v>
      </c>
      <c r="AM9" s="433"/>
      <c r="AN9" s="433" t="str">
        <f t="shared" si="0"/>
        <v>Добавить значение признака дифференциации</v>
      </c>
      <c r="AO9" s="433"/>
      <c r="AP9" s="433"/>
      <c r="AQ9" s="956">
        <v>0</v>
      </c>
    </row>
    <row r="10" spans="1:43" ht="21" hidden="1" customHeight="1">
      <c r="A10" s="1151"/>
      <c r="B10" s="1151"/>
      <c r="C10" s="1151"/>
      <c r="D10" s="1151"/>
      <c r="E10" s="2396"/>
      <c r="F10" s="2396"/>
      <c r="G10" s="2396"/>
      <c r="H10" s="2396"/>
      <c r="I10" s="2397"/>
      <c r="J10" s="1151"/>
      <c r="K10" s="1151"/>
      <c r="L10" s="1152"/>
      <c r="P10" s="2399"/>
      <c r="Q10" s="1238"/>
      <c r="R10" s="289"/>
      <c r="S10" s="1066"/>
      <c r="T10" s="298" t="s">
        <v>496</v>
      </c>
      <c r="U10" s="300"/>
      <c r="V10" s="300"/>
      <c r="W10" s="300"/>
      <c r="X10" s="300"/>
      <c r="Y10" s="300"/>
      <c r="Z10" s="300"/>
      <c r="AA10" s="300"/>
      <c r="AB10" s="299"/>
      <c r="AC10" s="300"/>
      <c r="AD10" s="300"/>
      <c r="AE10" s="300"/>
      <c r="AF10" s="300"/>
      <c r="AG10" s="300"/>
      <c r="AH10" s="300"/>
      <c r="AI10" s="299"/>
      <c r="AJ10" s="300"/>
      <c r="AK10" s="1228"/>
      <c r="AM10" s="433"/>
      <c r="AN10" s="433" t="str">
        <f t="shared" si="0"/>
        <v>Добавить группу потребителей</v>
      </c>
      <c r="AO10" s="433"/>
      <c r="AP10" s="433"/>
      <c r="AQ10" s="956">
        <v>0</v>
      </c>
    </row>
    <row r="11" spans="1:43" ht="21" hidden="1" customHeight="1">
      <c r="A11" s="1151"/>
      <c r="B11" s="1151"/>
      <c r="C11" s="1151"/>
      <c r="D11" s="1151"/>
      <c r="E11" s="2396"/>
      <c r="F11" s="2396"/>
      <c r="G11" s="2396"/>
      <c r="H11" s="2395"/>
      <c r="I11" s="1151"/>
      <c r="J11" s="1151"/>
      <c r="K11" s="1151"/>
      <c r="L11" s="1152"/>
      <c r="M11" s="1153"/>
      <c r="N11" s="1153"/>
      <c r="O11" s="469"/>
      <c r="P11" s="293"/>
      <c r="Q11" s="308"/>
      <c r="R11" s="288"/>
      <c r="S11" s="1066"/>
      <c r="T11" s="305" t="s">
        <v>572</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956">
        <v>0</v>
      </c>
    </row>
    <row r="12" spans="1:43" s="1430" customFormat="1" ht="14.25" hidden="1" customHeight="1">
      <c r="A12" s="1131"/>
      <c r="B12" s="1131"/>
      <c r="C12" s="1102"/>
      <c r="D12" s="1102"/>
      <c r="E12" s="2396"/>
      <c r="F12" s="2395"/>
      <c r="G12" s="1102"/>
      <c r="H12" s="1102"/>
      <c r="I12" s="1102"/>
      <c r="J12" s="1102"/>
      <c r="K12" s="1102"/>
      <c r="L12" s="1246"/>
      <c r="M12" s="1109"/>
      <c r="N12" s="1109"/>
      <c r="P12" s="1104"/>
      <c r="Q12" s="1105"/>
      <c r="R12" s="1104"/>
      <c r="S12" s="1110"/>
      <c r="T12" s="1113" t="s">
        <v>499</v>
      </c>
      <c r="U12" s="1112"/>
      <c r="V12" s="1112"/>
      <c r="W12" s="1112"/>
      <c r="X12" s="1112"/>
      <c r="Y12" s="1112"/>
      <c r="Z12" s="1112"/>
      <c r="AA12" s="1112"/>
      <c r="AB12" s="1112"/>
      <c r="AC12" s="1112"/>
      <c r="AD12" s="1112"/>
      <c r="AE12" s="1112"/>
      <c r="AF12" s="1112"/>
      <c r="AG12" s="1112"/>
      <c r="AH12" s="1112"/>
      <c r="AI12" s="1112"/>
      <c r="AJ12" s="1112"/>
      <c r="AK12" s="1112"/>
      <c r="AM12" s="688"/>
      <c r="AN12" s="688" t="str">
        <f t="shared" si="0"/>
        <v>Добавить централизованную систему для дифференциации</v>
      </c>
      <c r="AO12" s="688"/>
      <c r="AP12" s="688"/>
      <c r="AQ12" s="451">
        <v>0</v>
      </c>
    </row>
    <row r="13" spans="1:43" s="1430" customFormat="1" ht="14.25" hidden="1" customHeight="1">
      <c r="A13" s="1131"/>
      <c r="B13" s="1131"/>
      <c r="C13" s="1131"/>
      <c r="D13" s="1131"/>
      <c r="E13" s="2395"/>
      <c r="F13" s="1131"/>
      <c r="G13" s="1131"/>
      <c r="H13" s="1131"/>
      <c r="I13" s="1131"/>
      <c r="J13" s="1131"/>
      <c r="K13" s="1131"/>
      <c r="L13" s="1134"/>
      <c r="M13" s="1109"/>
      <c r="N13" s="1109"/>
      <c r="O13" s="451"/>
      <c r="P13" s="313"/>
      <c r="Q13" s="1132"/>
      <c r="R13" s="313"/>
      <c r="S13" s="1110"/>
      <c r="T13" s="1113" t="s">
        <v>500</v>
      </c>
      <c r="U13" s="1112"/>
      <c r="V13" s="1112"/>
      <c r="W13" s="1112"/>
      <c r="X13" s="1112"/>
      <c r="Y13" s="1112"/>
      <c r="Z13" s="1112"/>
      <c r="AA13" s="1112"/>
      <c r="AB13" s="1112"/>
      <c r="AC13" s="1112"/>
      <c r="AD13" s="1112"/>
      <c r="AE13" s="1112"/>
      <c r="AF13" s="1112"/>
      <c r="AG13" s="1112"/>
      <c r="AH13" s="1112"/>
      <c r="AI13" s="1112"/>
      <c r="AJ13" s="1112"/>
      <c r="AK13" s="1112"/>
      <c r="AM13" s="433"/>
      <c r="AN13" s="433" t="str">
        <f t="shared" si="0"/>
        <v>Добавить территорию для дифференциации</v>
      </c>
      <c r="AO13" s="433"/>
      <c r="AP13" s="433"/>
      <c r="AQ13" s="444">
        <v>0</v>
      </c>
    </row>
    <row r="14" spans="1:43" ht="14.25" hidden="1" customHeight="1">
      <c r="AB14" s="261"/>
      <c r="AI14" s="261"/>
      <c r="AQ14" s="956">
        <v>0</v>
      </c>
    </row>
    <row r="15" spans="1:43" ht="14.25" hidden="1" customHeight="1">
      <c r="AC15" s="1148"/>
      <c r="AD15" s="1148"/>
      <c r="AE15" s="1149"/>
      <c r="AF15" s="2393"/>
      <c r="AG15" s="2392" t="s">
        <v>52</v>
      </c>
      <c r="AH15" s="2393"/>
      <c r="AI15" s="2392" t="s">
        <v>52</v>
      </c>
      <c r="AQ15" s="956">
        <v>0</v>
      </c>
    </row>
    <row r="16" spans="1:43" ht="14.25" hidden="1" customHeight="1">
      <c r="AC16" s="1148"/>
      <c r="AD16" s="1148"/>
      <c r="AE16" s="262" t="str">
        <f>AF15&amp;"-"&amp;AH15</f>
        <v>-</v>
      </c>
      <c r="AF16" s="2392"/>
      <c r="AG16" s="2392"/>
      <c r="AH16" s="2392"/>
      <c r="AI16" s="2392"/>
      <c r="AQ16" s="956">
        <v>0</v>
      </c>
    </row>
    <row r="17" spans="1:43" ht="14.25" hidden="1" customHeight="1">
      <c r="AI17" s="261"/>
      <c r="AQ17" s="956">
        <v>0</v>
      </c>
    </row>
    <row r="18" spans="1:43" s="1154" customFormat="1" ht="22.5" hidden="1" customHeight="1">
      <c r="L18" s="1235"/>
      <c r="M18" s="1150"/>
      <c r="N18" s="1150"/>
      <c r="O18" s="1155" t="s">
        <v>501</v>
      </c>
      <c r="P18" s="1150"/>
      <c r="Q18" s="1159"/>
      <c r="R18" s="1159"/>
      <c r="S18" s="640"/>
      <c r="Y18" s="1155"/>
      <c r="AA18" s="1155"/>
      <c r="AF18" s="1155"/>
      <c r="AH18" s="1155"/>
      <c r="AL18" s="444"/>
      <c r="AM18" s="444"/>
      <c r="AN18" s="444"/>
      <c r="AO18" s="444"/>
      <c r="AP18" s="444"/>
      <c r="AQ18" s="961">
        <v>0</v>
      </c>
    </row>
    <row r="19" spans="1:43" s="1154" customFormat="1" ht="14.25" hidden="1" customHeight="1">
      <c r="L19" s="1235"/>
      <c r="M19" s="1150"/>
      <c r="N19" s="1150"/>
      <c r="O19" s="1150"/>
      <c r="P19" s="1150"/>
      <c r="Q19" s="1159"/>
      <c r="R19" s="1159"/>
      <c r="S19" s="640"/>
      <c r="AL19" s="444"/>
      <c r="AM19" s="444"/>
      <c r="AN19" s="444"/>
      <c r="AO19" s="444"/>
      <c r="AP19" s="444"/>
      <c r="AQ19" s="961">
        <v>0</v>
      </c>
    </row>
    <row r="20" spans="1:43" s="1154" customFormat="1" ht="12" hidden="1" customHeight="1">
      <c r="L20" s="1235"/>
      <c r="M20" s="1150"/>
      <c r="N20" s="1150"/>
      <c r="O20" s="1152" t="s">
        <v>502</v>
      </c>
      <c r="P20" s="1150"/>
      <c r="Q20" s="1230"/>
      <c r="R20" s="1230"/>
      <c r="S20" s="640"/>
      <c r="T20" s="961" t="s">
        <v>503</v>
      </c>
      <c r="Z20" s="120" t="s">
        <v>504</v>
      </c>
      <c r="AB20" s="120" t="s">
        <v>505</v>
      </c>
      <c r="AC20" s="961" t="s">
        <v>503</v>
      </c>
      <c r="AG20" s="120" t="s">
        <v>506</v>
      </c>
      <c r="AI20" s="120" t="s">
        <v>505</v>
      </c>
      <c r="AQ20" s="961">
        <v>0</v>
      </c>
    </row>
    <row r="21" spans="1:43" ht="14.25" hidden="1" customHeight="1">
      <c r="O21" s="1152"/>
      <c r="AQ21" s="956">
        <v>0</v>
      </c>
    </row>
    <row r="22" spans="1:43" ht="14.25" hidden="1" customHeight="1">
      <c r="O22" s="1152"/>
      <c r="AQ22" s="956">
        <v>0</v>
      </c>
    </row>
    <row r="23" spans="1:43" ht="14.65" customHeight="1">
      <c r="Q23" s="309"/>
      <c r="R23" s="309"/>
      <c r="S23" s="1063"/>
      <c r="T23" s="296"/>
      <c r="U23" s="296"/>
      <c r="V23" s="442"/>
      <c r="W23" s="442"/>
      <c r="X23" s="442"/>
      <c r="Y23" s="442"/>
      <c r="Z23" s="442"/>
      <c r="AA23" s="442"/>
      <c r="AB23" s="442"/>
      <c r="AC23" s="442"/>
      <c r="AD23" s="442"/>
      <c r="AE23" s="442"/>
      <c r="AF23" s="442"/>
      <c r="AG23" s="442"/>
      <c r="AH23" s="442"/>
      <c r="AI23" s="442"/>
      <c r="AQ23" s="956">
        <v>14</v>
      </c>
    </row>
    <row r="24" spans="1:43" ht="14.65" customHeight="1">
      <c r="Q24" s="309"/>
      <c r="R24" s="309"/>
      <c r="S24" s="23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76"/>
      <c r="U24" s="2376"/>
      <c r="V24" s="2376"/>
      <c r="W24" s="2376"/>
      <c r="X24" s="2376"/>
      <c r="Y24" s="2376"/>
      <c r="Z24" s="2376"/>
      <c r="AA24" s="2376"/>
      <c r="AB24" s="2376"/>
      <c r="AC24" s="2376"/>
      <c r="AD24" s="2376"/>
      <c r="AE24" s="2376"/>
      <c r="AF24" s="2376"/>
      <c r="AG24" s="2376"/>
      <c r="AH24" s="2376"/>
      <c r="AI24" s="1031"/>
      <c r="AQ24" s="956">
        <v>14</v>
      </c>
    </row>
    <row r="25" spans="1:43" ht="14.65" customHeight="1">
      <c r="Q25" s="309"/>
      <c r="R25" s="309"/>
      <c r="S25" s="2349" t="str">
        <f>IF(org=0,"Не определено",org)</f>
        <v>ООО "Смоленскрегионтеплоэнерго"</v>
      </c>
      <c r="T25" s="2349"/>
      <c r="U25" s="2349"/>
      <c r="V25" s="2349"/>
      <c r="W25" s="2349"/>
      <c r="X25" s="2349"/>
      <c r="Y25" s="2349"/>
      <c r="Z25" s="2349"/>
      <c r="AA25" s="2349"/>
      <c r="AB25" s="2349"/>
      <c r="AC25" s="2349"/>
      <c r="AD25" s="2349"/>
      <c r="AE25" s="2349"/>
      <c r="AF25" s="2349"/>
      <c r="AG25" s="2349"/>
      <c r="AH25" s="2349"/>
      <c r="AI25" s="1031"/>
      <c r="AQ25" s="956">
        <v>14</v>
      </c>
    </row>
    <row r="26" spans="1:43" ht="14.25" hidden="1" customHeight="1">
      <c r="Q26" s="309"/>
      <c r="R26" s="309"/>
      <c r="S26" s="1063"/>
      <c r="T26" s="296"/>
      <c r="U26" s="296"/>
      <c r="V26" s="256"/>
      <c r="W26" s="256"/>
      <c r="X26" s="256"/>
      <c r="Y26" s="256"/>
      <c r="Z26" s="256"/>
      <c r="AA26" s="256"/>
      <c r="AB26" s="256"/>
      <c r="AC26" s="256"/>
      <c r="AD26" s="256"/>
      <c r="AE26" s="256"/>
      <c r="AF26" s="256"/>
      <c r="AG26" s="256"/>
      <c r="AH26" s="256"/>
      <c r="AI26" s="256"/>
      <c r="AJ26" s="442"/>
      <c r="AQ26" s="956">
        <v>0</v>
      </c>
    </row>
    <row r="27" spans="1:43" s="1609" customFormat="1" ht="25.5" hidden="1" customHeight="1">
      <c r="A27" s="1156"/>
      <c r="B27" s="1156"/>
      <c r="C27" s="1156"/>
      <c r="D27" s="1156"/>
      <c r="E27" s="1156"/>
      <c r="F27" s="1156"/>
      <c r="G27" s="1156"/>
      <c r="H27" s="1156"/>
      <c r="I27" s="1156"/>
      <c r="J27" s="1156"/>
      <c r="K27" s="1156"/>
      <c r="L27" s="1157"/>
      <c r="M27" s="1156"/>
      <c r="N27" s="1156"/>
      <c r="O27" s="1156"/>
      <c r="S27" s="2386" t="s">
        <v>28</v>
      </c>
      <c r="T27" s="2386"/>
      <c r="U27" s="1160"/>
      <c r="V27" s="2388" t="str">
        <f>IF(TITLE_NAME_OR_PR_CHANGE="",IF(TITLE_NAME_OR_PR="","",TITLE_NAME_OR_PR),TITLE_NAME_OR_PR_CHANGE)</f>
        <v/>
      </c>
      <c r="W27" s="2388"/>
      <c r="X27" s="2388"/>
      <c r="Y27" s="2388"/>
      <c r="Z27" s="2388"/>
      <c r="AA27" s="2388"/>
      <c r="AB27" s="260"/>
      <c r="AC27" s="2388" t="str">
        <f>IF(TITLE_NAME_OR_PR_CHANGE="",IF(TITLE_NAME_OR_PR="","",TITLE_NAME_OR_PR),TITLE_NAME_OR_PR_CHANGE)</f>
        <v/>
      </c>
      <c r="AD27" s="2388"/>
      <c r="AE27" s="2388"/>
      <c r="AF27" s="2388"/>
      <c r="AG27" s="2388"/>
      <c r="AH27" s="2388"/>
      <c r="AI27" s="260"/>
      <c r="AJ27" s="260"/>
      <c r="AK27" s="214"/>
      <c r="AL27" s="301"/>
      <c r="AM27" s="301"/>
      <c r="AN27" s="301"/>
      <c r="AO27" s="301"/>
      <c r="AP27" s="301"/>
      <c r="AQ27" s="351">
        <v>0</v>
      </c>
    </row>
    <row r="28" spans="1:43" s="1609" customFormat="1" ht="18.75" hidden="1" customHeight="1">
      <c r="A28" s="1156"/>
      <c r="B28" s="1156"/>
      <c r="C28" s="1156"/>
      <c r="D28" s="1156"/>
      <c r="E28" s="1156"/>
      <c r="F28" s="1156"/>
      <c r="G28" s="1156"/>
      <c r="H28" s="1156"/>
      <c r="I28" s="1156"/>
      <c r="J28" s="1156"/>
      <c r="K28" s="1156"/>
      <c r="L28" s="1157"/>
      <c r="M28" s="1156"/>
      <c r="N28" s="1156"/>
      <c r="O28" s="1156"/>
      <c r="S28" s="2386" t="s">
        <v>507</v>
      </c>
      <c r="T28" s="2386"/>
      <c r="U28" s="1160"/>
      <c r="V28" s="2387" t="str">
        <f>IF(TITLE_DATE_PR_CHANGE="",IF(TITLE_DATE_PR="","",TITLE_DATE_PR),TITLE_DATE_PR_CHANGE)</f>
        <v/>
      </c>
      <c r="W28" s="2387"/>
      <c r="X28" s="2387"/>
      <c r="Y28" s="2387"/>
      <c r="Z28" s="2387"/>
      <c r="AA28" s="2387"/>
      <c r="AB28" s="260"/>
      <c r="AC28" s="2387" t="str">
        <f>IF(TITLE_DATE_PR_CHANGE="",IF(TITLE_DATE_PR="","",TITLE_DATE_PR),TITLE_DATE_PR_CHANGE)</f>
        <v/>
      </c>
      <c r="AD28" s="2387"/>
      <c r="AE28" s="2387"/>
      <c r="AF28" s="2387"/>
      <c r="AG28" s="2387"/>
      <c r="AH28" s="2387"/>
      <c r="AI28" s="260"/>
      <c r="AJ28" s="260"/>
      <c r="AK28" s="214"/>
      <c r="AL28" s="301"/>
      <c r="AM28" s="301"/>
      <c r="AN28" s="301"/>
      <c r="AO28" s="301"/>
      <c r="AP28" s="301"/>
      <c r="AQ28" s="351">
        <v>0</v>
      </c>
    </row>
    <row r="29" spans="1:43" s="1609" customFormat="1" ht="18.75" hidden="1" customHeight="1">
      <c r="A29" s="1156"/>
      <c r="B29" s="1156"/>
      <c r="C29" s="1156"/>
      <c r="D29" s="1156"/>
      <c r="E29" s="1156"/>
      <c r="F29" s="1156"/>
      <c r="G29" s="1156"/>
      <c r="H29" s="1156"/>
      <c r="I29" s="1156"/>
      <c r="J29" s="1156"/>
      <c r="K29" s="1156"/>
      <c r="L29" s="1157"/>
      <c r="M29" s="1156"/>
      <c r="N29" s="1156"/>
      <c r="O29" s="1156"/>
      <c r="S29" s="2386" t="s">
        <v>508</v>
      </c>
      <c r="T29" s="2386"/>
      <c r="U29" s="1160"/>
      <c r="V29" s="2388" t="str">
        <f>IF(TITLE_NUMBER_PR_CHANGE="",IF(TITLE_NUMBER_PR="","",TITLE_NUMBER_PR),TITLE_NUMBER_PR_CHANGE)</f>
        <v/>
      </c>
      <c r="W29" s="2388"/>
      <c r="X29" s="2388"/>
      <c r="Y29" s="2388"/>
      <c r="Z29" s="2388"/>
      <c r="AA29" s="2388"/>
      <c r="AB29" s="260"/>
      <c r="AC29" s="2388" t="str">
        <f>IF(TITLE_NUMBER_PR_CHANGE="",IF(TITLE_NUMBER_PR="","",TITLE_NUMBER_PR),TITLE_NUMBER_PR_CHANGE)</f>
        <v/>
      </c>
      <c r="AD29" s="2388"/>
      <c r="AE29" s="2388"/>
      <c r="AF29" s="2388"/>
      <c r="AG29" s="2388"/>
      <c r="AH29" s="2388"/>
      <c r="AI29" s="260"/>
      <c r="AJ29" s="260"/>
      <c r="AK29" s="214"/>
      <c r="AL29" s="301"/>
      <c r="AM29" s="301"/>
      <c r="AN29" s="301"/>
      <c r="AO29" s="301"/>
      <c r="AP29" s="301"/>
      <c r="AQ29" s="351">
        <v>0</v>
      </c>
    </row>
    <row r="30" spans="1:43" s="1609" customFormat="1" ht="18.75" hidden="1" customHeight="1">
      <c r="A30" s="1156"/>
      <c r="B30" s="1156"/>
      <c r="C30" s="1156"/>
      <c r="D30" s="1156"/>
      <c r="E30" s="1156"/>
      <c r="F30" s="1156"/>
      <c r="G30" s="1156"/>
      <c r="H30" s="1156"/>
      <c r="I30" s="1156"/>
      <c r="J30" s="1156"/>
      <c r="K30" s="1156"/>
      <c r="L30" s="1157"/>
      <c r="M30" s="1156"/>
      <c r="N30" s="1156"/>
      <c r="O30" s="1156"/>
      <c r="S30" s="2386" t="s">
        <v>29</v>
      </c>
      <c r="T30" s="2386"/>
      <c r="U30" s="1160"/>
      <c r="V30" s="2388" t="str">
        <f>IF(TITLE_IST_PUB_CHANGE="",IF(TITLE_IST_PUB="","",TITLE_IST_PUB),TITLE_IST_PUB_CHANGE)</f>
        <v/>
      </c>
      <c r="W30" s="2388"/>
      <c r="X30" s="2388"/>
      <c r="Y30" s="2388"/>
      <c r="Z30" s="2388"/>
      <c r="AA30" s="2388"/>
      <c r="AB30" s="260"/>
      <c r="AC30" s="2388" t="str">
        <f>IF(TITLE_IST_PUB_CHANGE="",IF(TITLE_IST_PUB="","",TITLE_IST_PUB),TITLE_IST_PUB_CHANGE)</f>
        <v/>
      </c>
      <c r="AD30" s="2388"/>
      <c r="AE30" s="2388"/>
      <c r="AF30" s="2388"/>
      <c r="AG30" s="2388"/>
      <c r="AH30" s="2388"/>
      <c r="AI30" s="260"/>
      <c r="AJ30" s="260"/>
      <c r="AK30" s="214"/>
      <c r="AL30" s="301"/>
      <c r="AM30" s="301"/>
      <c r="AN30" s="301"/>
      <c r="AO30" s="301"/>
      <c r="AP30" s="301"/>
      <c r="AQ30" s="351">
        <v>0</v>
      </c>
    </row>
    <row r="31" spans="1:43" ht="14.25" hidden="1" customHeight="1">
      <c r="Q31" s="309"/>
      <c r="R31" s="309"/>
      <c r="S31" s="1063"/>
      <c r="T31" s="296"/>
      <c r="U31" s="296"/>
      <c r="V31" s="256"/>
      <c r="W31" s="256"/>
      <c r="X31" s="256"/>
      <c r="Y31" s="256"/>
      <c r="Z31" s="256"/>
      <c r="AA31" s="256"/>
      <c r="AB31" s="256"/>
      <c r="AC31" s="256"/>
      <c r="AD31" s="256"/>
      <c r="AE31" s="256"/>
      <c r="AF31" s="256"/>
      <c r="AG31" s="256"/>
      <c r="AH31" s="256"/>
      <c r="AI31" s="256"/>
      <c r="AJ31" s="442"/>
      <c r="AQ31" s="956">
        <v>0</v>
      </c>
    </row>
    <row r="32" spans="1:43" s="1609" customFormat="1" ht="18.75" hidden="1" customHeight="1">
      <c r="A32" s="1156"/>
      <c r="B32" s="1156"/>
      <c r="C32" s="1156"/>
      <c r="D32" s="1156"/>
      <c r="E32" s="1156"/>
      <c r="F32" s="1156"/>
      <c r="G32" s="1156"/>
      <c r="H32" s="1156"/>
      <c r="I32" s="1156"/>
      <c r="J32" s="1156"/>
      <c r="K32" s="1156"/>
      <c r="L32" s="1157"/>
      <c r="M32" s="1156"/>
      <c r="N32" s="1156"/>
      <c r="O32" s="1156"/>
      <c r="S32" s="2386" t="s">
        <v>509</v>
      </c>
      <c r="T32" s="2386"/>
      <c r="U32" s="1160"/>
      <c r="V32" s="2387" t="str">
        <f>IF(TITLE_DATE_PR_CHANGE="",IF(TITLE_DATE_PR="","",TITLE_DATE_PR),TITLE_DATE_PR_CHANGE)</f>
        <v/>
      </c>
      <c r="W32" s="2387"/>
      <c r="X32" s="2387"/>
      <c r="Y32" s="2387"/>
      <c r="Z32" s="2387"/>
      <c r="AA32" s="2387"/>
      <c r="AB32" s="260"/>
      <c r="AC32" s="2387" t="str">
        <f>IF(TITLE_DATE_PR_CHANGE="",IF(TITLE_DATE_PR="","",TITLE_DATE_PR),TITLE_DATE_PR_CHANGE)</f>
        <v/>
      </c>
      <c r="AD32" s="2387"/>
      <c r="AE32" s="2387"/>
      <c r="AF32" s="2387"/>
      <c r="AG32" s="2387"/>
      <c r="AH32" s="2387"/>
      <c r="AI32" s="260"/>
      <c r="AJ32" s="260"/>
      <c r="AK32" s="214"/>
      <c r="AL32" s="301"/>
      <c r="AM32" s="301"/>
      <c r="AN32" s="301"/>
      <c r="AO32" s="301"/>
      <c r="AP32" s="301"/>
      <c r="AQ32" s="351">
        <v>0</v>
      </c>
    </row>
    <row r="33" spans="1:43" s="1609" customFormat="1" ht="18.75" hidden="1" customHeight="1">
      <c r="A33" s="1156"/>
      <c r="B33" s="1156"/>
      <c r="C33" s="1156"/>
      <c r="D33" s="1156"/>
      <c r="E33" s="1156"/>
      <c r="F33" s="1156"/>
      <c r="G33" s="1156"/>
      <c r="H33" s="1156"/>
      <c r="I33" s="1156"/>
      <c r="J33" s="1156"/>
      <c r="K33" s="1156"/>
      <c r="L33" s="1157"/>
      <c r="M33" s="1156"/>
      <c r="N33" s="1156"/>
      <c r="O33" s="1156"/>
      <c r="S33" s="2386" t="s">
        <v>510</v>
      </c>
      <c r="T33" s="2386"/>
      <c r="U33" s="1160"/>
      <c r="V33" s="2388" t="str">
        <f>IF(TITLE_NUMBER_PR_CHANGE="",IF(TITLE_NUMBER_PR="","",TITLE_NUMBER_PR),TITLE_NUMBER_PR_CHANGE)</f>
        <v/>
      </c>
      <c r="W33" s="2388"/>
      <c r="X33" s="2388"/>
      <c r="Y33" s="2388"/>
      <c r="Z33" s="2388"/>
      <c r="AA33" s="2388"/>
      <c r="AB33" s="260"/>
      <c r="AC33" s="2388" t="str">
        <f>IF(TITLE_NUMBER_PR_CHANGE="",IF(TITLE_NUMBER_PR="","",TITLE_NUMBER_PR),TITLE_NUMBER_PR_CHANGE)</f>
        <v/>
      </c>
      <c r="AD33" s="2388"/>
      <c r="AE33" s="2388"/>
      <c r="AF33" s="2388"/>
      <c r="AG33" s="2388"/>
      <c r="AH33" s="2388"/>
      <c r="AI33" s="260"/>
      <c r="AJ33" s="260"/>
      <c r="AK33" s="214"/>
      <c r="AL33" s="301"/>
      <c r="AM33" s="301"/>
      <c r="AN33" s="301"/>
      <c r="AO33" s="301"/>
      <c r="AP33" s="301"/>
      <c r="AQ33" s="351">
        <v>0</v>
      </c>
    </row>
    <row r="34" spans="1:43" s="1609" customFormat="1" ht="1.1499999999999999" customHeight="1">
      <c r="A34" s="1156"/>
      <c r="B34" s="1156"/>
      <c r="C34" s="1156"/>
      <c r="D34" s="1156"/>
      <c r="E34" s="1156"/>
      <c r="F34" s="1156"/>
      <c r="G34" s="1156"/>
      <c r="H34" s="1156"/>
      <c r="I34" s="1156"/>
      <c r="J34" s="1156"/>
      <c r="K34" s="1156"/>
      <c r="L34" s="1157"/>
      <c r="M34" s="1156"/>
      <c r="N34" s="1156"/>
      <c r="O34" s="1156"/>
      <c r="S34" s="257"/>
      <c r="T34" s="257"/>
      <c r="U34" s="1242"/>
      <c r="V34" s="260"/>
      <c r="W34" s="260"/>
      <c r="X34" s="260"/>
      <c r="Y34" s="260"/>
      <c r="Z34" s="260"/>
      <c r="AA34" s="260"/>
      <c r="AB34" s="212" t="s">
        <v>511</v>
      </c>
      <c r="AC34" s="260"/>
      <c r="AD34" s="260"/>
      <c r="AE34" s="260"/>
      <c r="AF34" s="260"/>
      <c r="AG34" s="260"/>
      <c r="AH34" s="260"/>
      <c r="AI34" s="212" t="s">
        <v>511</v>
      </c>
      <c r="AL34" s="301"/>
      <c r="AM34" s="301"/>
      <c r="AN34" s="301"/>
      <c r="AO34" s="301"/>
      <c r="AP34" s="301"/>
      <c r="AQ34" s="351">
        <v>1</v>
      </c>
    </row>
    <row r="35" spans="1:43" ht="14.65" customHeight="1">
      <c r="Q35" s="309"/>
      <c r="R35" s="309"/>
      <c r="S35" s="1063"/>
      <c r="T35" s="296"/>
      <c r="U35" s="1032"/>
      <c r="V35" s="2407"/>
      <c r="W35" s="2407"/>
      <c r="X35" s="2407"/>
      <c r="Y35" s="2407"/>
      <c r="Z35" s="2407"/>
      <c r="AA35" s="2407"/>
      <c r="AB35" s="2407"/>
      <c r="AC35" s="2407"/>
      <c r="AD35" s="2407"/>
      <c r="AE35" s="2407"/>
      <c r="AF35" s="2407"/>
      <c r="AG35" s="2407"/>
      <c r="AH35" s="2407"/>
      <c r="AI35" s="2407"/>
      <c r="AQ35" s="956">
        <v>14</v>
      </c>
    </row>
    <row r="36" spans="1:43" ht="14.65" customHeight="1">
      <c r="Q36" s="309"/>
      <c r="R36" s="309"/>
      <c r="S36" s="2266" t="s">
        <v>384</v>
      </c>
      <c r="T36" s="2266"/>
      <c r="U36" s="2266"/>
      <c r="V36" s="2266"/>
      <c r="W36" s="2266"/>
      <c r="X36" s="2266"/>
      <c r="Y36" s="2266"/>
      <c r="Z36" s="2266"/>
      <c r="AA36" s="2266"/>
      <c r="AB36" s="2266"/>
      <c r="AC36" s="2266"/>
      <c r="AD36" s="2266"/>
      <c r="AE36" s="2266"/>
      <c r="AF36" s="2266"/>
      <c r="AG36" s="2266"/>
      <c r="AH36" s="2266"/>
      <c r="AI36" s="2266"/>
      <c r="AJ36" s="2266"/>
      <c r="AK36" s="2266" t="s">
        <v>385</v>
      </c>
      <c r="AQ36" s="956">
        <v>14</v>
      </c>
    </row>
    <row r="37" spans="1:43" ht="14.65" customHeight="1">
      <c r="Q37" s="309"/>
      <c r="R37" s="309"/>
      <c r="S37" s="2408" t="s">
        <v>75</v>
      </c>
      <c r="T37" s="2357" t="s">
        <v>512</v>
      </c>
      <c r="U37" s="235"/>
      <c r="V37" s="2409" t="s">
        <v>513</v>
      </c>
      <c r="W37" s="2410"/>
      <c r="X37" s="2410"/>
      <c r="Y37" s="2410"/>
      <c r="Z37" s="2410"/>
      <c r="AA37" s="2411"/>
      <c r="AB37" s="2412" t="s">
        <v>514</v>
      </c>
      <c r="AC37" s="2409" t="s">
        <v>513</v>
      </c>
      <c r="AD37" s="2410"/>
      <c r="AE37" s="2410"/>
      <c r="AF37" s="2410"/>
      <c r="AG37" s="2410"/>
      <c r="AH37" s="2411"/>
      <c r="AI37" s="2412" t="s">
        <v>515</v>
      </c>
      <c r="AJ37" s="2415" t="s">
        <v>516</v>
      </c>
      <c r="AK37" s="2266"/>
      <c r="AQ37" s="956">
        <v>14</v>
      </c>
    </row>
    <row r="38" spans="1:43" ht="35.65" customHeight="1">
      <c r="Q38" s="309"/>
      <c r="R38" s="309"/>
      <c r="S38" s="2408"/>
      <c r="T38" s="2357"/>
      <c r="U38" s="874"/>
      <c r="V38" s="1240" t="s">
        <v>573</v>
      </c>
      <c r="W38" s="2247" t="s">
        <v>519</v>
      </c>
      <c r="X38" s="2246"/>
      <c r="Y38" s="2247" t="s">
        <v>520</v>
      </c>
      <c r="Z38" s="2252"/>
      <c r="AA38" s="2246"/>
      <c r="AB38" s="2413"/>
      <c r="AC38" s="1240" t="s">
        <v>573</v>
      </c>
      <c r="AD38" s="2247" t="s">
        <v>519</v>
      </c>
      <c r="AE38" s="2246"/>
      <c r="AF38" s="2247" t="s">
        <v>520</v>
      </c>
      <c r="AG38" s="2252"/>
      <c r="AH38" s="2246"/>
      <c r="AI38" s="2413"/>
      <c r="AJ38" s="2416"/>
      <c r="AK38" s="2266"/>
      <c r="AQ38" s="956">
        <v>34</v>
      </c>
    </row>
    <row r="39" spans="1:43" ht="35.65" customHeight="1">
      <c r="A39" s="1158"/>
      <c r="B39" s="1158" t="s">
        <v>226</v>
      </c>
      <c r="C39" s="1158" t="s">
        <v>227</v>
      </c>
      <c r="D39" s="1158" t="s">
        <v>228</v>
      </c>
      <c r="E39" s="1152" t="s">
        <v>521</v>
      </c>
      <c r="F39" s="1152" t="s">
        <v>522</v>
      </c>
      <c r="G39" s="1152" t="s">
        <v>523</v>
      </c>
      <c r="H39" s="1152"/>
      <c r="I39" s="1152" t="s">
        <v>574</v>
      </c>
      <c r="J39" s="1152" t="s">
        <v>526</v>
      </c>
      <c r="K39" s="1152" t="s">
        <v>575</v>
      </c>
      <c r="L39" s="1152" t="s">
        <v>502</v>
      </c>
      <c r="Q39" s="309"/>
      <c r="R39" s="309"/>
      <c r="S39" s="2408"/>
      <c r="T39" s="2357"/>
      <c r="U39" s="236"/>
      <c r="V39" s="1240" t="s">
        <v>576</v>
      </c>
      <c r="W39" s="1010" t="s">
        <v>577</v>
      </c>
      <c r="X39" s="1010" t="s">
        <v>578</v>
      </c>
      <c r="Y39" s="1243" t="s">
        <v>530</v>
      </c>
      <c r="Z39" s="2362" t="s">
        <v>531</v>
      </c>
      <c r="AA39" s="2375"/>
      <c r="AB39" s="2414"/>
      <c r="AC39" s="1240" t="s">
        <v>576</v>
      </c>
      <c r="AD39" s="1010" t="s">
        <v>577</v>
      </c>
      <c r="AE39" s="1010" t="s">
        <v>578</v>
      </c>
      <c r="AF39" s="1243" t="s">
        <v>530</v>
      </c>
      <c r="AG39" s="2362" t="s">
        <v>531</v>
      </c>
      <c r="AH39" s="2375"/>
      <c r="AI39" s="2414"/>
      <c r="AJ39" s="2417"/>
      <c r="AK39" s="2266"/>
      <c r="AQ39" s="956">
        <v>34</v>
      </c>
    </row>
    <row r="40" spans="1:43" s="1429" customFormat="1" ht="0" hidden="1" customHeight="1">
      <c r="A40" s="1158"/>
      <c r="B40" s="1158"/>
      <c r="C40" s="1158"/>
      <c r="D40" s="1158"/>
      <c r="E40" s="1158"/>
      <c r="F40" s="1158"/>
      <c r="G40" s="1158"/>
      <c r="H40" s="1158"/>
      <c r="I40" s="1158"/>
      <c r="J40" s="1158"/>
      <c r="K40" s="1158"/>
      <c r="L40" s="1152"/>
      <c r="M40" s="1150"/>
      <c r="N40" s="1150"/>
      <c r="O40" s="1150"/>
      <c r="P40" s="1034"/>
      <c r="Q40" s="1035"/>
      <c r="R40" s="1042">
        <v>1</v>
      </c>
      <c r="S40" s="1065" t="s">
        <v>161</v>
      </c>
      <c r="T40" s="1043" t="s">
        <v>89</v>
      </c>
      <c r="U40" s="1033" t="str">
        <f ca="1">OFFSET(U40,0,-1)</f>
        <v>2</v>
      </c>
      <c r="V40" s="1239">
        <f ca="1">OFFSET(V40,0,-1)+1</f>
        <v>3</v>
      </c>
      <c r="W40" s="1239">
        <f ca="1">OFFSET(W40,0,-1)+1</f>
        <v>4</v>
      </c>
      <c r="X40" s="1239">
        <f ca="1">OFFSET(X40,0,-1)+1</f>
        <v>5</v>
      </c>
      <c r="Y40" s="1239">
        <f ca="1">OFFSET(Y40,0,-1)+1</f>
        <v>6</v>
      </c>
      <c r="Z40" s="2406">
        <f ca="1">OFFSET(Z40,0,-1)+1</f>
        <v>7</v>
      </c>
      <c r="AA40" s="2406"/>
      <c r="AB40" s="1239">
        <f ca="1">OFFSET(AB40,0,-2)+1</f>
        <v>8</v>
      </c>
      <c r="AC40" s="1239">
        <f ca="1">OFFSET(AC40,0,-1)+1</f>
        <v>9</v>
      </c>
      <c r="AD40" s="1239">
        <f ca="1">OFFSET(AD40,0,-1)+1</f>
        <v>10</v>
      </c>
      <c r="AE40" s="1239">
        <f ca="1">OFFSET(AE40,0,-1)+1</f>
        <v>11</v>
      </c>
      <c r="AF40" s="1239">
        <f ca="1">OFFSET(AF40,0,-1)+1</f>
        <v>12</v>
      </c>
      <c r="AG40" s="2406">
        <f ca="1">OFFSET(AG40,0,-1)+1</f>
        <v>13</v>
      </c>
      <c r="AH40" s="2406"/>
      <c r="AI40" s="1239">
        <f ca="1">OFFSET(AI40,0,-2)+1</f>
        <v>14</v>
      </c>
      <c r="AJ40" s="1033">
        <f ca="1">OFFSET(AJ40,0,-1)</f>
        <v>14</v>
      </c>
      <c r="AK40" s="1239">
        <f ca="1">OFFSET(AK40,0,-1)+1</f>
        <v>15</v>
      </c>
      <c r="AL40" s="444"/>
      <c r="AM40" s="444"/>
      <c r="AN40" s="444"/>
      <c r="AO40" s="444"/>
      <c r="AP40" s="444"/>
      <c r="AQ40" s="429">
        <v>0</v>
      </c>
    </row>
    <row r="41" spans="1:43" ht="24" customHeight="1">
      <c r="A41" s="1151" t="s">
        <v>325</v>
      </c>
      <c r="B41" s="1151"/>
      <c r="C41" s="1151"/>
      <c r="D41" s="1151"/>
      <c r="E41" s="2395">
        <v>1</v>
      </c>
      <c r="F41" s="1151"/>
      <c r="G41" s="1151"/>
      <c r="H41" s="1151"/>
      <c r="I41" s="1151"/>
      <c r="J41" s="1151"/>
      <c r="K41" s="1151"/>
      <c r="L41" s="1152"/>
      <c r="M41" s="1153"/>
      <c r="N41" s="1153"/>
      <c r="O41" s="1153"/>
      <c r="P41" s="294"/>
      <c r="Q41" s="293"/>
      <c r="R41" s="288"/>
      <c r="S41" s="1245">
        <f>INDEX(PT_DIFFERENTIATION_NUM_NTAR,MATCH(A41,PT_DIFFERENTIATION_NTAR_ID,0))</f>
        <v>0</v>
      </c>
      <c r="T41" s="232" t="s">
        <v>214</v>
      </c>
      <c r="U41" s="234"/>
      <c r="V41" s="2389"/>
      <c r="W41" s="2390"/>
      <c r="X41" s="2390"/>
      <c r="Y41" s="2390"/>
      <c r="Z41" s="2390"/>
      <c r="AA41" s="2390"/>
      <c r="AB41" s="2391"/>
      <c r="AC41" s="2389" t="str">
        <f>INDEX(PT_DIFFERENTIATION_NTAR,MATCH(A41,PT_DIFFERENTIATION_NTAR_ID,0))</f>
        <v/>
      </c>
      <c r="AD41" s="2390"/>
      <c r="AE41" s="2390"/>
      <c r="AF41" s="2390"/>
      <c r="AG41" s="2390"/>
      <c r="AH41" s="2390"/>
      <c r="AI41" s="2390"/>
      <c r="AJ41" s="2391"/>
      <c r="AK41" s="104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956">
        <v>23</v>
      </c>
    </row>
    <row r="42" spans="1:43" ht="24" customHeight="1">
      <c r="A42" s="1151" t="s">
        <v>325</v>
      </c>
      <c r="B42" s="1151" t="s">
        <v>326</v>
      </c>
      <c r="C42" s="1151"/>
      <c r="D42" s="1151"/>
      <c r="E42" s="2396"/>
      <c r="F42" s="2395">
        <v>1</v>
      </c>
      <c r="G42" s="1151"/>
      <c r="H42" s="1151"/>
      <c r="I42" s="1151"/>
      <c r="J42" s="1151"/>
      <c r="K42" s="1151"/>
      <c r="L42" s="1152"/>
      <c r="M42" s="1153"/>
      <c r="N42" s="1153"/>
      <c r="O42" s="1153"/>
      <c r="P42" s="1241"/>
      <c r="Q42" s="285"/>
      <c r="R42" s="286"/>
      <c r="S42" s="1245" t="str">
        <f>INDEX(PT_DIFFERENTIATION_NUM_TER,MATCH(B42,PT_DIFFERENTIATION_TER_ID,0))</f>
        <v>.</v>
      </c>
      <c r="T42" s="242" t="s">
        <v>481</v>
      </c>
      <c r="U42" s="234"/>
      <c r="V42" s="2389"/>
      <c r="W42" s="2390"/>
      <c r="X42" s="2390"/>
      <c r="Y42" s="2390"/>
      <c r="Z42" s="2390"/>
      <c r="AA42" s="2390"/>
      <c r="AB42" s="2391"/>
      <c r="AC42" s="2389" t="str">
        <f>INDEX(PT_DIFFERENTIATION_TER,MATCH(B42,PT_DIFFERENTIATION_TER_ID,0))</f>
        <v/>
      </c>
      <c r="AD42" s="2390"/>
      <c r="AE42" s="2390"/>
      <c r="AF42" s="2390"/>
      <c r="AG42" s="2390"/>
      <c r="AH42" s="2390"/>
      <c r="AI42" s="2390"/>
      <c r="AJ42" s="2391"/>
      <c r="AK42" s="1046" t="s">
        <v>482</v>
      </c>
      <c r="AM42" s="433"/>
      <c r="AN42" s="433" t="str">
        <f t="shared" si="1"/>
        <v>Территория действия тарифа</v>
      </c>
      <c r="AO42" s="433"/>
      <c r="AP42" s="433"/>
      <c r="AQ42" s="956">
        <v>23</v>
      </c>
    </row>
    <row r="43" spans="1:43" ht="24" customHeight="1">
      <c r="A43" s="1151" t="s">
        <v>325</v>
      </c>
      <c r="B43" s="1151" t="s">
        <v>326</v>
      </c>
      <c r="C43" s="1151" t="s">
        <v>327</v>
      </c>
      <c r="D43" s="1151"/>
      <c r="E43" s="2396"/>
      <c r="F43" s="2396"/>
      <c r="G43" s="2395">
        <v>1</v>
      </c>
      <c r="H43" s="1151"/>
      <c r="I43" s="1151"/>
      <c r="J43" s="1151"/>
      <c r="K43" s="1151"/>
      <c r="L43" s="1152"/>
      <c r="M43" s="1153"/>
      <c r="N43" s="1153"/>
      <c r="O43" s="1153"/>
      <c r="P43" s="287"/>
      <c r="Q43" s="285"/>
      <c r="R43" s="286"/>
      <c r="S43" s="1245" t="str">
        <f>INDEX(PT_DIFFERENTIATION_NUM_CS,MATCH(C43,PT_DIFFERENTIATION_CS_ID,0))</f>
        <v>..</v>
      </c>
      <c r="T43" s="243" t="s">
        <v>565</v>
      </c>
      <c r="U43" s="234"/>
      <c r="V43" s="2389"/>
      <c r="W43" s="2390"/>
      <c r="X43" s="2390"/>
      <c r="Y43" s="2390"/>
      <c r="Z43" s="2390"/>
      <c r="AA43" s="2390"/>
      <c r="AB43" s="2391"/>
      <c r="AC43" s="2389" t="str">
        <f>INDEX(PT_DIFFERENTIATION_CS,MATCH(C43,PT_DIFFERENTIATION_CS_ID,0))</f>
        <v/>
      </c>
      <c r="AD43" s="2390"/>
      <c r="AE43" s="2390"/>
      <c r="AF43" s="2390"/>
      <c r="AG43" s="2390"/>
      <c r="AH43" s="2390"/>
      <c r="AI43" s="2390"/>
      <c r="AJ43" s="2391"/>
      <c r="AK43" s="1046" t="s">
        <v>566</v>
      </c>
      <c r="AM43" s="433"/>
      <c r="AN43" s="433" t="str">
        <f t="shared" si="1"/>
        <v>Наименование централизованной системы холодного водоснабжения</v>
      </c>
      <c r="AO43" s="433"/>
      <c r="AP43" s="433"/>
      <c r="AQ43" s="956">
        <v>23</v>
      </c>
    </row>
    <row r="44" spans="1:43" ht="24" customHeight="1">
      <c r="A44" s="1151" t="s">
        <v>325</v>
      </c>
      <c r="B44" s="1151" t="s">
        <v>326</v>
      </c>
      <c r="C44" s="1151" t="s">
        <v>327</v>
      </c>
      <c r="D44" s="1151" t="s">
        <v>582</v>
      </c>
      <c r="E44" s="2396"/>
      <c r="F44" s="2396"/>
      <c r="G44" s="2396"/>
      <c r="H44" s="2396"/>
      <c r="I44" s="2397" t="str">
        <f>S43&amp;".1"</f>
        <v>...1</v>
      </c>
      <c r="J44" s="1151"/>
      <c r="K44" s="1151"/>
      <c r="L44" s="1152"/>
      <c r="P44" s="2399">
        <v>1</v>
      </c>
      <c r="Q44" s="1238"/>
      <c r="R44" s="289"/>
      <c r="S44" s="1245" t="str">
        <f>$I44</f>
        <v>...1</v>
      </c>
      <c r="T44" s="219" t="s">
        <v>567</v>
      </c>
      <c r="U44" s="234"/>
      <c r="V44" s="2463"/>
      <c r="W44" s="2464"/>
      <c r="X44" s="2464"/>
      <c r="Y44" s="2464"/>
      <c r="Z44" s="2464"/>
      <c r="AA44" s="2464"/>
      <c r="AB44" s="2465"/>
      <c r="AC44" s="2466"/>
      <c r="AD44" s="2467"/>
      <c r="AE44" s="2467"/>
      <c r="AF44" s="2467"/>
      <c r="AG44" s="2467"/>
      <c r="AH44" s="2467"/>
      <c r="AI44" s="2467"/>
      <c r="AJ44" s="2468"/>
      <c r="AK44" s="1046" t="s">
        <v>568</v>
      </c>
      <c r="AM44" s="433"/>
      <c r="AN44" s="433" t="str">
        <f t="shared" si="1"/>
        <v>Наименование признака дифференциации</v>
      </c>
      <c r="AO44" s="433"/>
      <c r="AP44" s="433"/>
      <c r="AQ44" s="956">
        <v>23</v>
      </c>
    </row>
    <row r="45" spans="1:43" ht="24" customHeight="1">
      <c r="A45" s="1151" t="s">
        <v>325</v>
      </c>
      <c r="B45" s="1151" t="s">
        <v>326</v>
      </c>
      <c r="C45" s="1151" t="s">
        <v>327</v>
      </c>
      <c r="D45" s="1151" t="s">
        <v>582</v>
      </c>
      <c r="E45" s="2396"/>
      <c r="F45" s="2396"/>
      <c r="G45" s="2396"/>
      <c r="H45" s="2396"/>
      <c r="I45" s="2398"/>
      <c r="J45" s="2397" t="str">
        <f>I44&amp;".1"</f>
        <v>...1.1</v>
      </c>
      <c r="K45" s="1151"/>
      <c r="L45" s="1152" t="s">
        <v>490</v>
      </c>
      <c r="P45" s="2399"/>
      <c r="Q45" s="2399">
        <v>1</v>
      </c>
      <c r="R45" s="290"/>
      <c r="S45" s="1245" t="str">
        <f>$J45</f>
        <v>...1.1</v>
      </c>
      <c r="T45" s="220" t="s">
        <v>491</v>
      </c>
      <c r="U45" s="234"/>
      <c r="V45" s="2383"/>
      <c r="W45" s="2384"/>
      <c r="X45" s="2384"/>
      <c r="Y45" s="2384"/>
      <c r="Z45" s="2384"/>
      <c r="AA45" s="2384"/>
      <c r="AB45" s="2385"/>
      <c r="AC45" s="2383"/>
      <c r="AD45" s="2384"/>
      <c r="AE45" s="2384"/>
      <c r="AF45" s="2384"/>
      <c r="AG45" s="2384"/>
      <c r="AH45" s="2384"/>
      <c r="AI45" s="2384"/>
      <c r="AJ45" s="2385"/>
      <c r="AK45" s="1095" t="s">
        <v>569</v>
      </c>
      <c r="AM45" s="433"/>
      <c r="AN45" s="433" t="str">
        <f t="shared" si="1"/>
        <v>Группа потребителей</v>
      </c>
      <c r="AO45" s="433"/>
      <c r="AP45" s="433"/>
      <c r="AQ45" s="956">
        <v>23</v>
      </c>
    </row>
    <row r="46" spans="1:43" ht="24" customHeight="1">
      <c r="A46" s="1151" t="s">
        <v>325</v>
      </c>
      <c r="B46" s="1151" t="s">
        <v>326</v>
      </c>
      <c r="C46" s="1151" t="s">
        <v>327</v>
      </c>
      <c r="D46" s="1151" t="s">
        <v>582</v>
      </c>
      <c r="E46" s="2396"/>
      <c r="F46" s="2396"/>
      <c r="G46" s="2396"/>
      <c r="H46" s="2396"/>
      <c r="I46" s="2398"/>
      <c r="J46" s="2398"/>
      <c r="K46" s="2397" t="str">
        <f>J45&amp;".1"</f>
        <v>...1.1.1</v>
      </c>
      <c r="L46" s="1152"/>
      <c r="P46" s="2399"/>
      <c r="Q46" s="2399"/>
      <c r="R46" s="290">
        <v>1</v>
      </c>
      <c r="S46" s="1245" t="str">
        <f>$K46</f>
        <v>...1.1.1</v>
      </c>
      <c r="T46" s="1225"/>
      <c r="U46" s="234"/>
      <c r="V46" s="658"/>
      <c r="W46" s="658"/>
      <c r="X46" s="1045"/>
      <c r="Y46" s="2400"/>
      <c r="Z46" s="2276" t="s">
        <v>52</v>
      </c>
      <c r="AA46" s="2400"/>
      <c r="AB46" s="2276" t="s">
        <v>52</v>
      </c>
      <c r="AC46" s="658"/>
      <c r="AD46" s="658"/>
      <c r="AE46" s="1045"/>
      <c r="AF46" s="2400"/>
      <c r="AG46" s="2276" t="s">
        <v>52</v>
      </c>
      <c r="AH46" s="2402"/>
      <c r="AI46" s="2276" t="s">
        <v>52</v>
      </c>
      <c r="AJ46" s="1226"/>
      <c r="AK46" s="24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956">
        <v>23</v>
      </c>
    </row>
    <row r="47" spans="1:43" ht="0" hidden="1" customHeight="1">
      <c r="A47" s="1151" t="s">
        <v>325</v>
      </c>
      <c r="B47" s="1151" t="s">
        <v>326</v>
      </c>
      <c r="C47" s="1151" t="s">
        <v>327</v>
      </c>
      <c r="D47" s="1151" t="s">
        <v>582</v>
      </c>
      <c r="E47" s="2396"/>
      <c r="F47" s="2396"/>
      <c r="G47" s="2396"/>
      <c r="H47" s="2396"/>
      <c r="I47" s="2398"/>
      <c r="J47" s="2398"/>
      <c r="K47" s="2397"/>
      <c r="L47" s="1152"/>
      <c r="P47" s="2399"/>
      <c r="Q47" s="2399"/>
      <c r="R47" s="290"/>
      <c r="S47" s="1244"/>
      <c r="T47" s="234"/>
      <c r="U47" s="234"/>
      <c r="V47" s="259"/>
      <c r="W47" s="259"/>
      <c r="X47" s="262" t="str">
        <f>Y46&amp;"-"&amp;AA46</f>
        <v>-</v>
      </c>
      <c r="Y47" s="2401"/>
      <c r="Z47" s="2276"/>
      <c r="AA47" s="2401"/>
      <c r="AB47" s="2276"/>
      <c r="AC47" s="259"/>
      <c r="AD47" s="259"/>
      <c r="AE47" s="262" t="str">
        <f>AF46&amp;"-"&amp;AH46</f>
        <v>-</v>
      </c>
      <c r="AF47" s="2401"/>
      <c r="AG47" s="2276"/>
      <c r="AH47" s="2403"/>
      <c r="AI47" s="2276"/>
      <c r="AJ47" s="1227"/>
      <c r="AK47" s="2469"/>
      <c r="AM47" s="433"/>
      <c r="AN47" s="433" t="str">
        <f t="shared" si="1"/>
        <v/>
      </c>
      <c r="AO47" s="433"/>
      <c r="AP47" s="433"/>
      <c r="AQ47" s="956">
        <v>0</v>
      </c>
    </row>
    <row r="48" spans="1:43" ht="21" customHeight="1">
      <c r="A48" s="1151" t="s">
        <v>325</v>
      </c>
      <c r="B48" s="1151" t="s">
        <v>326</v>
      </c>
      <c r="C48" s="1151" t="s">
        <v>327</v>
      </c>
      <c r="D48" s="1151" t="s">
        <v>582</v>
      </c>
      <c r="E48" s="2396"/>
      <c r="F48" s="2396"/>
      <c r="G48" s="2396"/>
      <c r="H48" s="2396"/>
      <c r="I48" s="2398"/>
      <c r="J48" s="2397"/>
      <c r="K48" s="1151"/>
      <c r="L48" s="1152"/>
      <c r="P48" s="2399"/>
      <c r="Q48" s="2399"/>
      <c r="R48" s="289"/>
      <c r="S48" s="1066"/>
      <c r="T48" s="221" t="s">
        <v>570</v>
      </c>
      <c r="U48" s="300"/>
      <c r="V48" s="300"/>
      <c r="W48" s="300"/>
      <c r="X48" s="300"/>
      <c r="Y48" s="300"/>
      <c r="Z48" s="300"/>
      <c r="AA48" s="300"/>
      <c r="AB48" s="300"/>
      <c r="AC48" s="300"/>
      <c r="AD48" s="300"/>
      <c r="AE48" s="300"/>
      <c r="AF48" s="300"/>
      <c r="AG48" s="300"/>
      <c r="AH48" s="300"/>
      <c r="AI48" s="300"/>
      <c r="AJ48" s="300"/>
      <c r="AK48" s="1046" t="s">
        <v>571</v>
      </c>
      <c r="AM48" s="433"/>
      <c r="AN48" s="433" t="str">
        <f t="shared" si="1"/>
        <v>Добавить значение признака дифференциации</v>
      </c>
      <c r="AO48" s="433"/>
      <c r="AP48" s="433"/>
      <c r="AQ48" s="956">
        <v>20</v>
      </c>
    </row>
    <row r="49" spans="1:43" ht="21.95" customHeight="1">
      <c r="A49" s="1151" t="s">
        <v>325</v>
      </c>
      <c r="B49" s="1151" t="s">
        <v>326</v>
      </c>
      <c r="C49" s="1151" t="s">
        <v>327</v>
      </c>
      <c r="D49" s="1151" t="s">
        <v>582</v>
      </c>
      <c r="E49" s="2396"/>
      <c r="F49" s="2396"/>
      <c r="G49" s="2396"/>
      <c r="H49" s="2396"/>
      <c r="I49" s="2397"/>
      <c r="J49" s="1151"/>
      <c r="K49" s="1151"/>
      <c r="L49" s="1152"/>
      <c r="P49" s="2399"/>
      <c r="Q49" s="1238"/>
      <c r="R49" s="289"/>
      <c r="S49" s="1066"/>
      <c r="T49" s="298" t="s">
        <v>496</v>
      </c>
      <c r="U49" s="300"/>
      <c r="V49" s="300"/>
      <c r="W49" s="300"/>
      <c r="X49" s="300"/>
      <c r="Y49" s="300"/>
      <c r="Z49" s="300"/>
      <c r="AA49" s="300"/>
      <c r="AB49" s="299"/>
      <c r="AC49" s="300"/>
      <c r="AD49" s="300"/>
      <c r="AE49" s="300"/>
      <c r="AF49" s="300"/>
      <c r="AG49" s="300"/>
      <c r="AH49" s="300"/>
      <c r="AI49" s="299"/>
      <c r="AJ49" s="300"/>
      <c r="AK49" s="1228"/>
      <c r="AM49" s="433"/>
      <c r="AN49" s="433" t="str">
        <f t="shared" si="1"/>
        <v>Добавить группу потребителей</v>
      </c>
      <c r="AO49" s="433"/>
      <c r="AP49" s="433"/>
      <c r="AQ49" s="956">
        <v>21</v>
      </c>
    </row>
    <row r="50" spans="1:43" ht="21.95" customHeight="1">
      <c r="A50" s="1151" t="s">
        <v>325</v>
      </c>
      <c r="B50" s="1151" t="s">
        <v>326</v>
      </c>
      <c r="C50" s="1151" t="s">
        <v>327</v>
      </c>
      <c r="D50" s="1151" t="s">
        <v>582</v>
      </c>
      <c r="E50" s="2396"/>
      <c r="F50" s="2396"/>
      <c r="G50" s="2396"/>
      <c r="H50" s="2395"/>
      <c r="I50" s="1151"/>
      <c r="J50" s="1151"/>
      <c r="K50" s="1151"/>
      <c r="L50" s="1152"/>
      <c r="M50" s="1153"/>
      <c r="N50" s="1153"/>
      <c r="O50" s="469"/>
      <c r="P50" s="293"/>
      <c r="Q50" s="308"/>
      <c r="R50" s="288"/>
      <c r="S50" s="1066"/>
      <c r="T50" s="305" t="s">
        <v>572</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956">
        <v>21</v>
      </c>
    </row>
    <row r="51" spans="1:43" s="1430" customFormat="1" ht="0" hidden="1" customHeight="1">
      <c r="A51" s="1131" t="s">
        <v>325</v>
      </c>
      <c r="B51" s="1131" t="s">
        <v>326</v>
      </c>
      <c r="C51" s="1102"/>
      <c r="D51" s="1102"/>
      <c r="E51" s="2396"/>
      <c r="F51" s="2395"/>
      <c r="G51" s="1102"/>
      <c r="H51" s="1102"/>
      <c r="I51" s="1102"/>
      <c r="J51" s="1102"/>
      <c r="K51" s="1102"/>
      <c r="L51" s="1246"/>
      <c r="M51" s="1109"/>
      <c r="N51" s="1109"/>
      <c r="P51" s="1104"/>
      <c r="Q51" s="1105"/>
      <c r="R51" s="1104"/>
      <c r="S51" s="1110"/>
      <c r="T51" s="1113" t="s">
        <v>499</v>
      </c>
      <c r="U51" s="1112"/>
      <c r="V51" s="1112"/>
      <c r="W51" s="1112"/>
      <c r="X51" s="1112"/>
      <c r="Y51" s="1112"/>
      <c r="Z51" s="1112"/>
      <c r="AA51" s="1112"/>
      <c r="AB51" s="1112"/>
      <c r="AC51" s="1112"/>
      <c r="AD51" s="1112"/>
      <c r="AE51" s="1112"/>
      <c r="AF51" s="1112"/>
      <c r="AG51" s="1112"/>
      <c r="AH51" s="1112"/>
      <c r="AI51" s="1112"/>
      <c r="AJ51" s="1112"/>
      <c r="AK51" s="1112"/>
      <c r="AM51" s="688"/>
      <c r="AN51" s="688" t="str">
        <f t="shared" si="1"/>
        <v>Добавить централизованную систему для дифференциации</v>
      </c>
      <c r="AO51" s="688"/>
      <c r="AP51" s="688"/>
      <c r="AQ51" s="451">
        <v>0</v>
      </c>
    </row>
    <row r="52" spans="1:43" s="1430" customFormat="1" ht="0" hidden="1" customHeight="1">
      <c r="A52" s="1131" t="s">
        <v>325</v>
      </c>
      <c r="B52" s="1131"/>
      <c r="C52" s="1131"/>
      <c r="D52" s="1131"/>
      <c r="E52" s="2395"/>
      <c r="F52" s="1131"/>
      <c r="G52" s="1131"/>
      <c r="H52" s="1131"/>
      <c r="I52" s="1131"/>
      <c r="J52" s="1131"/>
      <c r="K52" s="1131"/>
      <c r="L52" s="1134"/>
      <c r="M52" s="1109"/>
      <c r="N52" s="1109"/>
      <c r="O52" s="451"/>
      <c r="P52" s="313"/>
      <c r="Q52" s="1132"/>
      <c r="R52" s="313"/>
      <c r="S52" s="1110"/>
      <c r="T52" s="1113" t="s">
        <v>500</v>
      </c>
      <c r="U52" s="1112"/>
      <c r="V52" s="1112"/>
      <c r="W52" s="1112"/>
      <c r="X52" s="1112"/>
      <c r="Y52" s="1112"/>
      <c r="Z52" s="1112"/>
      <c r="AA52" s="1112"/>
      <c r="AB52" s="1112"/>
      <c r="AC52" s="1112"/>
      <c r="AD52" s="1112"/>
      <c r="AE52" s="1112"/>
      <c r="AF52" s="1112"/>
      <c r="AG52" s="1112"/>
      <c r="AH52" s="1112"/>
      <c r="AI52" s="1112"/>
      <c r="AJ52" s="1112"/>
      <c r="AK52" s="1112"/>
      <c r="AM52" s="433"/>
      <c r="AN52" s="433" t="str">
        <f t="shared" si="1"/>
        <v>Добавить территорию для дифференциации</v>
      </c>
      <c r="AO52" s="433"/>
      <c r="AP52" s="433"/>
      <c r="AQ52" s="444">
        <v>0</v>
      </c>
    </row>
    <row r="53" spans="1:43" s="1430" customFormat="1" ht="0" hidden="1" customHeight="1">
      <c r="A53" s="1102"/>
      <c r="B53" s="1102"/>
      <c r="C53" s="1102"/>
      <c r="D53" s="1102"/>
      <c r="E53" s="1131"/>
      <c r="F53" s="1102"/>
      <c r="G53" s="1102"/>
      <c r="H53" s="1102"/>
      <c r="I53" s="1102"/>
      <c r="J53" s="1102"/>
      <c r="K53" s="1102"/>
      <c r="L53" s="1246"/>
      <c r="M53" s="1109"/>
      <c r="N53" s="1109"/>
      <c r="P53" s="1104"/>
      <c r="Q53" s="1105"/>
      <c r="R53" s="1104"/>
      <c r="S53" s="1110"/>
      <c r="T53" s="1113" t="s">
        <v>532</v>
      </c>
      <c r="U53" s="1112"/>
      <c r="V53" s="1112"/>
      <c r="W53" s="1112"/>
      <c r="X53" s="1112"/>
      <c r="Y53" s="1112"/>
      <c r="Z53" s="1112"/>
      <c r="AA53" s="1112"/>
      <c r="AB53" s="1112"/>
      <c r="AC53" s="1112"/>
      <c r="AD53" s="1112"/>
      <c r="AE53" s="1112"/>
      <c r="AF53" s="1112"/>
      <c r="AG53" s="1112"/>
      <c r="AH53" s="1112"/>
      <c r="AI53" s="1112"/>
      <c r="AJ53" s="1112"/>
      <c r="AK53" s="1112"/>
      <c r="AM53" s="688"/>
      <c r="AN53" s="688" t="str">
        <f t="shared" si="1"/>
        <v>Добавить наименование тарифа</v>
      </c>
      <c r="AO53" s="688"/>
      <c r="AP53" s="688"/>
      <c r="AQ53" s="451">
        <v>0</v>
      </c>
    </row>
    <row r="54" spans="1:43" ht="11.45" customHeight="1">
      <c r="M54" s="961"/>
      <c r="N54" s="961"/>
      <c r="O54" s="469"/>
      <c r="P54" s="956"/>
      <c r="Q54" s="956"/>
      <c r="R54" s="956"/>
      <c r="S54" s="956"/>
      <c r="AL54" s="956"/>
      <c r="AM54" s="956"/>
      <c r="AN54" s="956"/>
      <c r="AO54" s="956"/>
      <c r="AP54" s="956"/>
      <c r="AQ54" s="956">
        <v>11</v>
      </c>
    </row>
    <row r="55" spans="1:43" ht="14.65" customHeight="1">
      <c r="O55" s="469"/>
      <c r="S55" s="1041"/>
      <c r="T55" s="2394"/>
      <c r="U55" s="2394"/>
      <c r="V55" s="2394"/>
      <c r="W55" s="2394"/>
      <c r="X55" s="2394"/>
      <c r="Y55" s="2394"/>
      <c r="Z55" s="2394"/>
      <c r="AA55" s="2394"/>
      <c r="AB55" s="2394"/>
      <c r="AC55" s="2394"/>
      <c r="AD55" s="2394"/>
      <c r="AE55" s="2394"/>
      <c r="AF55" s="2394"/>
      <c r="AG55" s="2394"/>
      <c r="AH55" s="2394"/>
      <c r="AI55" s="2394"/>
      <c r="AJ55" s="2394"/>
      <c r="AK55" s="2394"/>
      <c r="AQ55" s="956">
        <v>14</v>
      </c>
    </row>
    <row r="56" spans="1:43" ht="14.65" customHeight="1">
      <c r="O56" s="469"/>
      <c r="AQ56" s="956">
        <v>14</v>
      </c>
    </row>
    <row r="57" spans="1:43" ht="14.65" customHeight="1">
      <c r="O57" s="469"/>
      <c r="S57" s="1041"/>
      <c r="T57" s="2394"/>
      <c r="U57" s="2394"/>
      <c r="V57" s="2394"/>
      <c r="W57" s="2394"/>
      <c r="X57" s="2394"/>
      <c r="Y57" s="2394"/>
      <c r="Z57" s="2394"/>
      <c r="AA57" s="2394"/>
      <c r="AB57" s="2394"/>
      <c r="AC57" s="2394"/>
      <c r="AD57" s="2394"/>
      <c r="AE57" s="2394"/>
      <c r="AF57" s="2394"/>
      <c r="AG57" s="2394"/>
      <c r="AH57" s="2394"/>
      <c r="AI57" s="2394"/>
      <c r="AJ57" s="2394"/>
      <c r="AK57" s="2394"/>
      <c r="AQ57" s="956">
        <v>14</v>
      </c>
    </row>
    <row r="58" spans="1:43" ht="22.5" hidden="1" customHeight="1">
      <c r="A58" s="961" t="s">
        <v>69</v>
      </c>
      <c r="B58" s="961">
        <v>0</v>
      </c>
      <c r="C58" s="961">
        <v>0</v>
      </c>
      <c r="D58" s="961">
        <v>0</v>
      </c>
      <c r="E58" s="961">
        <v>0</v>
      </c>
      <c r="F58" s="961">
        <v>0</v>
      </c>
      <c r="G58" s="961">
        <v>0</v>
      </c>
      <c r="H58" s="961">
        <v>0</v>
      </c>
      <c r="I58" s="961">
        <v>0</v>
      </c>
      <c r="J58" s="961">
        <v>0</v>
      </c>
      <c r="K58" s="961">
        <v>0</v>
      </c>
      <c r="L58" s="1235">
        <v>0</v>
      </c>
      <c r="M58" s="1150">
        <v>0</v>
      </c>
      <c r="N58" s="1150">
        <v>0</v>
      </c>
      <c r="O58" s="1150">
        <v>0</v>
      </c>
      <c r="P58" s="1234">
        <v>3</v>
      </c>
      <c r="Q58" s="278">
        <v>3</v>
      </c>
      <c r="R58" s="278">
        <v>3</v>
      </c>
      <c r="S58" s="512">
        <v>12</v>
      </c>
      <c r="T58" s="956">
        <v>35</v>
      </c>
      <c r="U58" s="956">
        <v>0</v>
      </c>
      <c r="V58" s="956">
        <v>0</v>
      </c>
      <c r="W58" s="956">
        <v>0</v>
      </c>
      <c r="X58" s="956">
        <v>0</v>
      </c>
      <c r="Y58" s="956">
        <v>0</v>
      </c>
      <c r="Z58" s="956">
        <v>0</v>
      </c>
      <c r="AA58" s="956">
        <v>0</v>
      </c>
      <c r="AB58" s="956">
        <v>0</v>
      </c>
      <c r="AC58" s="956">
        <v>24</v>
      </c>
      <c r="AD58" s="956">
        <v>24</v>
      </c>
      <c r="AE58" s="956">
        <v>24</v>
      </c>
      <c r="AF58" s="956">
        <v>11</v>
      </c>
      <c r="AG58" s="956">
        <v>3</v>
      </c>
      <c r="AH58" s="956">
        <v>11</v>
      </c>
      <c r="AI58" s="956">
        <v>0</v>
      </c>
      <c r="AJ58" s="956">
        <v>4</v>
      </c>
      <c r="AK58" s="956">
        <v>115</v>
      </c>
      <c r="AL58" s="444">
        <v>10</v>
      </c>
      <c r="AM58" s="444">
        <v>10</v>
      </c>
      <c r="AN58" s="444">
        <v>10</v>
      </c>
      <c r="AO58" s="444">
        <v>10</v>
      </c>
      <c r="AP58" s="444">
        <v>10</v>
      </c>
      <c r="AQ58" s="956">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423" hidden="1" customWidth="1"/>
    <col min="4" max="4" width="11.85546875" style="1423" hidden="1" customWidth="1"/>
    <col min="5" max="11" width="10.140625" style="1423" hidden="1" customWidth="1"/>
    <col min="12" max="12" width="10.140625" style="1844" hidden="1" customWidth="1"/>
    <col min="13" max="15" width="10.140625" style="1857" hidden="1" customWidth="1"/>
    <col min="16" max="16" width="3" style="1535" customWidth="1"/>
    <col min="17" max="17" width="3" style="1159" customWidth="1"/>
    <col min="18" max="18" width="3" style="278" customWidth="1"/>
    <col min="19" max="19" width="12" style="1858" customWidth="1"/>
    <col min="20" max="20" width="31" style="1423" customWidth="1"/>
    <col min="21" max="21" width="0.140625" style="1423" customWidth="1"/>
    <col min="22" max="23" width="21.7109375" style="1423" hidden="1" customWidth="1"/>
    <col min="24" max="24" width="11.7109375" style="1423" hidden="1" customWidth="1"/>
    <col min="25" max="25" width="3.7109375" style="1423" hidden="1" customWidth="1"/>
    <col min="26" max="26" width="11.7109375" style="1423" hidden="1" customWidth="1"/>
    <col min="27" max="27" width="8.5703125" style="1423" hidden="1" customWidth="1"/>
    <col min="28" max="28" width="27" style="1423" customWidth="1"/>
    <col min="29" max="29" width="24.5703125" style="1423" customWidth="1"/>
    <col min="30" max="31" width="21" style="1423" customWidth="1"/>
    <col min="32" max="32" width="11" style="1423" customWidth="1"/>
    <col min="33" max="33" width="3.7109375" style="1423" customWidth="1"/>
    <col min="34" max="34" width="11" style="1423" customWidth="1"/>
    <col min="35" max="35" width="8.5703125" style="1423" hidden="1" customWidth="1"/>
    <col min="36" max="36" width="4" style="1423" customWidth="1"/>
    <col min="37" max="37" width="115" style="1423" customWidth="1"/>
    <col min="38" max="42" width="10" style="1430" customWidth="1"/>
    <col min="43" max="43" width="10.5703125" style="1423" hidden="1"/>
  </cols>
  <sheetData>
    <row r="1" spans="1:43" ht="0.75" hidden="1" customHeight="1">
      <c r="AQ1" s="1419" t="s">
        <v>1</v>
      </c>
    </row>
    <row r="2" spans="1:43" ht="21" hidden="1" customHeight="1">
      <c r="A2" s="1055"/>
      <c r="B2" s="1055"/>
      <c r="C2" s="1055"/>
      <c r="D2" s="1055"/>
      <c r="E2" s="2421">
        <v>1</v>
      </c>
      <c r="F2" s="1055"/>
      <c r="G2" s="1055"/>
      <c r="H2" s="1055"/>
      <c r="I2" s="1055"/>
      <c r="J2" s="1055"/>
      <c r="K2" s="1055"/>
      <c r="L2" s="1098"/>
      <c r="M2" s="1398"/>
      <c r="N2" s="1398"/>
      <c r="O2" s="1398"/>
      <c r="P2" s="1197"/>
      <c r="Q2" s="772"/>
      <c r="R2" s="288"/>
      <c r="S2" s="1708" t="e">
        <f>INDEX(PT_DIFFERENTIATION_NUM_NTAR,MATCH(A2,PT_DIFFERENTIATION_NTAR_ID,0))</f>
        <v>#N/A</v>
      </c>
      <c r="T2" s="1313" t="s">
        <v>214</v>
      </c>
      <c r="U2" s="234"/>
      <c r="V2" s="2390"/>
      <c r="W2" s="2390"/>
      <c r="X2" s="2390"/>
      <c r="Y2" s="2390"/>
      <c r="Z2" s="2390"/>
      <c r="AA2" s="2391"/>
      <c r="AB2" s="1702"/>
      <c r="AC2" s="2390" t="e">
        <f>INDEX(PT_DIFFERENTIATION_NTAR,MATCH(A2,PT_DIFFERENTIATION_NTAR_ID,0))</f>
        <v>#N/A</v>
      </c>
      <c r="AD2" s="2390"/>
      <c r="AE2" s="2390"/>
      <c r="AF2" s="2390"/>
      <c r="AG2" s="2390"/>
      <c r="AH2" s="2390"/>
      <c r="AI2" s="2390"/>
      <c r="AJ2" s="2391"/>
      <c r="AK2" s="1046" t="s">
        <v>480</v>
      </c>
      <c r="AM2" s="1412"/>
      <c r="AN2" s="1412" t="str">
        <f t="shared" ref="AN2:AN14" si="0">IF(T2="","",T2)</f>
        <v>Наименование тарифа</v>
      </c>
      <c r="AO2" s="1412"/>
      <c r="AP2" s="1412"/>
      <c r="AQ2" s="1419">
        <v>0</v>
      </c>
    </row>
    <row r="3" spans="1:43" ht="21" hidden="1" customHeight="1">
      <c r="A3" s="1055"/>
      <c r="B3" s="1055"/>
      <c r="C3" s="1055"/>
      <c r="D3" s="1055"/>
      <c r="E3" s="2422"/>
      <c r="F3" s="2421">
        <v>1</v>
      </c>
      <c r="G3" s="1055"/>
      <c r="H3" s="1055"/>
      <c r="I3" s="1055"/>
      <c r="J3" s="1055"/>
      <c r="K3" s="1055"/>
      <c r="L3" s="1098"/>
      <c r="M3" s="1398"/>
      <c r="N3" s="1398"/>
      <c r="O3" s="1398"/>
      <c r="P3" s="1719"/>
      <c r="Q3" s="1199"/>
      <c r="R3" s="286"/>
      <c r="S3" s="1708" t="e">
        <f>INDEX(PT_DIFFERENTIATION_NUM_TER,MATCH(B3,PT_DIFFERENTIATION_TER_ID,0))</f>
        <v>#N/A</v>
      </c>
      <c r="T3" s="1310" t="s">
        <v>481</v>
      </c>
      <c r="U3" s="234"/>
      <c r="V3" s="2390"/>
      <c r="W3" s="2390"/>
      <c r="X3" s="2390"/>
      <c r="Y3" s="2390"/>
      <c r="Z3" s="2390"/>
      <c r="AA3" s="2391"/>
      <c r="AB3" s="1702"/>
      <c r="AC3" s="2390" t="e">
        <f>INDEX(PT_DIFFERENTIATION_TER,MATCH(B3,PT_DIFFERENTIATION_TER_ID,0))</f>
        <v>#N/A</v>
      </c>
      <c r="AD3" s="2390"/>
      <c r="AE3" s="2390"/>
      <c r="AF3" s="2390"/>
      <c r="AG3" s="2390"/>
      <c r="AH3" s="2390"/>
      <c r="AI3" s="2390"/>
      <c r="AJ3" s="2391"/>
      <c r="AK3" s="1046" t="s">
        <v>482</v>
      </c>
      <c r="AM3" s="1412"/>
      <c r="AN3" s="1412" t="str">
        <f t="shared" si="0"/>
        <v>Территория действия тарифа</v>
      </c>
      <c r="AO3" s="1412"/>
      <c r="AP3" s="1412"/>
      <c r="AQ3" s="1419">
        <v>0</v>
      </c>
    </row>
    <row r="4" spans="1:43" ht="22.5" hidden="1" customHeight="1">
      <c r="A4" s="1055"/>
      <c r="B4" s="1055"/>
      <c r="C4" s="1055"/>
      <c r="D4" s="1055"/>
      <c r="E4" s="2422"/>
      <c r="F4" s="2422"/>
      <c r="G4" s="2421">
        <v>1</v>
      </c>
      <c r="H4" s="1055"/>
      <c r="I4" s="1055"/>
      <c r="J4" s="1055"/>
      <c r="K4" s="1055"/>
      <c r="L4" s="1098"/>
      <c r="M4" s="1398"/>
      <c r="N4" s="1398"/>
      <c r="O4" s="1398"/>
      <c r="P4" s="1200"/>
      <c r="Q4" s="1199"/>
      <c r="R4" s="286"/>
      <c r="S4" s="1708" t="e">
        <f>INDEX(PT_DIFFERENTIATION_NUM_CS,MATCH(C4,PT_DIFFERENTIATION_CS_ID,0))</f>
        <v>#N/A</v>
      </c>
      <c r="T4" s="243" t="s">
        <v>483</v>
      </c>
      <c r="U4" s="234"/>
      <c r="V4" s="2390"/>
      <c r="W4" s="2390"/>
      <c r="X4" s="2390"/>
      <c r="Y4" s="2390"/>
      <c r="Z4" s="2390"/>
      <c r="AA4" s="2391"/>
      <c r="AB4" s="1702"/>
      <c r="AC4" s="2390" t="e">
        <f>INDEX(PT_DIFFERENTIATION_CS,MATCH(C4,PT_DIFFERENTIATION_CS_ID,0))</f>
        <v>#N/A</v>
      </c>
      <c r="AD4" s="2390"/>
      <c r="AE4" s="2390"/>
      <c r="AF4" s="2390"/>
      <c r="AG4" s="2390"/>
      <c r="AH4" s="2390"/>
      <c r="AI4" s="2390"/>
      <c r="AJ4" s="2391"/>
      <c r="AK4" s="1046" t="s">
        <v>484</v>
      </c>
      <c r="AM4" s="1412"/>
      <c r="AN4" s="1412" t="str">
        <f t="shared" si="0"/>
        <v xml:space="preserve">Наименование системы теплоснабжения </v>
      </c>
      <c r="AO4" s="1412"/>
      <c r="AP4" s="1412"/>
      <c r="AQ4" s="1419">
        <v>0</v>
      </c>
    </row>
    <row r="5" spans="1:43" ht="21" hidden="1" customHeight="1">
      <c r="A5" s="1055"/>
      <c r="B5" s="1055"/>
      <c r="C5" s="1055"/>
      <c r="D5" s="1055"/>
      <c r="E5" s="2422"/>
      <c r="F5" s="2422"/>
      <c r="G5" s="2422"/>
      <c r="H5" s="2421">
        <v>1</v>
      </c>
      <c r="I5" s="1055"/>
      <c r="J5" s="1055"/>
      <c r="K5" s="1055"/>
      <c r="L5" s="1098"/>
      <c r="M5" s="1398"/>
      <c r="N5" s="1398"/>
      <c r="O5" s="1398"/>
      <c r="P5" s="1200"/>
      <c r="Q5" s="1199"/>
      <c r="R5" s="286"/>
      <c r="S5" s="1708" t="e">
        <f>INDEX(PT_DIFFERENTIATION_NUM_IST_TE,MATCH(D5,PT_DIFFERENTIATION_IST_TE_ID,0))</f>
        <v>#N/A</v>
      </c>
      <c r="T5" s="244" t="s">
        <v>485</v>
      </c>
      <c r="U5" s="234"/>
      <c r="V5" s="2390"/>
      <c r="W5" s="2390"/>
      <c r="X5" s="2390"/>
      <c r="Y5" s="2390"/>
      <c r="Z5" s="2390"/>
      <c r="AA5" s="2391"/>
      <c r="AB5" s="1702"/>
      <c r="AC5" s="2390" t="e">
        <f>INDEX(PT_DIFFERENTIATION_IST_TE,MATCH(D5,PT_DIFFERENTIATION_IST_TE_ID,0))</f>
        <v>#N/A</v>
      </c>
      <c r="AD5" s="2390"/>
      <c r="AE5" s="2390"/>
      <c r="AF5" s="2390"/>
      <c r="AG5" s="2390"/>
      <c r="AH5" s="2390"/>
      <c r="AI5" s="2390"/>
      <c r="AJ5" s="2391"/>
      <c r="AK5" s="1046" t="s">
        <v>486</v>
      </c>
      <c r="AM5" s="1412"/>
      <c r="AN5" s="1412" t="str">
        <f t="shared" si="0"/>
        <v xml:space="preserve">Источник тепловой энергии  </v>
      </c>
      <c r="AO5" s="1412"/>
      <c r="AP5" s="1412"/>
      <c r="AQ5" s="1419">
        <v>0</v>
      </c>
    </row>
    <row r="6" spans="1:43" s="1430" customFormat="1" ht="0.75" hidden="1" customHeight="1">
      <c r="A6" s="1163"/>
      <c r="B6" s="1163"/>
      <c r="C6" s="1163"/>
      <c r="D6" s="1163"/>
      <c r="E6" s="2422"/>
      <c r="F6" s="2422"/>
      <c r="G6" s="2422"/>
      <c r="H6" s="2422"/>
      <c r="I6" s="2266" t="e">
        <f>S5&amp;".1"</f>
        <v>#N/A</v>
      </c>
      <c r="J6" s="1163"/>
      <c r="K6" s="1163"/>
      <c r="L6" s="1169" t="s">
        <v>487</v>
      </c>
      <c r="M6" s="1034"/>
      <c r="N6" s="1034"/>
      <c r="O6" s="1034"/>
      <c r="P6" s="2399">
        <v>1</v>
      </c>
      <c r="Q6" s="1704"/>
      <c r="R6" s="289"/>
      <c r="S6" s="881"/>
      <c r="T6" s="1171"/>
      <c r="U6" s="1172"/>
      <c r="V6" s="2427"/>
      <c r="W6" s="2427"/>
      <c r="X6" s="2427"/>
      <c r="Y6" s="2427"/>
      <c r="Z6" s="2427"/>
      <c r="AA6" s="2428"/>
      <c r="AB6" s="1710"/>
      <c r="AC6" s="2427"/>
      <c r="AD6" s="2427"/>
      <c r="AE6" s="2427"/>
      <c r="AF6" s="2427"/>
      <c r="AG6" s="2427"/>
      <c r="AH6" s="2427"/>
      <c r="AI6" s="2427"/>
      <c r="AJ6" s="2428"/>
      <c r="AK6" s="1173"/>
      <c r="AM6" s="1412"/>
      <c r="AN6" s="1412" t="str">
        <f t="shared" si="0"/>
        <v/>
      </c>
      <c r="AO6" s="1412"/>
      <c r="AP6" s="1412"/>
      <c r="AQ6" s="1424">
        <v>0</v>
      </c>
    </row>
    <row r="7" spans="1:43" s="1430" customFormat="1" ht="0.75" hidden="1" customHeight="1">
      <c r="A7" s="1163"/>
      <c r="B7" s="1163"/>
      <c r="C7" s="1163"/>
      <c r="D7" s="1163"/>
      <c r="E7" s="2422"/>
      <c r="F7" s="2422"/>
      <c r="G7" s="2422"/>
      <c r="H7" s="2422"/>
      <c r="I7" s="2247"/>
      <c r="J7" s="2266" t="e">
        <f>S5&amp;".1"</f>
        <v>#N/A</v>
      </c>
      <c r="K7" s="1163"/>
      <c r="L7" s="1169"/>
      <c r="M7" s="1034"/>
      <c r="N7" s="1034"/>
      <c r="O7" s="1034"/>
      <c r="P7" s="2399"/>
      <c r="Q7" s="2399">
        <v>1</v>
      </c>
      <c r="R7" s="290"/>
      <c r="S7" s="881"/>
      <c r="T7" s="1187"/>
      <c r="U7" s="1172"/>
      <c r="V7" s="2427"/>
      <c r="W7" s="2427"/>
      <c r="X7" s="2427"/>
      <c r="Y7" s="2427"/>
      <c r="Z7" s="2427"/>
      <c r="AA7" s="2428"/>
      <c r="AB7" s="1710"/>
      <c r="AC7" s="2427"/>
      <c r="AD7" s="2427"/>
      <c r="AE7" s="2427"/>
      <c r="AF7" s="2427"/>
      <c r="AG7" s="2427"/>
      <c r="AH7" s="2427"/>
      <c r="AI7" s="2427"/>
      <c r="AJ7" s="2428"/>
      <c r="AK7" s="1173"/>
      <c r="AM7" s="1412"/>
      <c r="AN7" s="1412" t="str">
        <f t="shared" si="0"/>
        <v/>
      </c>
      <c r="AO7" s="1412"/>
      <c r="AP7" s="1412"/>
      <c r="AQ7" s="1424">
        <v>0</v>
      </c>
    </row>
    <row r="8" spans="1:43" ht="21" hidden="1" customHeight="1">
      <c r="A8" s="1055"/>
      <c r="B8" s="1055"/>
      <c r="C8" s="1055"/>
      <c r="D8" s="1055"/>
      <c r="E8" s="2422"/>
      <c r="F8" s="2422"/>
      <c r="G8" s="2422"/>
      <c r="H8" s="2422"/>
      <c r="I8" s="2247"/>
      <c r="J8" s="2247"/>
      <c r="K8" s="1741" t="e">
        <f>S5&amp;".1"</f>
        <v>#N/A</v>
      </c>
      <c r="L8" s="1098"/>
      <c r="P8" s="2399"/>
      <c r="Q8" s="2399"/>
      <c r="R8" s="1745">
        <v>1</v>
      </c>
      <c r="S8" s="1743" t="e">
        <f>$K8</f>
        <v>#N/A</v>
      </c>
      <c r="T8" s="1744"/>
      <c r="U8" s="234"/>
      <c r="V8" s="658"/>
      <c r="W8" s="1045"/>
      <c r="X8" s="1742"/>
      <c r="Y8" s="1740" t="s">
        <v>52</v>
      </c>
      <c r="Z8" s="1742"/>
      <c r="AA8" s="1740" t="s">
        <v>52</v>
      </c>
      <c r="AB8" s="1746"/>
      <c r="AC8" s="1747" t="s">
        <v>9</v>
      </c>
      <c r="AD8" s="658"/>
      <c r="AE8" s="1045"/>
      <c r="AF8" s="1705"/>
      <c r="AG8" s="1692" t="s">
        <v>52</v>
      </c>
      <c r="AH8" s="1705"/>
      <c r="AI8" s="1692" t="s">
        <v>52</v>
      </c>
      <c r="AJ8" s="1136"/>
      <c r="AK8" s="2418" t="s">
        <v>548</v>
      </c>
      <c r="AL8" s="1424" t="e">
        <f ca="1">STRCHECKDATE(#REF!)</f>
        <v>#NAME?</v>
      </c>
      <c r="AM8" s="1412"/>
      <c r="AN8" s="1412" t="str">
        <f t="shared" si="0"/>
        <v/>
      </c>
      <c r="AO8" s="1412"/>
      <c r="AP8" s="1412"/>
      <c r="AQ8" s="1419">
        <v>0</v>
      </c>
    </row>
    <row r="9" spans="1:43" ht="11.25" hidden="1" customHeight="1">
      <c r="A9" s="1055"/>
      <c r="B9" s="1055"/>
      <c r="C9" s="1055"/>
      <c r="D9" s="1055"/>
      <c r="E9" s="2422"/>
      <c r="F9" s="2422"/>
      <c r="G9" s="2422"/>
      <c r="H9" s="2422"/>
      <c r="I9" s="2247"/>
      <c r="J9" s="2266"/>
      <c r="K9" s="1055"/>
      <c r="L9" s="1098"/>
      <c r="P9" s="2399"/>
      <c r="Q9" s="2399"/>
      <c r="R9" s="289"/>
      <c r="S9" s="1066"/>
      <c r="T9" s="221" t="s">
        <v>552</v>
      </c>
      <c r="U9" s="531"/>
      <c r="V9" s="531"/>
      <c r="W9" s="531"/>
      <c r="X9" s="531"/>
      <c r="Y9" s="531"/>
      <c r="Z9" s="531"/>
      <c r="AA9" s="531"/>
      <c r="AB9" s="531"/>
      <c r="AC9" s="531"/>
      <c r="AD9" s="531"/>
      <c r="AE9" s="531"/>
      <c r="AF9" s="531"/>
      <c r="AG9" s="531"/>
      <c r="AH9" s="531"/>
      <c r="AI9" s="531"/>
      <c r="AJ9" s="258"/>
      <c r="AK9" s="2420"/>
      <c r="AM9" s="1412"/>
      <c r="AN9" s="1412" t="str">
        <f t="shared" si="0"/>
        <v>Добавить строку</v>
      </c>
      <c r="AO9" s="1412"/>
      <c r="AP9" s="1412"/>
      <c r="AQ9" s="1419">
        <v>0</v>
      </c>
    </row>
    <row r="10" spans="1:43" s="1430" customFormat="1" ht="0.75" hidden="1" customHeight="1">
      <c r="A10" s="1163"/>
      <c r="B10" s="1163"/>
      <c r="C10" s="1163"/>
      <c r="D10" s="1163"/>
      <c r="E10" s="2422"/>
      <c r="F10" s="2422"/>
      <c r="G10" s="2422"/>
      <c r="H10" s="2422"/>
      <c r="I10" s="2266"/>
      <c r="J10" s="1163"/>
      <c r="K10" s="1163"/>
      <c r="L10" s="1169"/>
      <c r="M10" s="1034"/>
      <c r="N10" s="1034"/>
      <c r="O10" s="1034"/>
      <c r="P10" s="2399"/>
      <c r="Q10" s="1704"/>
      <c r="R10" s="289"/>
      <c r="S10" s="1174"/>
      <c r="T10" s="1175"/>
      <c r="U10" s="1176"/>
      <c r="V10" s="1176"/>
      <c r="W10" s="1176"/>
      <c r="X10" s="1176"/>
      <c r="Y10" s="1176"/>
      <c r="Z10" s="1176"/>
      <c r="AA10" s="1176"/>
      <c r="AB10" s="1176"/>
      <c r="AC10" s="1176"/>
      <c r="AD10" s="1176"/>
      <c r="AE10" s="1176"/>
      <c r="AF10" s="1176"/>
      <c r="AG10" s="1176"/>
      <c r="AH10" s="1176"/>
      <c r="AI10" s="1176"/>
      <c r="AJ10" s="1176"/>
      <c r="AK10" s="1177"/>
      <c r="AM10" s="1412"/>
      <c r="AN10" s="1412" t="str">
        <f t="shared" si="0"/>
        <v/>
      </c>
      <c r="AO10" s="1412"/>
      <c r="AP10" s="1412"/>
      <c r="AQ10" s="1424">
        <v>0</v>
      </c>
    </row>
    <row r="11" spans="1:43" s="1430" customFormat="1" ht="0.75" hidden="1" customHeight="1">
      <c r="A11" s="1163"/>
      <c r="B11" s="1163"/>
      <c r="C11" s="1163"/>
      <c r="D11" s="1163"/>
      <c r="E11" s="2422"/>
      <c r="F11" s="2422"/>
      <c r="G11" s="2422"/>
      <c r="H11" s="2421"/>
      <c r="I11" s="1163"/>
      <c r="J11" s="1163"/>
      <c r="K11" s="1163"/>
      <c r="L11" s="1169"/>
      <c r="M11" s="1166"/>
      <c r="N11" s="1166"/>
      <c r="O11" s="284"/>
      <c r="P11" s="313"/>
      <c r="Q11" s="1132"/>
      <c r="R11" s="1189"/>
      <c r="S11" s="1174"/>
      <c r="T11" s="1175"/>
      <c r="U11" s="1176"/>
      <c r="V11" s="1176"/>
      <c r="W11" s="1176"/>
      <c r="X11" s="1176"/>
      <c r="Y11" s="1176"/>
      <c r="Z11" s="1176"/>
      <c r="AA11" s="1176"/>
      <c r="AB11" s="1176"/>
      <c r="AC11" s="1176"/>
      <c r="AD11" s="1176"/>
      <c r="AE11" s="1176"/>
      <c r="AF11" s="1176"/>
      <c r="AG11" s="1176"/>
      <c r="AH11" s="1176"/>
      <c r="AI11" s="1176"/>
      <c r="AJ11" s="1176"/>
      <c r="AK11" s="1177"/>
      <c r="AM11" s="1412"/>
      <c r="AN11" s="1412" t="str">
        <f t="shared" si="0"/>
        <v/>
      </c>
      <c r="AO11" s="1412"/>
      <c r="AP11" s="1412"/>
      <c r="AQ11" s="1424">
        <v>0</v>
      </c>
    </row>
    <row r="12" spans="1:43" s="1430" customFormat="1" ht="0.75" hidden="1" customHeight="1">
      <c r="A12" s="1163"/>
      <c r="B12" s="1163"/>
      <c r="C12" s="1163"/>
      <c r="D12" s="1162"/>
      <c r="E12" s="2422"/>
      <c r="F12" s="2422"/>
      <c r="G12" s="2421"/>
      <c r="H12" s="1162"/>
      <c r="I12" s="1162"/>
      <c r="J12" s="1162"/>
      <c r="K12" s="1162"/>
      <c r="L12" s="1165"/>
      <c r="M12" s="1166"/>
      <c r="N12" s="1166"/>
      <c r="O12" s="284"/>
      <c r="P12" s="1104"/>
      <c r="Q12" s="1105"/>
      <c r="R12" s="1104"/>
      <c r="S12" s="1110"/>
      <c r="T12" s="1113" t="s">
        <v>498</v>
      </c>
      <c r="U12" s="1112"/>
      <c r="V12" s="1112"/>
      <c r="W12" s="1112"/>
      <c r="X12" s="1112"/>
      <c r="Y12" s="1112"/>
      <c r="Z12" s="1112"/>
      <c r="AA12" s="1112"/>
      <c r="AB12" s="1112"/>
      <c r="AC12" s="1112"/>
      <c r="AD12" s="1112"/>
      <c r="AE12" s="1112"/>
      <c r="AF12" s="1112"/>
      <c r="AG12" s="1112"/>
      <c r="AH12" s="1112"/>
      <c r="AI12" s="1112"/>
      <c r="AJ12" s="1112"/>
      <c r="AK12" s="1112"/>
      <c r="AM12" s="1039"/>
      <c r="AN12" s="1039" t="str">
        <f t="shared" si="0"/>
        <v>Добавить источник для дифференциации</v>
      </c>
      <c r="AO12" s="1039"/>
      <c r="AP12" s="1039"/>
      <c r="AQ12" s="1430">
        <v>0</v>
      </c>
    </row>
    <row r="13" spans="1:43" s="1430" customFormat="1" ht="0.75" hidden="1" customHeight="1">
      <c r="A13" s="1163"/>
      <c r="B13" s="1163"/>
      <c r="C13" s="1162"/>
      <c r="D13" s="1162"/>
      <c r="E13" s="2422"/>
      <c r="F13" s="2421"/>
      <c r="G13" s="1162"/>
      <c r="H13" s="1162"/>
      <c r="I13" s="1162"/>
      <c r="J13" s="1162"/>
      <c r="K13" s="1162"/>
      <c r="L13" s="1165"/>
      <c r="M13" s="1167"/>
      <c r="N13" s="1167"/>
      <c r="O13" s="284"/>
      <c r="P13" s="1104"/>
      <c r="Q13" s="1105"/>
      <c r="R13" s="1104"/>
      <c r="S13" s="1110"/>
      <c r="T13" s="1113" t="s">
        <v>499</v>
      </c>
      <c r="U13" s="1112"/>
      <c r="V13" s="1112"/>
      <c r="W13" s="1112"/>
      <c r="X13" s="1112"/>
      <c r="Y13" s="1112"/>
      <c r="Z13" s="1112"/>
      <c r="AA13" s="1112"/>
      <c r="AB13" s="1112"/>
      <c r="AC13" s="1112"/>
      <c r="AD13" s="1112"/>
      <c r="AE13" s="1112"/>
      <c r="AF13" s="1112"/>
      <c r="AG13" s="1112"/>
      <c r="AH13" s="1112"/>
      <c r="AI13" s="1112"/>
      <c r="AJ13" s="1112"/>
      <c r="AK13" s="1112"/>
      <c r="AM13" s="1039"/>
      <c r="AN13" s="1039" t="str">
        <f t="shared" si="0"/>
        <v>Добавить централизованную систему для дифференциации</v>
      </c>
      <c r="AO13" s="1039"/>
      <c r="AP13" s="1039"/>
      <c r="AQ13" s="1430">
        <v>0</v>
      </c>
    </row>
    <row r="14" spans="1:43" s="1430" customFormat="1" ht="0.75" hidden="1" customHeight="1">
      <c r="A14" s="1163"/>
      <c r="B14" s="1163"/>
      <c r="C14" s="1163"/>
      <c r="D14" s="1163"/>
      <c r="E14" s="2421"/>
      <c r="F14" s="1163"/>
      <c r="G14" s="1163"/>
      <c r="H14" s="1163"/>
      <c r="I14" s="1163"/>
      <c r="J14" s="1163"/>
      <c r="K14" s="1163"/>
      <c r="L14" s="1169"/>
      <c r="M14" s="1167"/>
      <c r="N14" s="1167"/>
      <c r="O14" s="284"/>
      <c r="P14" s="313"/>
      <c r="Q14" s="1132"/>
      <c r="R14" s="313"/>
      <c r="S14" s="1110"/>
      <c r="T14" s="1113" t="s">
        <v>500</v>
      </c>
      <c r="U14" s="1112"/>
      <c r="V14" s="1112"/>
      <c r="W14" s="1112"/>
      <c r="X14" s="1112"/>
      <c r="Y14" s="1112"/>
      <c r="Z14" s="1112"/>
      <c r="AA14" s="1112"/>
      <c r="AB14" s="1112"/>
      <c r="AC14" s="1112"/>
      <c r="AD14" s="1112"/>
      <c r="AE14" s="1112"/>
      <c r="AF14" s="1112"/>
      <c r="AG14" s="1112"/>
      <c r="AH14" s="1112"/>
      <c r="AI14" s="1112"/>
      <c r="AJ14" s="1112"/>
      <c r="AK14" s="1112"/>
      <c r="AM14" s="1412"/>
      <c r="AN14" s="1412" t="str">
        <f t="shared" si="0"/>
        <v>Добавить территорию для дифференциации</v>
      </c>
      <c r="AO14" s="1412"/>
      <c r="AP14" s="1412"/>
      <c r="AQ14" s="1424">
        <v>0</v>
      </c>
    </row>
    <row r="15" spans="1:43" ht="14.25" hidden="1" customHeight="1">
      <c r="AQ15" s="1419">
        <v>0</v>
      </c>
    </row>
    <row r="16" spans="1:43" ht="14.25" hidden="1" customHeight="1">
      <c r="AC16" s="1290"/>
      <c r="AD16" s="1191"/>
      <c r="AE16" s="1192"/>
      <c r="AF16" s="1495"/>
      <c r="AG16" s="1716" t="s">
        <v>52</v>
      </c>
      <c r="AH16" s="1495"/>
      <c r="AI16" s="1716" t="s">
        <v>52</v>
      </c>
      <c r="AQ16" s="1419">
        <v>0</v>
      </c>
    </row>
    <row r="17" spans="1:43" ht="14.25" hidden="1" customHeight="1">
      <c r="AL17" s="1429"/>
      <c r="AM17" s="1429"/>
      <c r="AN17" s="1429"/>
      <c r="AO17" s="1429"/>
      <c r="AP17" s="1429"/>
      <c r="AQ17" s="1419">
        <v>0</v>
      </c>
    </row>
    <row r="18" spans="1:43" ht="14.25" hidden="1" customHeight="1">
      <c r="O18" s="1133" t="s">
        <v>501</v>
      </c>
      <c r="X18" s="1133"/>
      <c r="Z18" s="1133"/>
      <c r="AF18" s="1133"/>
      <c r="AH18" s="1133"/>
      <c r="AL18" s="1429"/>
      <c r="AM18" s="1429"/>
      <c r="AN18" s="1429"/>
      <c r="AO18" s="1429"/>
      <c r="AP18" s="1429"/>
      <c r="AQ18" s="1419">
        <v>0</v>
      </c>
    </row>
    <row r="19" spans="1:43" ht="14.25" hidden="1" customHeight="1">
      <c r="AL19" s="1429"/>
      <c r="AM19" s="1429"/>
      <c r="AN19" s="1429"/>
      <c r="AO19" s="1429"/>
      <c r="AP19" s="1429"/>
      <c r="AQ19" s="1419">
        <v>0</v>
      </c>
    </row>
    <row r="20" spans="1:43" s="1297" customFormat="1" ht="14.25" hidden="1" customHeight="1">
      <c r="A20" s="1721"/>
      <c r="B20" s="1721"/>
      <c r="C20" s="1721"/>
      <c r="D20" s="1721"/>
      <c r="E20" s="1721"/>
      <c r="F20" s="1721"/>
      <c r="G20" s="1721"/>
      <c r="H20" s="1721"/>
      <c r="I20" s="1721"/>
      <c r="J20" s="1721"/>
      <c r="K20" s="1721"/>
      <c r="L20" s="1721"/>
      <c r="M20" s="1722"/>
      <c r="N20" s="1722"/>
      <c r="O20" s="1723" t="s">
        <v>502</v>
      </c>
      <c r="P20" s="1296"/>
      <c r="Q20" s="1298"/>
      <c r="R20" s="1298"/>
      <c r="Y20" s="1295" t="s">
        <v>504</v>
      </c>
      <c r="AA20" s="1295" t="s">
        <v>505</v>
      </c>
      <c r="AC20" s="1295" t="s">
        <v>554</v>
      </c>
      <c r="AG20" s="1295" t="s">
        <v>504</v>
      </c>
      <c r="AI20" s="1295" t="s">
        <v>505</v>
      </c>
      <c r="AL20" s="1299"/>
      <c r="AM20" s="1299"/>
      <c r="AN20" s="1299"/>
      <c r="AO20" s="1299"/>
      <c r="AP20" s="1299"/>
      <c r="AQ20" s="1295">
        <v>0</v>
      </c>
    </row>
    <row r="21" spans="1:43" ht="14.25" hidden="1" customHeight="1">
      <c r="O21" s="1098"/>
      <c r="AL21" s="1429"/>
      <c r="AM21" s="1429"/>
      <c r="AN21" s="1429"/>
      <c r="AO21" s="1429"/>
      <c r="AP21" s="1429"/>
      <c r="AQ21" s="1419">
        <v>0</v>
      </c>
    </row>
    <row r="22" spans="1:43" ht="14.25" hidden="1" customHeight="1">
      <c r="O22" s="1098"/>
      <c r="AL22" s="1429"/>
      <c r="AM22" s="1429"/>
      <c r="AN22" s="1429"/>
      <c r="AO22" s="1429"/>
      <c r="AP22" s="1429"/>
      <c r="AQ22" s="1419">
        <v>0</v>
      </c>
    </row>
    <row r="23" spans="1:43" ht="14.65" customHeight="1">
      <c r="Q23" s="225"/>
      <c r="R23" s="309"/>
      <c r="S23" s="1063"/>
      <c r="T23" s="390"/>
      <c r="U23" s="390"/>
      <c r="AQ23" s="1419">
        <v>14</v>
      </c>
    </row>
    <row r="24" spans="1:43" ht="39.75" customHeight="1">
      <c r="Q24" s="225"/>
      <c r="R24" s="309"/>
      <c r="S24" s="237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76"/>
      <c r="U24" s="2376"/>
      <c r="V24" s="2376"/>
      <c r="W24" s="2376"/>
      <c r="X24" s="2376"/>
      <c r="Y24" s="2376"/>
      <c r="Z24" s="2376"/>
      <c r="AA24" s="2376"/>
      <c r="AB24" s="2376"/>
      <c r="AC24" s="2376"/>
      <c r="AD24" s="2376"/>
      <c r="AE24" s="2376"/>
      <c r="AF24" s="2376"/>
      <c r="AG24" s="2376"/>
      <c r="AH24" s="2376"/>
      <c r="AI24" s="1031"/>
      <c r="AQ24" s="1419">
        <v>38</v>
      </c>
    </row>
    <row r="25" spans="1:43" ht="14.65" customHeight="1">
      <c r="Q25" s="225"/>
      <c r="R25" s="309"/>
      <c r="S25" s="2349" t="str">
        <f>IF(org=0,"Не определено",org)</f>
        <v>ООО "Смоленскрегионтеплоэнерго"</v>
      </c>
      <c r="T25" s="2349"/>
      <c r="U25" s="2349"/>
      <c r="V25" s="2349"/>
      <c r="W25" s="2349"/>
      <c r="X25" s="2349"/>
      <c r="Y25" s="2349"/>
      <c r="Z25" s="2349"/>
      <c r="AA25" s="2349"/>
      <c r="AB25" s="2349"/>
      <c r="AC25" s="2349"/>
      <c r="AD25" s="2349"/>
      <c r="AE25" s="2349"/>
      <c r="AF25" s="2349"/>
      <c r="AG25" s="2349"/>
      <c r="AH25" s="2349"/>
      <c r="AI25" s="1031"/>
      <c r="AQ25" s="1419">
        <v>14</v>
      </c>
    </row>
    <row r="26" spans="1:43" ht="14.25" hidden="1" customHeight="1">
      <c r="Q26" s="225"/>
      <c r="R26" s="309"/>
      <c r="S26" s="1063"/>
      <c r="T26" s="390"/>
      <c r="U26" s="390"/>
      <c r="V26" s="256"/>
      <c r="W26" s="256"/>
      <c r="X26" s="256"/>
      <c r="Y26" s="256"/>
      <c r="Z26" s="256"/>
      <c r="AA26" s="256"/>
      <c r="AB26" s="256"/>
      <c r="AC26" s="256"/>
      <c r="AD26" s="256"/>
      <c r="AE26" s="256"/>
      <c r="AF26" s="256"/>
      <c r="AG26" s="256"/>
      <c r="AH26" s="256"/>
      <c r="AI26" s="256"/>
      <c r="AQ26" s="1419">
        <v>0</v>
      </c>
    </row>
    <row r="27" spans="1:43" s="1609" customFormat="1" ht="25.5" hidden="1" customHeight="1">
      <c r="A27" s="1036"/>
      <c r="B27" s="1036"/>
      <c r="C27" s="1036"/>
      <c r="D27" s="1036"/>
      <c r="E27" s="1036"/>
      <c r="F27" s="1036"/>
      <c r="G27" s="1036"/>
      <c r="H27" s="1036"/>
      <c r="I27" s="1036"/>
      <c r="J27" s="1036"/>
      <c r="K27" s="1036"/>
      <c r="L27" s="1168"/>
      <c r="M27" s="1036"/>
      <c r="N27" s="1036"/>
      <c r="O27" s="1036"/>
      <c r="P27" s="1156"/>
      <c r="Q27" s="1156"/>
      <c r="S27" s="2386" t="s">
        <v>28</v>
      </c>
      <c r="T27" s="2386"/>
      <c r="U27" s="1160"/>
      <c r="V27" s="2388" t="str">
        <f>IF(TITLE_NAME_OR_PR_CHANGE="",IF(TITLE_NAME_OR_PR="","",TITLE_NAME_OR_PR),TITLE_NAME_OR_PR_CHANGE)</f>
        <v/>
      </c>
      <c r="W27" s="2388"/>
      <c r="X27" s="2388"/>
      <c r="Y27" s="2388"/>
      <c r="Z27" s="2388"/>
      <c r="AA27" s="1423"/>
      <c r="AB27" s="1423"/>
      <c r="AC27" s="2388"/>
      <c r="AD27" s="2388"/>
      <c r="AE27" s="2388"/>
      <c r="AF27" s="2388"/>
      <c r="AG27" s="2388"/>
      <c r="AH27" s="2388"/>
      <c r="AI27" s="1423"/>
      <c r="AJ27" s="1423"/>
      <c r="AK27" s="214"/>
      <c r="AL27" s="301"/>
      <c r="AM27" s="301"/>
      <c r="AN27" s="301"/>
      <c r="AO27" s="301"/>
      <c r="AP27" s="301"/>
      <c r="AQ27" s="351">
        <v>0</v>
      </c>
    </row>
    <row r="28" spans="1:43" s="1609" customFormat="1" ht="18.75" hidden="1" customHeight="1">
      <c r="A28" s="1036"/>
      <c r="B28" s="1036"/>
      <c r="C28" s="1036"/>
      <c r="D28" s="1036"/>
      <c r="E28" s="1036"/>
      <c r="F28" s="1036"/>
      <c r="G28" s="1036"/>
      <c r="H28" s="1036"/>
      <c r="I28" s="1036"/>
      <c r="J28" s="1036"/>
      <c r="K28" s="1036"/>
      <c r="L28" s="1168"/>
      <c r="M28" s="1036"/>
      <c r="N28" s="1036"/>
      <c r="O28" s="1036"/>
      <c r="P28" s="1156"/>
      <c r="Q28" s="1156"/>
      <c r="S28" s="2386" t="s">
        <v>507</v>
      </c>
      <c r="T28" s="2386"/>
      <c r="U28" s="1160"/>
      <c r="V28" s="2387" t="str">
        <f>IF(TITLE_DATE_PR_CHANGE="",IF(TITLE_DATE_PR="","",TITLE_DATE_PR),TITLE_DATE_PR_CHANGE)</f>
        <v/>
      </c>
      <c r="W28" s="2387"/>
      <c r="X28" s="2387"/>
      <c r="Y28" s="2387"/>
      <c r="Z28" s="2387"/>
      <c r="AA28" s="1423"/>
      <c r="AB28" s="1423"/>
      <c r="AC28" s="2387"/>
      <c r="AD28" s="2387"/>
      <c r="AE28" s="2387"/>
      <c r="AF28" s="2387"/>
      <c r="AG28" s="2387"/>
      <c r="AH28" s="2387"/>
      <c r="AI28" s="1423"/>
      <c r="AJ28" s="1423"/>
      <c r="AK28" s="214"/>
      <c r="AL28" s="301"/>
      <c r="AM28" s="301"/>
      <c r="AN28" s="301"/>
      <c r="AO28" s="301"/>
      <c r="AP28" s="301"/>
      <c r="AQ28" s="351">
        <v>0</v>
      </c>
    </row>
    <row r="29" spans="1:43" s="1609" customFormat="1" ht="18.75" hidden="1" customHeight="1">
      <c r="A29" s="1036"/>
      <c r="B29" s="1036"/>
      <c r="C29" s="1036"/>
      <c r="D29" s="1036"/>
      <c r="E29" s="1036"/>
      <c r="F29" s="1036"/>
      <c r="G29" s="1036"/>
      <c r="H29" s="1036"/>
      <c r="I29" s="1036"/>
      <c r="J29" s="1036"/>
      <c r="K29" s="1036"/>
      <c r="L29" s="1168"/>
      <c r="M29" s="1036"/>
      <c r="N29" s="1036"/>
      <c r="O29" s="1036"/>
      <c r="P29" s="1156"/>
      <c r="Q29" s="1156"/>
      <c r="S29" s="2386" t="s">
        <v>508</v>
      </c>
      <c r="T29" s="2386"/>
      <c r="U29" s="1160"/>
      <c r="V29" s="2388" t="str">
        <f>IF(TITLE_NUMBER_PR_CHANGE="",IF(TITLE_NUMBER_PR="","",TITLE_NUMBER_PR),TITLE_NUMBER_PR_CHANGE)</f>
        <v/>
      </c>
      <c r="W29" s="2388"/>
      <c r="X29" s="2388"/>
      <c r="Y29" s="2388"/>
      <c r="Z29" s="2388"/>
      <c r="AA29" s="1423"/>
      <c r="AB29" s="1423"/>
      <c r="AC29" s="2388"/>
      <c r="AD29" s="2388"/>
      <c r="AE29" s="2388"/>
      <c r="AF29" s="2388"/>
      <c r="AG29" s="2388"/>
      <c r="AH29" s="2388"/>
      <c r="AI29" s="1423"/>
      <c r="AJ29" s="1423"/>
      <c r="AK29" s="214"/>
      <c r="AL29" s="301"/>
      <c r="AM29" s="301"/>
      <c r="AN29" s="301"/>
      <c r="AO29" s="301"/>
      <c r="AP29" s="301"/>
      <c r="AQ29" s="351">
        <v>0</v>
      </c>
    </row>
    <row r="30" spans="1:43" s="1609" customFormat="1" ht="18.75" hidden="1" customHeight="1">
      <c r="A30" s="1036"/>
      <c r="B30" s="1036"/>
      <c r="C30" s="1036"/>
      <c r="D30" s="1036"/>
      <c r="E30" s="1036"/>
      <c r="F30" s="1036"/>
      <c r="G30" s="1036"/>
      <c r="H30" s="1036"/>
      <c r="I30" s="1036"/>
      <c r="J30" s="1036"/>
      <c r="K30" s="1036"/>
      <c r="L30" s="1168"/>
      <c r="M30" s="1036"/>
      <c r="N30" s="1036"/>
      <c r="O30" s="1036"/>
      <c r="P30" s="1156"/>
      <c r="Q30" s="1156"/>
      <c r="S30" s="2386" t="s">
        <v>29</v>
      </c>
      <c r="T30" s="2386"/>
      <c r="U30" s="1160"/>
      <c r="V30" s="2388" t="str">
        <f>IF(TITLE_IST_PUB_CHANGE="",IF(TITLE_IST_PUB="","",TITLE_IST_PUB),TITLE_IST_PUB_CHANGE)</f>
        <v/>
      </c>
      <c r="W30" s="2388"/>
      <c r="X30" s="2388"/>
      <c r="Y30" s="2388"/>
      <c r="Z30" s="2388"/>
      <c r="AA30" s="1423"/>
      <c r="AB30" s="1423"/>
      <c r="AC30" s="2388"/>
      <c r="AD30" s="2388"/>
      <c r="AE30" s="2388"/>
      <c r="AF30" s="2388"/>
      <c r="AG30" s="2388"/>
      <c r="AH30" s="2388"/>
      <c r="AI30" s="1423"/>
      <c r="AJ30" s="1423"/>
      <c r="AK30" s="214"/>
      <c r="AL30" s="301"/>
      <c r="AM30" s="301"/>
      <c r="AN30" s="301"/>
      <c r="AO30" s="301"/>
      <c r="AP30" s="301"/>
      <c r="AQ30" s="351">
        <v>0</v>
      </c>
    </row>
    <row r="31" spans="1:43" ht="14.25" hidden="1" customHeight="1">
      <c r="Q31" s="225"/>
      <c r="R31" s="309"/>
      <c r="S31" s="1063"/>
      <c r="T31" s="390"/>
      <c r="U31" s="390"/>
      <c r="V31" s="256"/>
      <c r="W31" s="256"/>
      <c r="X31" s="256"/>
      <c r="Y31" s="256"/>
      <c r="Z31" s="256"/>
      <c r="AA31" s="256"/>
      <c r="AB31" s="256"/>
      <c r="AC31" s="256"/>
      <c r="AD31" s="256"/>
      <c r="AE31" s="256"/>
      <c r="AF31" s="256"/>
      <c r="AG31" s="256"/>
      <c r="AH31" s="256"/>
      <c r="AI31" s="256"/>
      <c r="AQ31" s="1419">
        <v>0</v>
      </c>
    </row>
    <row r="32" spans="1:43" s="1609" customFormat="1" ht="18.75" hidden="1" customHeight="1">
      <c r="A32" s="1036"/>
      <c r="B32" s="1036"/>
      <c r="C32" s="1036"/>
      <c r="D32" s="1036"/>
      <c r="E32" s="1036"/>
      <c r="F32" s="1036"/>
      <c r="G32" s="1036"/>
      <c r="H32" s="1036"/>
      <c r="I32" s="1036"/>
      <c r="J32" s="1036"/>
      <c r="K32" s="1036"/>
      <c r="L32" s="1168"/>
      <c r="M32" s="1036"/>
      <c r="N32" s="1036"/>
      <c r="O32" s="1036"/>
      <c r="P32" s="1156"/>
      <c r="Q32" s="1156"/>
      <c r="S32" s="2386" t="s">
        <v>507</v>
      </c>
      <c r="T32" s="2386"/>
      <c r="U32" s="1160"/>
      <c r="V32" s="2387" t="str">
        <f>IF(TITLE_DATE_PR_CHANGE="",IF(TITLE_DATE_PR="","",TITLE_DATE_PR),TITLE_DATE_PR_CHANGE)</f>
        <v/>
      </c>
      <c r="W32" s="2387"/>
      <c r="X32" s="2387"/>
      <c r="Y32" s="2387"/>
      <c r="Z32" s="2387"/>
      <c r="AA32" s="1423"/>
      <c r="AB32" s="1423"/>
      <c r="AC32" s="2387"/>
      <c r="AD32" s="2387"/>
      <c r="AE32" s="2387"/>
      <c r="AF32" s="2387"/>
      <c r="AG32" s="2387"/>
      <c r="AH32" s="2387"/>
      <c r="AI32" s="1423"/>
      <c r="AJ32" s="1423"/>
      <c r="AK32" s="214"/>
      <c r="AL32" s="301"/>
      <c r="AM32" s="301"/>
      <c r="AN32" s="301"/>
      <c r="AO32" s="301"/>
      <c r="AP32" s="301"/>
      <c r="AQ32" s="351">
        <v>0</v>
      </c>
    </row>
    <row r="33" spans="1:43" s="1609" customFormat="1" ht="18" hidden="1" customHeight="1">
      <c r="A33" s="1036"/>
      <c r="B33" s="1036"/>
      <c r="C33" s="1036"/>
      <c r="D33" s="1036"/>
      <c r="E33" s="1036"/>
      <c r="F33" s="1036"/>
      <c r="G33" s="1036"/>
      <c r="H33" s="1036"/>
      <c r="I33" s="1036"/>
      <c r="J33" s="1036"/>
      <c r="K33" s="1036"/>
      <c r="L33" s="1168"/>
      <c r="M33" s="1036"/>
      <c r="N33" s="1036"/>
      <c r="O33" s="1036"/>
      <c r="P33" s="1156"/>
      <c r="Q33" s="1156"/>
      <c r="S33" s="2386" t="s">
        <v>508</v>
      </c>
      <c r="T33" s="2386"/>
      <c r="U33" s="1160"/>
      <c r="V33" s="2388" t="str">
        <f>IF(TITLE_NUMBER_PR_CHANGE="",IF(TITLE_NUMBER_PR="","",TITLE_NUMBER_PR),TITLE_NUMBER_PR_CHANGE)</f>
        <v/>
      </c>
      <c r="W33" s="2388"/>
      <c r="X33" s="2388"/>
      <c r="Y33" s="2388"/>
      <c r="Z33" s="2388"/>
      <c r="AA33" s="1423"/>
      <c r="AB33" s="1423"/>
      <c r="AC33" s="2388"/>
      <c r="AD33" s="2388"/>
      <c r="AE33" s="2388"/>
      <c r="AF33" s="2388"/>
      <c r="AG33" s="2388"/>
      <c r="AH33" s="2388"/>
      <c r="AI33" s="1423"/>
      <c r="AJ33" s="1423"/>
      <c r="AK33" s="214"/>
      <c r="AL33" s="301"/>
      <c r="AM33" s="301"/>
      <c r="AN33" s="301"/>
      <c r="AO33" s="301"/>
      <c r="AP33" s="301"/>
      <c r="AQ33" s="351">
        <v>0</v>
      </c>
    </row>
    <row r="34" spans="1:43" s="1609" customFormat="1" ht="1.1499999999999999" customHeight="1">
      <c r="A34" s="1036"/>
      <c r="B34" s="1036"/>
      <c r="C34" s="1036"/>
      <c r="D34" s="1036"/>
      <c r="E34" s="1036"/>
      <c r="F34" s="1036"/>
      <c r="G34" s="1036"/>
      <c r="H34" s="1036"/>
      <c r="I34" s="1036"/>
      <c r="J34" s="1036"/>
      <c r="K34" s="1036"/>
      <c r="L34" s="1168"/>
      <c r="M34" s="1036"/>
      <c r="N34" s="1036"/>
      <c r="O34" s="1036"/>
      <c r="P34" s="1156"/>
      <c r="Q34" s="1156"/>
      <c r="S34" s="1423"/>
      <c r="T34" s="1423"/>
      <c r="U34" s="1720"/>
      <c r="V34" s="1423"/>
      <c r="W34" s="1423"/>
      <c r="X34" s="1423"/>
      <c r="Y34" s="1423"/>
      <c r="Z34" s="1423"/>
      <c r="AA34" s="1430" t="s">
        <v>511</v>
      </c>
      <c r="AB34" s="1430"/>
      <c r="AC34" s="1423"/>
      <c r="AD34" s="1423"/>
      <c r="AE34" s="1423"/>
      <c r="AF34" s="1423"/>
      <c r="AG34" s="1423"/>
      <c r="AH34" s="1423"/>
      <c r="AI34" s="1430" t="s">
        <v>511</v>
      </c>
      <c r="AL34" s="301"/>
      <c r="AM34" s="301"/>
      <c r="AN34" s="301"/>
      <c r="AO34" s="301"/>
      <c r="AP34" s="301"/>
      <c r="AQ34" s="351">
        <v>1</v>
      </c>
    </row>
    <row r="35" spans="1:43" ht="14.65" customHeight="1">
      <c r="Q35" s="225"/>
      <c r="R35" s="309"/>
      <c r="S35" s="1063"/>
      <c r="T35" s="390"/>
      <c r="U35" s="1032"/>
      <c r="V35" s="2407"/>
      <c r="W35" s="2407"/>
      <c r="X35" s="2407"/>
      <c r="Y35" s="2407"/>
      <c r="Z35" s="2407"/>
      <c r="AA35" s="2407"/>
      <c r="AB35" s="1707"/>
      <c r="AC35" s="2407"/>
      <c r="AD35" s="2407"/>
      <c r="AE35" s="2407"/>
      <c r="AF35" s="2407"/>
      <c r="AG35" s="2407"/>
      <c r="AH35" s="2407"/>
      <c r="AI35" s="2407"/>
      <c r="AQ35" s="1419">
        <v>14</v>
      </c>
    </row>
    <row r="36" spans="1:43" ht="14.65" customHeight="1">
      <c r="Q36" s="225"/>
      <c r="R36" s="309"/>
      <c r="S36" s="2266" t="s">
        <v>384</v>
      </c>
      <c r="T36" s="2266"/>
      <c r="U36" s="2266"/>
      <c r="V36" s="2266"/>
      <c r="W36" s="2266"/>
      <c r="X36" s="2266"/>
      <c r="Y36" s="2266"/>
      <c r="Z36" s="2266"/>
      <c r="AA36" s="2327"/>
      <c r="AB36" s="2327"/>
      <c r="AC36" s="2327"/>
      <c r="AD36" s="2266"/>
      <c r="AE36" s="2266"/>
      <c r="AF36" s="2266"/>
      <c r="AG36" s="2266"/>
      <c r="AH36" s="2266"/>
      <c r="AI36" s="2266"/>
      <c r="AJ36" s="2266"/>
      <c r="AK36" s="2266" t="s">
        <v>385</v>
      </c>
      <c r="AQ36" s="1419">
        <v>14</v>
      </c>
    </row>
    <row r="37" spans="1:43" ht="14.65" customHeight="1">
      <c r="Q37" s="225"/>
      <c r="R37" s="309"/>
      <c r="S37" s="2408" t="s">
        <v>75</v>
      </c>
      <c r="T37" s="2357" t="s">
        <v>583</v>
      </c>
      <c r="U37" s="271"/>
      <c r="V37" s="2410"/>
      <c r="W37" s="2410"/>
      <c r="X37" s="2410"/>
      <c r="Y37" s="2410"/>
      <c r="Z37" s="2410"/>
      <c r="AA37" s="2357" t="s">
        <v>514</v>
      </c>
      <c r="AB37" s="2356" t="s">
        <v>584</v>
      </c>
      <c r="AC37" s="2356" t="s">
        <v>558</v>
      </c>
      <c r="AD37" s="2425" t="s">
        <v>513</v>
      </c>
      <c r="AE37" s="2425"/>
      <c r="AF37" s="2410"/>
      <c r="AG37" s="2410"/>
      <c r="AH37" s="2411"/>
      <c r="AI37" s="2412" t="s">
        <v>514</v>
      </c>
      <c r="AJ37" s="2415" t="s">
        <v>516</v>
      </c>
      <c r="AK37" s="2266"/>
      <c r="AQ37" s="1419">
        <v>14</v>
      </c>
    </row>
    <row r="38" spans="1:43" ht="35.65" customHeight="1">
      <c r="Q38" s="225"/>
      <c r="R38" s="309"/>
      <c r="S38" s="2408"/>
      <c r="T38" s="2357"/>
      <c r="U38" s="874"/>
      <c r="V38" s="2246" t="s">
        <v>561</v>
      </c>
      <c r="W38" s="2266"/>
      <c r="X38" s="2328" t="s">
        <v>520</v>
      </c>
      <c r="Y38" s="2437"/>
      <c r="Z38" s="2437"/>
      <c r="AA38" s="2357"/>
      <c r="AB38" s="2356"/>
      <c r="AC38" s="2356"/>
      <c r="AD38" s="2246" t="s">
        <v>561</v>
      </c>
      <c r="AE38" s="2266"/>
      <c r="AF38" s="2437" t="s">
        <v>520</v>
      </c>
      <c r="AG38" s="2437"/>
      <c r="AH38" s="2329"/>
      <c r="AI38" s="2413"/>
      <c r="AJ38" s="2416"/>
      <c r="AK38" s="2266"/>
      <c r="AQ38" s="1419">
        <v>34</v>
      </c>
    </row>
    <row r="39" spans="1:43" ht="14.65" customHeight="1">
      <c r="Q39" s="225"/>
      <c r="R39" s="309"/>
      <c r="S39" s="2408"/>
      <c r="T39" s="2357"/>
      <c r="U39" s="874"/>
      <c r="V39" s="2461" t="str">
        <f>IF($AD$39&lt;&gt;"",$AD$39,"")</f>
        <v/>
      </c>
      <c r="W39" s="2461"/>
      <c r="X39" s="2333"/>
      <c r="Y39" s="2438"/>
      <c r="Z39" s="2438"/>
      <c r="AA39" s="2357"/>
      <c r="AB39" s="2356"/>
      <c r="AC39" s="2356"/>
      <c r="AD39" s="2470"/>
      <c r="AE39" s="2460"/>
      <c r="AF39" s="2438"/>
      <c r="AG39" s="2438"/>
      <c r="AH39" s="2334"/>
      <c r="AI39" s="2413"/>
      <c r="AJ39" s="2416"/>
      <c r="AK39" s="2266"/>
      <c r="AQ39" s="1419">
        <v>14</v>
      </c>
    </row>
    <row r="40" spans="1:43" ht="14.65" customHeight="1">
      <c r="A40" s="1054"/>
      <c r="B40" s="1054" t="s">
        <v>226</v>
      </c>
      <c r="C40" s="1054" t="s">
        <v>227</v>
      </c>
      <c r="D40" s="1054" t="s">
        <v>228</v>
      </c>
      <c r="E40" s="1098" t="s">
        <v>521</v>
      </c>
      <c r="F40" s="1098" t="s">
        <v>522</v>
      </c>
      <c r="G40" s="1098" t="s">
        <v>523</v>
      </c>
      <c r="H40" s="1098" t="s">
        <v>524</v>
      </c>
      <c r="I40" s="1098" t="s">
        <v>525</v>
      </c>
      <c r="J40" s="1098" t="s">
        <v>526</v>
      </c>
      <c r="K40" s="1098" t="s">
        <v>527</v>
      </c>
      <c r="L40" s="1098" t="s">
        <v>502</v>
      </c>
      <c r="Q40" s="225"/>
      <c r="R40" s="309"/>
      <c r="S40" s="2408"/>
      <c r="T40" s="2357"/>
      <c r="U40" s="236"/>
      <c r="V40" s="1700" t="s">
        <v>562</v>
      </c>
      <c r="W40" s="1700" t="s">
        <v>563</v>
      </c>
      <c r="X40" s="1688" t="s">
        <v>530</v>
      </c>
      <c r="Y40" s="2362" t="s">
        <v>531</v>
      </c>
      <c r="Z40" s="2374"/>
      <c r="AA40" s="2357"/>
      <c r="AB40" s="2356"/>
      <c r="AC40" s="2356"/>
      <c r="AD40" s="1718" t="s">
        <v>562</v>
      </c>
      <c r="AE40" s="1709" t="s">
        <v>563</v>
      </c>
      <c r="AF40" s="1688" t="s">
        <v>530</v>
      </c>
      <c r="AG40" s="2362" t="s">
        <v>531</v>
      </c>
      <c r="AH40" s="2375"/>
      <c r="AI40" s="2414"/>
      <c r="AJ40" s="2417"/>
      <c r="AK40" s="2266"/>
      <c r="AQ40" s="1419">
        <v>14</v>
      </c>
    </row>
    <row r="41" spans="1:43" s="1429" customFormat="1" ht="11.25" hidden="1" customHeight="1">
      <c r="A41" s="1054"/>
      <c r="B41" s="1054"/>
      <c r="C41" s="1054"/>
      <c r="D41" s="1054"/>
      <c r="E41" s="1054"/>
      <c r="F41" s="1054"/>
      <c r="G41" s="1054"/>
      <c r="H41" s="1054"/>
      <c r="I41" s="1054"/>
      <c r="J41" s="1054"/>
      <c r="K41" s="1054"/>
      <c r="L41" s="1098"/>
      <c r="M41" s="1715"/>
      <c r="N41" s="1715"/>
      <c r="O41" s="1715"/>
      <c r="P41" s="443"/>
      <c r="Q41" s="1042"/>
      <c r="R41" s="1042">
        <v>1</v>
      </c>
      <c r="S41" s="1065" t="s">
        <v>161</v>
      </c>
      <c r="T41" s="1043" t="s">
        <v>89</v>
      </c>
      <c r="U41" s="1033" t="str">
        <f ca="1">OFFSET(U41,0,-1)</f>
        <v>2</v>
      </c>
      <c r="V41" s="1706">
        <f ca="1">OFFSET(V41,0,-1)+1</f>
        <v>3</v>
      </c>
      <c r="W41" s="1706">
        <f ca="1">OFFSET(W41,0,-1)+1</f>
        <v>4</v>
      </c>
      <c r="X41" s="1706">
        <f ca="1">OFFSET(X41,0,-1)+1</f>
        <v>5</v>
      </c>
      <c r="Y41" s="2406">
        <f ca="1">OFFSET(Y41,0,-1)+1</f>
        <v>6</v>
      </c>
      <c r="Z41" s="2406"/>
      <c r="AA41" s="1129">
        <f ca="1">OFFSET(AA41,0,-2)+1</f>
        <v>7</v>
      </c>
      <c r="AB41" s="1129"/>
      <c r="AC41" s="1129"/>
      <c r="AD41" s="1706">
        <f ca="1">OFFSET(AD41,0,-1)+1</f>
        <v>1</v>
      </c>
      <c r="AE41" s="1706">
        <f ca="1">OFFSET(AE41,0,-1)+1</f>
        <v>2</v>
      </c>
      <c r="AF41" s="1706">
        <f ca="1">OFFSET(AF41,0,-1)+1</f>
        <v>3</v>
      </c>
      <c r="AG41" s="2406">
        <f ca="1">OFFSET(AG41,0,-1)+1</f>
        <v>4</v>
      </c>
      <c r="AH41" s="2406"/>
      <c r="AI41" s="1706">
        <f ca="1">OFFSET(AI41,0,-2)+1</f>
        <v>5</v>
      </c>
      <c r="AJ41" s="1033">
        <f ca="1">OFFSET(AJ41,0,-1)</f>
        <v>5</v>
      </c>
      <c r="AK41" s="1706">
        <f ca="1">OFFSET(AK41,0,-1)+1</f>
        <v>6</v>
      </c>
      <c r="AL41" s="1424"/>
      <c r="AM41" s="1424"/>
      <c r="AN41" s="1424"/>
      <c r="AO41" s="1424"/>
      <c r="AP41" s="1424"/>
      <c r="AQ41" s="1429">
        <v>0</v>
      </c>
    </row>
    <row r="42" spans="1:43" ht="107.25" customHeight="1">
      <c r="A42" s="1055" t="s">
        <v>290</v>
      </c>
      <c r="B42" s="1055"/>
      <c r="C42" s="1055"/>
      <c r="D42" s="1055"/>
      <c r="E42" s="2421">
        <v>1</v>
      </c>
      <c r="F42" s="1055"/>
      <c r="G42" s="1055"/>
      <c r="H42" s="1055"/>
      <c r="I42" s="1055"/>
      <c r="J42" s="1055"/>
      <c r="K42" s="1055"/>
      <c r="L42" s="1098"/>
      <c r="M42" s="1398"/>
      <c r="N42" s="1398"/>
      <c r="O42" s="1398"/>
      <c r="P42" s="1197"/>
      <c r="Q42" s="772"/>
      <c r="R42" s="288"/>
      <c r="S42" s="1708">
        <f>INDEX(PT_DIFFERENTIATION_NUM_NTAR,MATCH(A42,PT_DIFFERENTIATION_NTAR_ID,0))</f>
        <v>0</v>
      </c>
      <c r="T42" s="1313" t="s">
        <v>214</v>
      </c>
      <c r="U42" s="234"/>
      <c r="V42" s="2390"/>
      <c r="W42" s="2390"/>
      <c r="X42" s="2390"/>
      <c r="Y42" s="2390"/>
      <c r="Z42" s="2390"/>
      <c r="AA42" s="2391"/>
      <c r="AB42" s="1702"/>
      <c r="AC42" s="2390" t="str">
        <f>INDEX(PT_DIFFERENTIATION_NTAR,MATCH(A42,PT_DIFFERENTIATION_NTAR_ID,0))</f>
        <v/>
      </c>
      <c r="AD42" s="2390"/>
      <c r="AE42" s="2390"/>
      <c r="AF42" s="2390"/>
      <c r="AG42" s="2390"/>
      <c r="AH42" s="2390"/>
      <c r="AI42" s="2390"/>
      <c r="AJ42" s="2391"/>
      <c r="AK42" s="104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412"/>
      <c r="AN42" s="1412" t="str">
        <f t="shared" ref="AN42:AN56" si="1">IF(T42="","",T42)</f>
        <v>Наименование тарифа</v>
      </c>
      <c r="AO42" s="1412"/>
      <c r="AP42" s="1412"/>
      <c r="AQ42" s="1419">
        <v>102</v>
      </c>
    </row>
    <row r="43" spans="1:43" ht="21.95" customHeight="1">
      <c r="A43" s="1055" t="s">
        <v>290</v>
      </c>
      <c r="B43" s="1055" t="s">
        <v>291</v>
      </c>
      <c r="C43" s="1055"/>
      <c r="D43" s="1055"/>
      <c r="E43" s="2422"/>
      <c r="F43" s="2421">
        <v>1</v>
      </c>
      <c r="G43" s="1055"/>
      <c r="H43" s="1055"/>
      <c r="I43" s="1055"/>
      <c r="J43" s="1055"/>
      <c r="K43" s="1055"/>
      <c r="L43" s="1098"/>
      <c r="M43" s="1398"/>
      <c r="N43" s="1398"/>
      <c r="O43" s="1398"/>
      <c r="P43" s="1719"/>
      <c r="Q43" s="1199"/>
      <c r="R43" s="286"/>
      <c r="S43" s="1708" t="str">
        <f>INDEX(PT_DIFFERENTIATION_NUM_TER,MATCH(B43,PT_DIFFERENTIATION_TER_ID,0))</f>
        <v>.</v>
      </c>
      <c r="T43" s="1310" t="s">
        <v>481</v>
      </c>
      <c r="U43" s="234"/>
      <c r="V43" s="2390"/>
      <c r="W43" s="2390"/>
      <c r="X43" s="2390"/>
      <c r="Y43" s="2390"/>
      <c r="Z43" s="2390"/>
      <c r="AA43" s="2391"/>
      <c r="AB43" s="1702"/>
      <c r="AC43" s="2390" t="str">
        <f>INDEX(PT_DIFFERENTIATION_TER,MATCH(B43,PT_DIFFERENTIATION_TER_ID,0))</f>
        <v/>
      </c>
      <c r="AD43" s="2390"/>
      <c r="AE43" s="2390"/>
      <c r="AF43" s="2390"/>
      <c r="AG43" s="2390"/>
      <c r="AH43" s="2390"/>
      <c r="AI43" s="2390"/>
      <c r="AJ43" s="2391"/>
      <c r="AK43" s="1046" t="s">
        <v>482</v>
      </c>
      <c r="AM43" s="1412"/>
      <c r="AN43" s="1412" t="str">
        <f t="shared" si="1"/>
        <v>Территория действия тарифа</v>
      </c>
      <c r="AO43" s="1412"/>
      <c r="AP43" s="1412"/>
      <c r="AQ43" s="1419">
        <v>21</v>
      </c>
    </row>
    <row r="44" spans="1:43" ht="24" customHeight="1">
      <c r="A44" s="1055" t="s">
        <v>290</v>
      </c>
      <c r="B44" s="1055" t="s">
        <v>291</v>
      </c>
      <c r="C44" s="1055" t="s">
        <v>292</v>
      </c>
      <c r="D44" s="1055"/>
      <c r="E44" s="2422"/>
      <c r="F44" s="2422"/>
      <c r="G44" s="2421">
        <v>1</v>
      </c>
      <c r="H44" s="1055"/>
      <c r="I44" s="1055"/>
      <c r="J44" s="1055"/>
      <c r="K44" s="1055"/>
      <c r="L44" s="1098"/>
      <c r="M44" s="1398"/>
      <c r="N44" s="1398"/>
      <c r="O44" s="1398"/>
      <c r="P44" s="1200"/>
      <c r="Q44" s="1199"/>
      <c r="R44" s="286"/>
      <c r="S44" s="1708" t="str">
        <f>INDEX(PT_DIFFERENTIATION_NUM_CS,MATCH(C44,PT_DIFFERENTIATION_CS_ID,0))</f>
        <v>..</v>
      </c>
      <c r="T44" s="243" t="s">
        <v>483</v>
      </c>
      <c r="U44" s="234"/>
      <c r="V44" s="2390"/>
      <c r="W44" s="2390"/>
      <c r="X44" s="2390"/>
      <c r="Y44" s="2390"/>
      <c r="Z44" s="2390"/>
      <c r="AA44" s="2391"/>
      <c r="AB44" s="1702"/>
      <c r="AC44" s="2390" t="str">
        <f>INDEX(PT_DIFFERENTIATION_CS,MATCH(C44,PT_DIFFERENTIATION_CS_ID,0))</f>
        <v/>
      </c>
      <c r="AD44" s="2390"/>
      <c r="AE44" s="2390"/>
      <c r="AF44" s="2390"/>
      <c r="AG44" s="2390"/>
      <c r="AH44" s="2390"/>
      <c r="AI44" s="2390"/>
      <c r="AJ44" s="2391"/>
      <c r="AK44" s="1046" t="s">
        <v>484</v>
      </c>
      <c r="AM44" s="1412"/>
      <c r="AN44" s="1412" t="str">
        <f t="shared" si="1"/>
        <v xml:space="preserve">Наименование системы теплоснабжения </v>
      </c>
      <c r="AO44" s="1412"/>
      <c r="AP44" s="1412"/>
      <c r="AQ44" s="1419">
        <v>23</v>
      </c>
    </row>
    <row r="45" spans="1:43" ht="21.95" customHeight="1">
      <c r="A45" s="1055" t="s">
        <v>290</v>
      </c>
      <c r="B45" s="1055" t="s">
        <v>291</v>
      </c>
      <c r="C45" s="1055" t="s">
        <v>292</v>
      </c>
      <c r="D45" s="1055" t="s">
        <v>293</v>
      </c>
      <c r="E45" s="2422"/>
      <c r="F45" s="2422"/>
      <c r="G45" s="2422"/>
      <c r="H45" s="2421">
        <v>1</v>
      </c>
      <c r="I45" s="1055"/>
      <c r="J45" s="1055"/>
      <c r="K45" s="1055"/>
      <c r="L45" s="1098"/>
      <c r="M45" s="1398"/>
      <c r="N45" s="1398"/>
      <c r="O45" s="1398"/>
      <c r="P45" s="1200"/>
      <c r="Q45" s="1199"/>
      <c r="R45" s="286"/>
      <c r="S45" s="1708" t="str">
        <f>INDEX(PT_DIFFERENTIATION_NUM_IST_TE,MATCH(D45,PT_DIFFERENTIATION_IST_TE_ID,0))</f>
        <v>...</v>
      </c>
      <c r="T45" s="244" t="s">
        <v>485</v>
      </c>
      <c r="U45" s="234"/>
      <c r="V45" s="2390"/>
      <c r="W45" s="2390"/>
      <c r="X45" s="2390"/>
      <c r="Y45" s="2390"/>
      <c r="Z45" s="2390"/>
      <c r="AA45" s="2391"/>
      <c r="AB45" s="1702"/>
      <c r="AC45" s="2390" t="str">
        <f>INDEX(PT_DIFFERENTIATION_IST_TE,MATCH(D45,PT_DIFFERENTIATION_IST_TE_ID,0))</f>
        <v/>
      </c>
      <c r="AD45" s="2390"/>
      <c r="AE45" s="2390"/>
      <c r="AF45" s="2390"/>
      <c r="AG45" s="2390"/>
      <c r="AH45" s="2390"/>
      <c r="AI45" s="2390"/>
      <c r="AJ45" s="2391"/>
      <c r="AK45" s="1046" t="s">
        <v>486</v>
      </c>
      <c r="AM45" s="1412"/>
      <c r="AN45" s="1412" t="str">
        <f t="shared" si="1"/>
        <v xml:space="preserve">Источник тепловой энергии  </v>
      </c>
      <c r="AO45" s="1412"/>
      <c r="AP45" s="1412"/>
      <c r="AQ45" s="1419">
        <v>21</v>
      </c>
    </row>
    <row r="46" spans="1:43" s="1430" customFormat="1" ht="0" hidden="1" customHeight="1">
      <c r="A46" s="1163" t="s">
        <v>290</v>
      </c>
      <c r="B46" s="1163" t="s">
        <v>291</v>
      </c>
      <c r="C46" s="1163" t="s">
        <v>292</v>
      </c>
      <c r="D46" s="1163" t="s">
        <v>293</v>
      </c>
      <c r="E46" s="2422"/>
      <c r="F46" s="2422"/>
      <c r="G46" s="2422"/>
      <c r="H46" s="2422"/>
      <c r="I46" s="2266" t="str">
        <f>S45&amp;".1"</f>
        <v>....1</v>
      </c>
      <c r="J46" s="1163"/>
      <c r="K46" s="1163"/>
      <c r="L46" s="1169" t="s">
        <v>487</v>
      </c>
      <c r="M46" s="1034"/>
      <c r="N46" s="1034"/>
      <c r="O46" s="1034"/>
      <c r="P46" s="2399">
        <v>1</v>
      </c>
      <c r="Q46" s="1704"/>
      <c r="R46" s="289"/>
      <c r="S46" s="881"/>
      <c r="T46" s="1171"/>
      <c r="U46" s="1172"/>
      <c r="V46" s="2427"/>
      <c r="W46" s="2427"/>
      <c r="X46" s="2427"/>
      <c r="Y46" s="2427"/>
      <c r="Z46" s="2427"/>
      <c r="AA46" s="2428"/>
      <c r="AB46" s="1710"/>
      <c r="AC46" s="2427"/>
      <c r="AD46" s="2427"/>
      <c r="AE46" s="2427"/>
      <c r="AF46" s="2427"/>
      <c r="AG46" s="2427"/>
      <c r="AH46" s="2427"/>
      <c r="AI46" s="2427"/>
      <c r="AJ46" s="2428"/>
      <c r="AK46" s="1173"/>
      <c r="AM46" s="1412"/>
      <c r="AN46" s="1412" t="str">
        <f t="shared" si="1"/>
        <v/>
      </c>
      <c r="AO46" s="1412"/>
      <c r="AP46" s="1412"/>
      <c r="AQ46" s="1424">
        <v>0</v>
      </c>
    </row>
    <row r="47" spans="1:43" s="1430" customFormat="1" ht="0" hidden="1" customHeight="1">
      <c r="A47" s="1163" t="s">
        <v>290</v>
      </c>
      <c r="B47" s="1163" t="s">
        <v>291</v>
      </c>
      <c r="C47" s="1163" t="s">
        <v>292</v>
      </c>
      <c r="D47" s="1163" t="s">
        <v>293</v>
      </c>
      <c r="E47" s="2422"/>
      <c r="F47" s="2422"/>
      <c r="G47" s="2422"/>
      <c r="H47" s="2422"/>
      <c r="I47" s="2247"/>
      <c r="J47" s="2266" t="str">
        <f>S45&amp;".1"</f>
        <v>....1</v>
      </c>
      <c r="K47" s="1163"/>
      <c r="L47" s="1169"/>
      <c r="M47" s="1034"/>
      <c r="N47" s="1034"/>
      <c r="O47" s="1034"/>
      <c r="P47" s="2399"/>
      <c r="Q47" s="2399">
        <v>1</v>
      </c>
      <c r="R47" s="290"/>
      <c r="S47" s="881"/>
      <c r="T47" s="1187"/>
      <c r="U47" s="1172"/>
      <c r="V47" s="2427"/>
      <c r="W47" s="2427"/>
      <c r="X47" s="2427"/>
      <c r="Y47" s="2427"/>
      <c r="Z47" s="2427"/>
      <c r="AA47" s="2428"/>
      <c r="AB47" s="1710"/>
      <c r="AC47" s="2427"/>
      <c r="AD47" s="2427"/>
      <c r="AE47" s="2427"/>
      <c r="AF47" s="2427"/>
      <c r="AG47" s="2427"/>
      <c r="AH47" s="2427"/>
      <c r="AI47" s="2427"/>
      <c r="AJ47" s="2428"/>
      <c r="AK47" s="1173"/>
      <c r="AM47" s="1412"/>
      <c r="AN47" s="1412" t="str">
        <f t="shared" si="1"/>
        <v/>
      </c>
      <c r="AO47" s="1412"/>
      <c r="AP47" s="1412"/>
      <c r="AQ47" s="1424">
        <v>0</v>
      </c>
    </row>
    <row r="48" spans="1:43" ht="21.95" customHeight="1">
      <c r="A48" s="1055" t="s">
        <v>290</v>
      </c>
      <c r="B48" s="1055" t="s">
        <v>291</v>
      </c>
      <c r="C48" s="1055" t="s">
        <v>292</v>
      </c>
      <c r="D48" s="1055" t="s">
        <v>293</v>
      </c>
      <c r="E48" s="2422"/>
      <c r="F48" s="2422"/>
      <c r="G48" s="2422"/>
      <c r="H48" s="2422"/>
      <c r="I48" s="2247"/>
      <c r="J48" s="2247"/>
      <c r="K48" s="1691" t="str">
        <f>S45&amp;".1"</f>
        <v>....1</v>
      </c>
      <c r="L48" s="1098"/>
      <c r="P48" s="2399"/>
      <c r="Q48" s="2399"/>
      <c r="R48" s="290">
        <v>1</v>
      </c>
      <c r="S48" s="1712" t="str">
        <f>$K48</f>
        <v>....1</v>
      </c>
      <c r="T48" s="1711"/>
      <c r="U48" s="234"/>
      <c r="V48" s="658"/>
      <c r="W48" s="1045"/>
      <c r="X48" s="1705"/>
      <c r="Y48" s="1692" t="s">
        <v>52</v>
      </c>
      <c r="Z48" s="1705"/>
      <c r="AA48" s="1692" t="s">
        <v>52</v>
      </c>
      <c r="AB48" s="1714"/>
      <c r="AC48" s="1713" t="s">
        <v>9</v>
      </c>
      <c r="AD48" s="658"/>
      <c r="AE48" s="1045"/>
      <c r="AF48" s="1705"/>
      <c r="AG48" s="1692" t="s">
        <v>52</v>
      </c>
      <c r="AH48" s="1705"/>
      <c r="AI48" s="1692" t="s">
        <v>52</v>
      </c>
      <c r="AJ48" s="1136"/>
      <c r="AK48" s="2418" t="s">
        <v>564</v>
      </c>
      <c r="AL48" s="1424" t="e">
        <f ca="1">STRCHECKDATE(#REF!)</f>
        <v>#NAME?</v>
      </c>
      <c r="AM48" s="1412"/>
      <c r="AN48" s="1412" t="str">
        <f t="shared" si="1"/>
        <v/>
      </c>
      <c r="AO48" s="1412"/>
      <c r="AP48" s="1412"/>
      <c r="AQ48" s="1419">
        <v>21</v>
      </c>
    </row>
    <row r="49" spans="1:43" ht="11.45" customHeight="1">
      <c r="A49" s="1055" t="s">
        <v>290</v>
      </c>
      <c r="B49" s="1055" t="s">
        <v>291</v>
      </c>
      <c r="C49" s="1055" t="s">
        <v>292</v>
      </c>
      <c r="D49" s="1055" t="s">
        <v>293</v>
      </c>
      <c r="E49" s="2422"/>
      <c r="F49" s="2422"/>
      <c r="G49" s="2422"/>
      <c r="H49" s="2422"/>
      <c r="I49" s="2247"/>
      <c r="J49" s="2266"/>
      <c r="K49" s="1055"/>
      <c r="L49" s="1098"/>
      <c r="P49" s="2399"/>
      <c r="Q49" s="2399"/>
      <c r="R49" s="289"/>
      <c r="S49" s="1066"/>
      <c r="T49" s="221" t="s">
        <v>552</v>
      </c>
      <c r="U49" s="531"/>
      <c r="V49" s="531"/>
      <c r="W49" s="531"/>
      <c r="X49" s="531"/>
      <c r="Y49" s="531"/>
      <c r="Z49" s="531"/>
      <c r="AA49" s="258"/>
      <c r="AB49" s="531"/>
      <c r="AC49" s="531"/>
      <c r="AD49" s="531"/>
      <c r="AE49" s="531"/>
      <c r="AF49" s="531"/>
      <c r="AG49" s="531"/>
      <c r="AH49" s="531"/>
      <c r="AI49" s="531"/>
      <c r="AJ49" s="258"/>
      <c r="AK49" s="2420"/>
      <c r="AM49" s="1412"/>
      <c r="AN49" s="1412" t="str">
        <f t="shared" si="1"/>
        <v>Добавить строку</v>
      </c>
      <c r="AO49" s="1412"/>
      <c r="AP49" s="1412"/>
      <c r="AQ49" s="1419">
        <v>11</v>
      </c>
    </row>
    <row r="50" spans="1:43" s="1430" customFormat="1" ht="1.1499999999999999" customHeight="1">
      <c r="A50" s="1163" t="s">
        <v>290</v>
      </c>
      <c r="B50" s="1163" t="s">
        <v>291</v>
      </c>
      <c r="C50" s="1163" t="s">
        <v>292</v>
      </c>
      <c r="D50" s="1163" t="s">
        <v>293</v>
      </c>
      <c r="E50" s="2422"/>
      <c r="F50" s="2422"/>
      <c r="G50" s="2422"/>
      <c r="H50" s="2422"/>
      <c r="I50" s="2266"/>
      <c r="J50" s="1163"/>
      <c r="K50" s="1163"/>
      <c r="L50" s="1169"/>
      <c r="M50" s="1034"/>
      <c r="N50" s="1034"/>
      <c r="O50" s="1034"/>
      <c r="P50" s="2399"/>
      <c r="Q50" s="1704"/>
      <c r="R50" s="289"/>
      <c r="S50" s="1174"/>
      <c r="T50" s="1175" t="s">
        <v>496</v>
      </c>
      <c r="U50" s="1176"/>
      <c r="V50" s="1176"/>
      <c r="W50" s="1176"/>
      <c r="X50" s="1176"/>
      <c r="Y50" s="1176"/>
      <c r="Z50" s="1176"/>
      <c r="AA50" s="1176"/>
      <c r="AB50" s="1176"/>
      <c r="AC50" s="1176"/>
      <c r="AD50" s="1176"/>
      <c r="AE50" s="1176"/>
      <c r="AF50" s="1176"/>
      <c r="AG50" s="1176"/>
      <c r="AH50" s="1176"/>
      <c r="AI50" s="1176"/>
      <c r="AJ50" s="1176"/>
      <c r="AK50" s="1177"/>
      <c r="AM50" s="1412"/>
      <c r="AN50" s="1412" t="str">
        <f t="shared" si="1"/>
        <v>Добавить группу потребителей</v>
      </c>
      <c r="AO50" s="1412"/>
      <c r="AP50" s="1412"/>
      <c r="AQ50" s="1424">
        <v>1</v>
      </c>
    </row>
    <row r="51" spans="1:43" s="1429" customFormat="1" ht="1.1499999999999999" customHeight="1">
      <c r="A51" s="1163" t="s">
        <v>290</v>
      </c>
      <c r="B51" s="1163" t="s">
        <v>291</v>
      </c>
      <c r="C51" s="1163" t="s">
        <v>292</v>
      </c>
      <c r="D51" s="1163" t="s">
        <v>293</v>
      </c>
      <c r="E51" s="2422"/>
      <c r="F51" s="2422"/>
      <c r="G51" s="2422"/>
      <c r="H51" s="2421"/>
      <c r="I51" s="1163"/>
      <c r="J51" s="1163"/>
      <c r="K51" s="1163"/>
      <c r="L51" s="1169"/>
      <c r="M51" s="1166"/>
      <c r="N51" s="1166"/>
      <c r="O51" s="284"/>
      <c r="P51" s="313"/>
      <c r="Q51" s="1132"/>
      <c r="R51" s="1188"/>
      <c r="S51" s="1174"/>
      <c r="T51" s="1175"/>
      <c r="U51" s="1176"/>
      <c r="V51" s="1176"/>
      <c r="W51" s="1176"/>
      <c r="X51" s="1176"/>
      <c r="Y51" s="1176"/>
      <c r="Z51" s="1176"/>
      <c r="AA51" s="1176"/>
      <c r="AB51" s="1176"/>
      <c r="AC51" s="1176"/>
      <c r="AD51" s="1176"/>
      <c r="AE51" s="1176"/>
      <c r="AF51" s="1176"/>
      <c r="AG51" s="1176"/>
      <c r="AH51" s="1176"/>
      <c r="AI51" s="1176"/>
      <c r="AJ51" s="1176"/>
      <c r="AK51" s="1177"/>
      <c r="AL51" s="1424"/>
      <c r="AM51" s="1412"/>
      <c r="AN51" s="1412" t="str">
        <f t="shared" si="1"/>
        <v/>
      </c>
      <c r="AO51" s="1412"/>
      <c r="AP51" s="1412"/>
      <c r="AQ51" s="1429">
        <v>1</v>
      </c>
    </row>
    <row r="52" spans="1:43" s="1430" customFormat="1" ht="1.1499999999999999" customHeight="1">
      <c r="A52" s="1163" t="s">
        <v>290</v>
      </c>
      <c r="B52" s="1163" t="s">
        <v>291</v>
      </c>
      <c r="C52" s="1163" t="s">
        <v>292</v>
      </c>
      <c r="D52" s="1162"/>
      <c r="E52" s="2422"/>
      <c r="F52" s="2422"/>
      <c r="G52" s="2421"/>
      <c r="H52" s="1162"/>
      <c r="I52" s="1162"/>
      <c r="J52" s="1162"/>
      <c r="K52" s="1162"/>
      <c r="L52" s="1165"/>
      <c r="M52" s="1166"/>
      <c r="N52" s="1166"/>
      <c r="O52" s="284"/>
      <c r="P52" s="1104"/>
      <c r="Q52" s="1105"/>
      <c r="R52" s="1104"/>
      <c r="S52" s="1110"/>
      <c r="T52" s="1113" t="s">
        <v>498</v>
      </c>
      <c r="U52" s="1112"/>
      <c r="V52" s="1112"/>
      <c r="W52" s="1112"/>
      <c r="X52" s="1112"/>
      <c r="Y52" s="1112"/>
      <c r="Z52" s="1112"/>
      <c r="AA52" s="1112"/>
      <c r="AB52" s="1112"/>
      <c r="AC52" s="1112"/>
      <c r="AD52" s="1112"/>
      <c r="AE52" s="1112"/>
      <c r="AF52" s="1112"/>
      <c r="AG52" s="1112"/>
      <c r="AH52" s="1112"/>
      <c r="AI52" s="1112"/>
      <c r="AJ52" s="1112"/>
      <c r="AK52" s="1112"/>
      <c r="AM52" s="1039"/>
      <c r="AN52" s="1039" t="str">
        <f t="shared" si="1"/>
        <v>Добавить источник для дифференциации</v>
      </c>
      <c r="AO52" s="1039"/>
      <c r="AP52" s="1039"/>
      <c r="AQ52" s="1430">
        <v>1</v>
      </c>
    </row>
    <row r="53" spans="1:43" s="1430" customFormat="1" ht="1.1499999999999999" customHeight="1">
      <c r="A53" s="1163" t="s">
        <v>290</v>
      </c>
      <c r="B53" s="1163" t="s">
        <v>291</v>
      </c>
      <c r="C53" s="1162"/>
      <c r="D53" s="1162"/>
      <c r="E53" s="2422"/>
      <c r="F53" s="2421"/>
      <c r="G53" s="1162"/>
      <c r="H53" s="1162"/>
      <c r="I53" s="1162"/>
      <c r="J53" s="1162"/>
      <c r="K53" s="1162"/>
      <c r="L53" s="1165"/>
      <c r="M53" s="1167"/>
      <c r="N53" s="1167"/>
      <c r="O53" s="284"/>
      <c r="P53" s="1104"/>
      <c r="Q53" s="1105"/>
      <c r="R53" s="1104"/>
      <c r="S53" s="1110"/>
      <c r="T53" s="1113" t="s">
        <v>499</v>
      </c>
      <c r="U53" s="1112"/>
      <c r="V53" s="1112"/>
      <c r="W53" s="1112"/>
      <c r="X53" s="1112"/>
      <c r="Y53" s="1112"/>
      <c r="Z53" s="1112"/>
      <c r="AA53" s="1112"/>
      <c r="AB53" s="1112"/>
      <c r="AC53" s="1112"/>
      <c r="AD53" s="1112"/>
      <c r="AE53" s="1112"/>
      <c r="AF53" s="1112"/>
      <c r="AG53" s="1112"/>
      <c r="AH53" s="1112"/>
      <c r="AI53" s="1112"/>
      <c r="AJ53" s="1112"/>
      <c r="AK53" s="1112"/>
      <c r="AM53" s="1039"/>
      <c r="AN53" s="1039" t="str">
        <f t="shared" si="1"/>
        <v>Добавить централизованную систему для дифференциации</v>
      </c>
      <c r="AO53" s="1039"/>
      <c r="AP53" s="1039"/>
      <c r="AQ53" s="1430">
        <v>1</v>
      </c>
    </row>
    <row r="54" spans="1:43" s="1430" customFormat="1" ht="1.1499999999999999" customHeight="1">
      <c r="A54" s="1163" t="s">
        <v>290</v>
      </c>
      <c r="B54" s="1163"/>
      <c r="C54" s="1163"/>
      <c r="D54" s="1163"/>
      <c r="E54" s="2422"/>
      <c r="F54" s="1163"/>
      <c r="G54" s="1163"/>
      <c r="H54" s="1163"/>
      <c r="I54" s="1163"/>
      <c r="J54" s="1163"/>
      <c r="K54" s="1163"/>
      <c r="L54" s="1169"/>
      <c r="M54" s="1167"/>
      <c r="N54" s="1167"/>
      <c r="O54" s="284"/>
      <c r="P54" s="313"/>
      <c r="Q54" s="1132"/>
      <c r="R54" s="313"/>
      <c r="S54" s="1110"/>
      <c r="T54" s="1113" t="s">
        <v>500</v>
      </c>
      <c r="U54" s="1112"/>
      <c r="V54" s="1112"/>
      <c r="W54" s="1112"/>
      <c r="X54" s="1112"/>
      <c r="Y54" s="1112"/>
      <c r="Z54" s="1112"/>
      <c r="AA54" s="1112"/>
      <c r="AB54" s="1112"/>
      <c r="AC54" s="1112"/>
      <c r="AD54" s="1112"/>
      <c r="AE54" s="1112"/>
      <c r="AF54" s="1112"/>
      <c r="AG54" s="1112"/>
      <c r="AH54" s="1112"/>
      <c r="AI54" s="1112"/>
      <c r="AJ54" s="1112"/>
      <c r="AK54" s="1112"/>
      <c r="AM54" s="1412"/>
      <c r="AN54" s="1412" t="str">
        <f t="shared" si="1"/>
        <v>Добавить территорию для дифференциации</v>
      </c>
      <c r="AO54" s="1412"/>
      <c r="AP54" s="1412"/>
      <c r="AQ54" s="1424">
        <v>1</v>
      </c>
    </row>
    <row r="55" spans="1:43" s="1430" customFormat="1" ht="1.1499999999999999" customHeight="1">
      <c r="A55" s="1163" t="s">
        <v>290</v>
      </c>
      <c r="B55" s="1163"/>
      <c r="C55" s="1163"/>
      <c r="D55" s="1163"/>
      <c r="E55" s="2421"/>
      <c r="F55" s="1163"/>
      <c r="G55" s="1163"/>
      <c r="H55" s="1163"/>
      <c r="I55" s="1163"/>
      <c r="J55" s="1163"/>
      <c r="K55" s="1163"/>
      <c r="L55" s="1169"/>
      <c r="M55" s="1167"/>
      <c r="N55" s="1167"/>
      <c r="O55" s="284"/>
      <c r="P55" s="313"/>
      <c r="Q55" s="1132"/>
      <c r="R55" s="313"/>
      <c r="S55" s="1110"/>
      <c r="T55" s="1113" t="s">
        <v>500</v>
      </c>
      <c r="U55" s="1112"/>
      <c r="V55" s="1112"/>
      <c r="W55" s="1112"/>
      <c r="X55" s="1112"/>
      <c r="Y55" s="1112"/>
      <c r="Z55" s="1112"/>
      <c r="AA55" s="1112"/>
      <c r="AB55" s="1112"/>
      <c r="AC55" s="1112"/>
      <c r="AD55" s="1112"/>
      <c r="AE55" s="1112"/>
      <c r="AF55" s="1112"/>
      <c r="AG55" s="1112"/>
      <c r="AH55" s="1112"/>
      <c r="AI55" s="1112"/>
      <c r="AJ55" s="1112"/>
      <c r="AK55" s="1112"/>
      <c r="AM55" s="1412"/>
      <c r="AN55" s="1412" t="str">
        <f t="shared" si="1"/>
        <v>Добавить территорию для дифференциации</v>
      </c>
      <c r="AO55" s="1412"/>
      <c r="AP55" s="1412"/>
      <c r="AQ55" s="1424">
        <v>1</v>
      </c>
    </row>
    <row r="56" spans="1:43" s="1430" customFormat="1" ht="1.1499999999999999" customHeight="1">
      <c r="A56" s="1162"/>
      <c r="B56" s="1162"/>
      <c r="C56" s="1162"/>
      <c r="D56" s="1162"/>
      <c r="E56" s="1163"/>
      <c r="F56" s="1162"/>
      <c r="G56" s="1162"/>
      <c r="H56" s="1162"/>
      <c r="I56" s="1162"/>
      <c r="J56" s="1162"/>
      <c r="K56" s="1162"/>
      <c r="L56" s="1165"/>
      <c r="M56" s="1167"/>
      <c r="N56" s="1167"/>
      <c r="O56" s="284"/>
      <c r="P56" s="1104"/>
      <c r="Q56" s="1105"/>
      <c r="R56" s="1104"/>
      <c r="S56" s="1110"/>
      <c r="T56" s="1113" t="s">
        <v>532</v>
      </c>
      <c r="U56" s="1112"/>
      <c r="V56" s="1112"/>
      <c r="W56" s="1112"/>
      <c r="X56" s="1112"/>
      <c r="Y56" s="1112"/>
      <c r="Z56" s="1112"/>
      <c r="AA56" s="1112"/>
      <c r="AB56" s="1112"/>
      <c r="AC56" s="1112"/>
      <c r="AD56" s="1112"/>
      <c r="AE56" s="1112"/>
      <c r="AF56" s="1112"/>
      <c r="AG56" s="1112"/>
      <c r="AH56" s="1112"/>
      <c r="AI56" s="1112"/>
      <c r="AJ56" s="1112"/>
      <c r="AK56" s="1112"/>
      <c r="AM56" s="1039"/>
      <c r="AN56" s="1039" t="str">
        <f t="shared" si="1"/>
        <v>Добавить наименование тарифа</v>
      </c>
      <c r="AO56" s="1039"/>
      <c r="AP56" s="1039"/>
      <c r="AQ56" s="1430">
        <v>1</v>
      </c>
    </row>
    <row r="57" spans="1:43" ht="11.45" customHeight="1">
      <c r="M57" s="1419"/>
      <c r="N57" s="1419"/>
      <c r="O57" s="1423"/>
      <c r="P57" s="1154"/>
      <c r="Q57" s="1154"/>
      <c r="R57" s="1419"/>
      <c r="S57" s="1419"/>
      <c r="AL57" s="1419"/>
      <c r="AM57" s="1419"/>
      <c r="AN57" s="1419"/>
      <c r="AO57" s="1419"/>
      <c r="AP57" s="1419"/>
      <c r="AQ57" s="1419">
        <v>11</v>
      </c>
    </row>
    <row r="58" spans="1:43" ht="19.899999999999999" customHeight="1">
      <c r="O58" s="1423"/>
      <c r="S58" s="1041"/>
      <c r="T58" s="2394"/>
      <c r="U58" s="2394"/>
      <c r="V58" s="2394"/>
      <c r="W58" s="2394"/>
      <c r="X58" s="2394"/>
      <c r="Y58" s="2394"/>
      <c r="Z58" s="2394"/>
      <c r="AA58" s="2394"/>
      <c r="AB58" s="2394"/>
      <c r="AC58" s="2394"/>
      <c r="AD58" s="2394"/>
      <c r="AE58" s="2394"/>
      <c r="AF58" s="2394"/>
      <c r="AG58" s="2394"/>
      <c r="AH58" s="2394"/>
      <c r="AI58" s="2394"/>
      <c r="AJ58" s="2394"/>
      <c r="AK58" s="2394"/>
      <c r="AQ58" s="1419">
        <v>19</v>
      </c>
    </row>
    <row r="59" spans="1:43" ht="21" customHeight="1">
      <c r="O59" s="1423"/>
      <c r="T59" s="2394"/>
      <c r="U59" s="2394"/>
      <c r="V59" s="2394"/>
      <c r="W59" s="2394"/>
      <c r="X59" s="2394"/>
      <c r="Y59" s="2394"/>
      <c r="Z59" s="2394"/>
      <c r="AA59" s="2394"/>
      <c r="AB59" s="2394"/>
      <c r="AC59" s="2394"/>
      <c r="AD59" s="2394"/>
      <c r="AE59" s="2394"/>
      <c r="AF59" s="2394"/>
      <c r="AG59" s="2394"/>
      <c r="AH59" s="2394"/>
      <c r="AI59" s="2394"/>
      <c r="AJ59" s="2394"/>
      <c r="AK59" s="2394"/>
      <c r="AQ59" s="1419">
        <v>20</v>
      </c>
    </row>
    <row r="60" spans="1:43" ht="14.65" customHeight="1">
      <c r="O60" s="1423"/>
      <c r="T60" s="1703"/>
      <c r="U60" s="1703"/>
      <c r="V60" s="1703"/>
      <c r="W60" s="1703"/>
      <c r="X60" s="1703"/>
      <c r="Y60" s="1703"/>
      <c r="Z60" s="1703"/>
      <c r="AA60" s="1703"/>
      <c r="AB60" s="1703"/>
      <c r="AC60" s="1703"/>
      <c r="AD60" s="1703"/>
      <c r="AE60" s="1703"/>
      <c r="AF60" s="1703"/>
      <c r="AG60" s="1703"/>
      <c r="AH60" s="1703"/>
      <c r="AI60" s="1703"/>
      <c r="AJ60" s="1703"/>
      <c r="AK60" s="1703"/>
      <c r="AQ60" s="1419">
        <v>14</v>
      </c>
    </row>
    <row r="61" spans="1:43" ht="19.899999999999999" customHeight="1">
      <c r="O61" s="1423"/>
      <c r="T61" s="2394"/>
      <c r="U61" s="2394"/>
      <c r="V61" s="2394"/>
      <c r="W61" s="2394"/>
      <c r="X61" s="2394"/>
      <c r="Y61" s="2394"/>
      <c r="Z61" s="2394"/>
      <c r="AA61" s="2394"/>
      <c r="AB61" s="2394"/>
      <c r="AC61" s="2394"/>
      <c r="AD61" s="2394"/>
      <c r="AE61" s="2394"/>
      <c r="AF61" s="2394"/>
      <c r="AG61" s="2394"/>
      <c r="AH61" s="2394"/>
      <c r="AI61" s="2394"/>
      <c r="AJ61" s="2394"/>
      <c r="AK61" s="2394"/>
      <c r="AQ61" s="1419">
        <v>19</v>
      </c>
    </row>
    <row r="62" spans="1:43" ht="16.899999999999999" customHeight="1">
      <c r="O62" s="1423"/>
      <c r="T62" s="2394"/>
      <c r="U62" s="2394"/>
      <c r="V62" s="2394"/>
      <c r="W62" s="2394"/>
      <c r="X62" s="2394"/>
      <c r="Y62" s="2394"/>
      <c r="Z62" s="2394"/>
      <c r="AA62" s="2394"/>
      <c r="AB62" s="2394"/>
      <c r="AC62" s="2394"/>
      <c r="AD62" s="2394"/>
      <c r="AE62" s="2394"/>
      <c r="AF62" s="2394"/>
      <c r="AG62" s="2394"/>
      <c r="AH62" s="2394"/>
      <c r="AI62" s="2394"/>
      <c r="AJ62" s="2394"/>
      <c r="AK62" s="2394"/>
      <c r="AQ62" s="1419">
        <v>16</v>
      </c>
    </row>
    <row r="63" spans="1:43" ht="14.65" customHeight="1">
      <c r="O63" s="1423"/>
      <c r="AQ63" s="1419">
        <v>14</v>
      </c>
    </row>
    <row r="64" spans="1:43" ht="22.5" hidden="1" customHeight="1">
      <c r="A64" s="1419" t="s">
        <v>69</v>
      </c>
      <c r="B64" s="1419">
        <v>0</v>
      </c>
      <c r="C64" s="1419">
        <v>0</v>
      </c>
      <c r="D64" s="1419">
        <v>0</v>
      </c>
      <c r="E64" s="1419">
        <v>0</v>
      </c>
      <c r="F64" s="1419">
        <v>0</v>
      </c>
      <c r="G64" s="1419">
        <v>0</v>
      </c>
      <c r="H64" s="1419">
        <v>0</v>
      </c>
      <c r="I64" s="1419">
        <v>0</v>
      </c>
      <c r="J64" s="1419">
        <v>0</v>
      </c>
      <c r="K64" s="1419">
        <v>0</v>
      </c>
      <c r="L64" s="1689">
        <v>0</v>
      </c>
      <c r="M64" s="1715">
        <v>0</v>
      </c>
      <c r="N64" s="1715">
        <v>0</v>
      </c>
      <c r="O64" s="1715">
        <v>0</v>
      </c>
      <c r="P64" s="1150">
        <v>3</v>
      </c>
      <c r="Q64" s="1159">
        <v>3</v>
      </c>
      <c r="R64" s="278">
        <v>3</v>
      </c>
      <c r="S64" s="512">
        <v>12</v>
      </c>
      <c r="T64" s="1419">
        <v>31</v>
      </c>
      <c r="U64" s="1419">
        <v>0</v>
      </c>
      <c r="V64" s="1419">
        <v>0</v>
      </c>
      <c r="W64" s="1419">
        <v>0</v>
      </c>
      <c r="X64" s="1419">
        <v>0</v>
      </c>
      <c r="Y64" s="1419">
        <v>0</v>
      </c>
      <c r="Z64" s="1419">
        <v>0</v>
      </c>
      <c r="AA64" s="1419">
        <v>0</v>
      </c>
      <c r="AB64" s="1419">
        <v>27</v>
      </c>
      <c r="AC64" s="1419">
        <v>24</v>
      </c>
      <c r="AD64" s="1419">
        <v>21</v>
      </c>
      <c r="AE64" s="1419">
        <v>21</v>
      </c>
      <c r="AF64" s="1419">
        <v>11</v>
      </c>
      <c r="AG64" s="1419">
        <v>3</v>
      </c>
      <c r="AH64" s="1419">
        <v>11</v>
      </c>
      <c r="AI64" s="1419">
        <v>8</v>
      </c>
      <c r="AJ64" s="1419">
        <v>4</v>
      </c>
      <c r="AK64" s="1419">
        <v>115</v>
      </c>
      <c r="AL64" s="1424">
        <v>10</v>
      </c>
      <c r="AM64" s="1424">
        <v>10</v>
      </c>
      <c r="AN64" s="1424">
        <v>10</v>
      </c>
      <c r="AO64" s="1424">
        <v>10</v>
      </c>
      <c r="AP64" s="1424">
        <v>10</v>
      </c>
      <c r="AQ64" s="141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154" hidden="1" customWidth="1"/>
    <col min="2" max="2" width="11" style="1154" hidden="1" customWidth="1"/>
    <col min="3" max="3" width="10.5703125" style="1154" hidden="1"/>
    <col min="4" max="4" width="12.85546875" style="1154" hidden="1" customWidth="1"/>
    <col min="5" max="5" width="10" style="1154" hidden="1" customWidth="1"/>
    <col min="6" max="6" width="8.7109375" style="1154" hidden="1" customWidth="1"/>
    <col min="7" max="7" width="7.5703125" style="1154" hidden="1" customWidth="1"/>
    <col min="8" max="8" width="11.42578125" style="1154" hidden="1" customWidth="1"/>
    <col min="9" max="9" width="12" style="1154" hidden="1" customWidth="1"/>
    <col min="10" max="10" width="9.85546875" style="1154" hidden="1" customWidth="1"/>
    <col min="11" max="11" width="11.42578125" style="1154" hidden="1" customWidth="1"/>
    <col min="12" max="12" width="19.140625" style="1866" hidden="1" customWidth="1"/>
    <col min="13" max="14" width="12.28515625" style="1535" hidden="1" customWidth="1"/>
    <col min="15" max="15" width="23.42578125" style="1535" hidden="1" customWidth="1"/>
    <col min="16" max="16" width="3.7109375" style="1535" hidden="1" customWidth="1"/>
    <col min="17" max="17" width="3.7109375" style="1159" hidden="1" customWidth="1"/>
    <col min="18" max="18" width="3" style="278" customWidth="1"/>
    <col min="19" max="19" width="12" style="1858" customWidth="1"/>
    <col min="20" max="20" width="31" style="1423" customWidth="1"/>
    <col min="21" max="21" width="0.140625" style="1423" customWidth="1"/>
    <col min="22" max="25" width="21.7109375" style="1423" hidden="1" customWidth="1"/>
    <col min="26" max="26" width="11.7109375" style="1423" hidden="1" customWidth="1"/>
    <col min="27" max="27" width="3.7109375" style="1423" hidden="1" customWidth="1"/>
    <col min="28" max="28" width="11.7109375" style="1423" hidden="1" customWidth="1"/>
    <col min="29" max="29" width="8.5703125" style="1423" hidden="1" customWidth="1"/>
    <col min="30" max="30" width="3.7109375" style="1423" customWidth="1"/>
    <col min="31" max="32" width="3" style="1423" customWidth="1"/>
    <col min="33" max="33" width="24" style="1423" customWidth="1"/>
    <col min="34" max="34" width="3.7109375" style="1423" customWidth="1"/>
    <col min="35" max="36" width="3" style="1423" customWidth="1"/>
    <col min="37" max="37" width="24" style="1423" customWidth="1"/>
    <col min="38" max="38" width="3.7109375" style="1423" customWidth="1"/>
    <col min="39" max="40" width="3" style="1423" customWidth="1"/>
    <col min="41" max="41" width="18" style="1423" customWidth="1"/>
    <col min="42" max="42" width="3.7109375" style="1423" customWidth="1"/>
    <col min="43" max="44" width="3" style="1423" customWidth="1"/>
    <col min="45" max="45" width="18" style="1423" customWidth="1"/>
    <col min="46" max="49" width="21" style="1423" customWidth="1"/>
    <col min="50" max="50" width="11" style="1423" customWidth="1"/>
    <col min="51" max="51" width="3.7109375" style="1423" customWidth="1"/>
    <col min="52" max="52" width="11" style="1423" customWidth="1"/>
    <col min="53" max="53" width="8.5703125" style="1423" hidden="1" customWidth="1"/>
    <col min="54" max="54" width="4" style="1423" customWidth="1"/>
    <col min="55" max="55" width="115" style="1423" customWidth="1"/>
    <col min="56" max="60" width="10" style="1430" customWidth="1"/>
    <col min="61" max="61" width="10.5703125" style="1423" hidden="1"/>
  </cols>
  <sheetData>
    <row r="1" spans="1:61" ht="22.5" hidden="1" customHeight="1">
      <c r="W1" s="261"/>
      <c r="Y1" s="261"/>
      <c r="Z1" s="261"/>
      <c r="AW1" s="261"/>
      <c r="AX1" s="261"/>
      <c r="BI1" s="956" t="s">
        <v>1</v>
      </c>
    </row>
    <row r="2" spans="1:61" ht="21" hidden="1" customHeight="1">
      <c r="A2" s="1151"/>
      <c r="B2" s="1151"/>
      <c r="C2" s="1151"/>
      <c r="D2" s="1151"/>
      <c r="E2" s="2395">
        <v>1</v>
      </c>
      <c r="F2" s="1151"/>
      <c r="G2" s="1151"/>
      <c r="H2" s="1151"/>
      <c r="I2" s="1151"/>
      <c r="J2" s="1151"/>
      <c r="K2" s="1151"/>
      <c r="L2" s="1152"/>
      <c r="M2" s="1153"/>
      <c r="N2" s="1153"/>
      <c r="O2" s="1153"/>
      <c r="P2" s="1197"/>
      <c r="Q2" s="772"/>
      <c r="R2" s="288"/>
      <c r="S2" s="1253" t="e">
        <f>INDEX(PT_DIFFERENTIATION_NUM_NTAR,MATCH(A2,PT_DIFFERENTIATION_NTAR_ID,0))</f>
        <v>#N/A</v>
      </c>
      <c r="T2" s="232" t="s">
        <v>214</v>
      </c>
      <c r="U2" s="234"/>
      <c r="V2" s="2390"/>
      <c r="W2" s="2390"/>
      <c r="X2" s="2390"/>
      <c r="Y2" s="2390"/>
      <c r="Z2" s="2390"/>
      <c r="AA2" s="2390"/>
      <c r="AB2" s="2390"/>
      <c r="AC2" s="2391"/>
      <c r="AD2" s="2389" t="e">
        <f>INDEX(PT_DIFFERENTIATION_NTAR,MATCH(A2,PT_DIFFERENTIATION_NTAR_ID,0))</f>
        <v>#N/A</v>
      </c>
      <c r="AE2" s="2390"/>
      <c r="AF2" s="2390"/>
      <c r="AG2" s="2390"/>
      <c r="AH2" s="2390"/>
      <c r="AI2" s="2390"/>
      <c r="AJ2" s="2390"/>
      <c r="AK2" s="2390"/>
      <c r="AL2" s="2390"/>
      <c r="AM2" s="2390"/>
      <c r="AN2" s="2390"/>
      <c r="AO2" s="2390"/>
      <c r="AP2" s="2390"/>
      <c r="AQ2" s="2390"/>
      <c r="AR2" s="2390"/>
      <c r="AS2" s="2390"/>
      <c r="AT2" s="2390"/>
      <c r="AU2" s="2390"/>
      <c r="AV2" s="2390"/>
      <c r="AW2" s="2390"/>
      <c r="AX2" s="2390"/>
      <c r="AY2" s="2390"/>
      <c r="AZ2" s="2390"/>
      <c r="BA2" s="2390"/>
      <c r="BB2" s="2391"/>
      <c r="BC2" s="104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3"/>
      <c r="BF2" s="433" t="str">
        <f t="shared" ref="BF2:BF8" si="0">IF(T2="","",T2)</f>
        <v>Наименование тарифа</v>
      </c>
      <c r="BG2" s="433"/>
      <c r="BH2" s="433"/>
      <c r="BI2" s="956">
        <v>0</v>
      </c>
    </row>
    <row r="3" spans="1:61" ht="21" hidden="1" customHeight="1">
      <c r="A3" s="1151"/>
      <c r="B3" s="1151"/>
      <c r="C3" s="1151"/>
      <c r="D3" s="1151"/>
      <c r="E3" s="2396"/>
      <c r="F3" s="2395">
        <v>1</v>
      </c>
      <c r="G3" s="1151"/>
      <c r="H3" s="1151"/>
      <c r="I3" s="1151"/>
      <c r="J3" s="1151"/>
      <c r="K3" s="1151"/>
      <c r="L3" s="1152"/>
      <c r="M3" s="1153"/>
      <c r="N3" s="1153"/>
      <c r="O3" s="1153"/>
      <c r="P3" s="1198"/>
      <c r="Q3" s="1199"/>
      <c r="R3" s="286"/>
      <c r="S3" s="1253" t="e">
        <f>INDEX(PT_DIFFERENTIATION_NUM_TER,MATCH(B3,PT_DIFFERENTIATION_TER_ID,0))</f>
        <v>#N/A</v>
      </c>
      <c r="T3" s="242" t="s">
        <v>481</v>
      </c>
      <c r="U3" s="234"/>
      <c r="V3" s="2390"/>
      <c r="W3" s="2390"/>
      <c r="X3" s="2390"/>
      <c r="Y3" s="2390"/>
      <c r="Z3" s="2390"/>
      <c r="AA3" s="2390"/>
      <c r="AB3" s="2390"/>
      <c r="AC3" s="2391"/>
      <c r="AD3" s="2389" t="e">
        <f>INDEX(PT_DIFFERENTIATION_TER,MATCH(B3,PT_DIFFERENTIATION_TER_ID,0))</f>
        <v>#N/A</v>
      </c>
      <c r="AE3" s="2390"/>
      <c r="AF3" s="2390"/>
      <c r="AG3" s="2390"/>
      <c r="AH3" s="2390"/>
      <c r="AI3" s="2390"/>
      <c r="AJ3" s="2390"/>
      <c r="AK3" s="2390"/>
      <c r="AL3" s="2390"/>
      <c r="AM3" s="2390"/>
      <c r="AN3" s="2390"/>
      <c r="AO3" s="2390"/>
      <c r="AP3" s="2390"/>
      <c r="AQ3" s="2390"/>
      <c r="AR3" s="2390"/>
      <c r="AS3" s="2390"/>
      <c r="AT3" s="2390"/>
      <c r="AU3" s="2390"/>
      <c r="AV3" s="2390"/>
      <c r="AW3" s="2390"/>
      <c r="AX3" s="2390"/>
      <c r="AY3" s="2390"/>
      <c r="AZ3" s="2390"/>
      <c r="BA3" s="2390"/>
      <c r="BB3" s="2391"/>
      <c r="BC3" s="1046" t="s">
        <v>482</v>
      </c>
      <c r="BE3" s="433"/>
      <c r="BF3" s="433" t="str">
        <f t="shared" si="0"/>
        <v>Территория действия тарифа</v>
      </c>
      <c r="BG3" s="433"/>
      <c r="BH3" s="433"/>
      <c r="BI3" s="956">
        <v>0</v>
      </c>
    </row>
    <row r="4" spans="1:61" ht="42" hidden="1" customHeight="1">
      <c r="A4" s="1151"/>
      <c r="B4" s="1151"/>
      <c r="C4" s="1151"/>
      <c r="D4" s="1151"/>
      <c r="E4" s="2396"/>
      <c r="F4" s="2396"/>
      <c r="G4" s="2395">
        <v>1</v>
      </c>
      <c r="H4" s="1151"/>
      <c r="I4" s="1151"/>
      <c r="J4" s="1151"/>
      <c r="K4" s="1151"/>
      <c r="L4" s="1152"/>
      <c r="M4" s="1153"/>
      <c r="N4" s="1153"/>
      <c r="O4" s="1153"/>
      <c r="P4" s="1200"/>
      <c r="Q4" s="1199"/>
      <c r="R4" s="286"/>
      <c r="S4" s="1253" t="e">
        <f>INDEX(PT_DIFFERENTIATION_NUM_CS,MATCH(C4,PT_DIFFERENTIATION_CS_ID,0))</f>
        <v>#N/A</v>
      </c>
      <c r="T4" s="243" t="s">
        <v>565</v>
      </c>
      <c r="U4" s="234"/>
      <c r="V4" s="2390"/>
      <c r="W4" s="2390"/>
      <c r="X4" s="2390"/>
      <c r="Y4" s="2390"/>
      <c r="Z4" s="2390"/>
      <c r="AA4" s="2390"/>
      <c r="AB4" s="2390"/>
      <c r="AC4" s="2391"/>
      <c r="AD4" s="2389" t="e">
        <f>INDEX(PT_DIFFERENTIATION_CS,MATCH(C4,PT_DIFFERENTIATION_CS_ID,0))</f>
        <v>#N/A</v>
      </c>
      <c r="AE4" s="2390"/>
      <c r="AF4" s="2390"/>
      <c r="AG4" s="2390"/>
      <c r="AH4" s="2390"/>
      <c r="AI4" s="2390"/>
      <c r="AJ4" s="2390"/>
      <c r="AK4" s="2390"/>
      <c r="AL4" s="2390"/>
      <c r="AM4" s="2390"/>
      <c r="AN4" s="2390"/>
      <c r="AO4" s="2390"/>
      <c r="AP4" s="2390"/>
      <c r="AQ4" s="2390"/>
      <c r="AR4" s="2390"/>
      <c r="AS4" s="2390"/>
      <c r="AT4" s="2390"/>
      <c r="AU4" s="2390"/>
      <c r="AV4" s="2390"/>
      <c r="AW4" s="2390"/>
      <c r="AX4" s="2390"/>
      <c r="AY4" s="2390"/>
      <c r="AZ4" s="2390"/>
      <c r="BA4" s="2390"/>
      <c r="BB4" s="2391"/>
      <c r="BC4" s="1046" t="s">
        <v>566</v>
      </c>
      <c r="BE4" s="433"/>
      <c r="BF4" s="433" t="str">
        <f t="shared" si="0"/>
        <v>Наименование централизованной системы холодного водоснабжения</v>
      </c>
      <c r="BG4" s="433"/>
      <c r="BH4" s="433"/>
      <c r="BI4" s="956">
        <v>0</v>
      </c>
    </row>
    <row r="5" spans="1:61" s="1430" customFormat="1" ht="14.25" hidden="1" customHeight="1">
      <c r="A5" s="1131"/>
      <c r="B5" s="1131"/>
      <c r="C5" s="1131"/>
      <c r="D5" s="1131"/>
      <c r="E5" s="2396"/>
      <c r="F5" s="2396"/>
      <c r="G5" s="2396"/>
      <c r="H5" s="2395">
        <v>1</v>
      </c>
      <c r="I5" s="1131"/>
      <c r="J5" s="1131"/>
      <c r="K5" s="1131"/>
      <c r="L5" s="1134"/>
      <c r="M5" s="1103"/>
      <c r="N5" s="1103"/>
      <c r="O5" s="1103"/>
      <c r="P5" s="1285"/>
      <c r="Q5" s="1286"/>
      <c r="R5" s="290"/>
      <c r="S5" s="881"/>
      <c r="T5" s="1287"/>
      <c r="U5" s="1172"/>
      <c r="V5" s="2427"/>
      <c r="W5" s="2427"/>
      <c r="X5" s="2427"/>
      <c r="Y5" s="2427"/>
      <c r="Z5" s="2427"/>
      <c r="AA5" s="2427"/>
      <c r="AB5" s="2427"/>
      <c r="AC5" s="2428"/>
      <c r="AD5" s="2426"/>
      <c r="AE5" s="2427"/>
      <c r="AF5" s="2427"/>
      <c r="AG5" s="2427"/>
      <c r="AH5" s="2427"/>
      <c r="AI5" s="2427"/>
      <c r="AJ5" s="2427"/>
      <c r="AK5" s="2427"/>
      <c r="AL5" s="2427"/>
      <c r="AM5" s="2427"/>
      <c r="AN5" s="2427"/>
      <c r="AO5" s="2427"/>
      <c r="AP5" s="2427"/>
      <c r="AQ5" s="2427"/>
      <c r="AR5" s="2427"/>
      <c r="AS5" s="2427"/>
      <c r="AT5" s="2427"/>
      <c r="AU5" s="2427"/>
      <c r="AV5" s="2427"/>
      <c r="AW5" s="2427"/>
      <c r="AX5" s="2427"/>
      <c r="AY5" s="2427"/>
      <c r="AZ5" s="2427"/>
      <c r="BA5" s="2427"/>
      <c r="BB5" s="2428"/>
      <c r="BC5" s="1173" t="s">
        <v>486</v>
      </c>
      <c r="BE5" s="433"/>
      <c r="BF5" s="433" t="str">
        <f t="shared" si="0"/>
        <v/>
      </c>
      <c r="BG5" s="433"/>
      <c r="BH5" s="433"/>
      <c r="BI5" s="444">
        <v>0</v>
      </c>
    </row>
    <row r="6" spans="1:61" s="1430" customFormat="1" ht="14.25" hidden="1" customHeight="1">
      <c r="A6" s="1131"/>
      <c r="B6" s="1131"/>
      <c r="C6" s="1131"/>
      <c r="D6" s="1131"/>
      <c r="E6" s="2396"/>
      <c r="F6" s="2396"/>
      <c r="G6" s="2396"/>
      <c r="H6" s="2396"/>
      <c r="I6" s="2397" t="str">
        <f>S5&amp;".1"</f>
        <v>.1</v>
      </c>
      <c r="J6" s="1131"/>
      <c r="K6" s="1131"/>
      <c r="L6" s="1134" t="s">
        <v>487</v>
      </c>
      <c r="M6" s="443"/>
      <c r="N6" s="443"/>
      <c r="O6" s="443"/>
      <c r="P6" s="2399">
        <v>1</v>
      </c>
      <c r="Q6" s="1250"/>
      <c r="R6" s="289"/>
      <c r="S6" s="881"/>
      <c r="T6" s="1171"/>
      <c r="U6" s="1172"/>
      <c r="V6" s="2427"/>
      <c r="W6" s="2427"/>
      <c r="X6" s="2427"/>
      <c r="Y6" s="2427"/>
      <c r="Z6" s="2427"/>
      <c r="AA6" s="2427"/>
      <c r="AB6" s="2427"/>
      <c r="AC6" s="2428"/>
      <c r="AD6" s="2426"/>
      <c r="AE6" s="2427"/>
      <c r="AF6" s="2427"/>
      <c r="AG6" s="2427"/>
      <c r="AH6" s="2427"/>
      <c r="AI6" s="2427"/>
      <c r="AJ6" s="2427"/>
      <c r="AK6" s="2427"/>
      <c r="AL6" s="2427"/>
      <c r="AM6" s="2427"/>
      <c r="AN6" s="2427"/>
      <c r="AO6" s="2427"/>
      <c r="AP6" s="2427"/>
      <c r="AQ6" s="2427"/>
      <c r="AR6" s="2427"/>
      <c r="AS6" s="2427"/>
      <c r="AT6" s="2427"/>
      <c r="AU6" s="2427"/>
      <c r="AV6" s="2427"/>
      <c r="AW6" s="2427"/>
      <c r="AX6" s="2427"/>
      <c r="AY6" s="2427"/>
      <c r="AZ6" s="2427"/>
      <c r="BA6" s="2427"/>
      <c r="BB6" s="2428"/>
      <c r="BC6" s="1173"/>
      <c r="BE6" s="433"/>
      <c r="BF6" s="433" t="str">
        <f t="shared" si="0"/>
        <v/>
      </c>
      <c r="BG6" s="433"/>
      <c r="BH6" s="433"/>
      <c r="BI6" s="444">
        <v>0</v>
      </c>
    </row>
    <row r="7" spans="1:61" s="1430" customFormat="1" ht="14.25" hidden="1" customHeight="1">
      <c r="A7" s="1131"/>
      <c r="B7" s="1131"/>
      <c r="C7" s="1131"/>
      <c r="D7" s="1131"/>
      <c r="E7" s="2396"/>
      <c r="F7" s="2396"/>
      <c r="G7" s="2396"/>
      <c r="H7" s="2396"/>
      <c r="I7" s="2398"/>
      <c r="J7" s="2397" t="str">
        <f>S5&amp;".1"</f>
        <v>.1</v>
      </c>
      <c r="K7" s="1131"/>
      <c r="L7" s="1134"/>
      <c r="M7" s="443"/>
      <c r="N7" s="443"/>
      <c r="O7" s="443"/>
      <c r="P7" s="2399"/>
      <c r="Q7" s="2399">
        <v>1</v>
      </c>
      <c r="R7" s="290"/>
      <c r="S7" s="881"/>
      <c r="T7" s="1187"/>
      <c r="U7" s="1172"/>
      <c r="V7" s="2427"/>
      <c r="W7" s="2427"/>
      <c r="X7" s="2427"/>
      <c r="Y7" s="2427"/>
      <c r="Z7" s="2427"/>
      <c r="AA7" s="2427"/>
      <c r="AB7" s="2427"/>
      <c r="AC7" s="2428"/>
      <c r="AD7" s="2426"/>
      <c r="AE7" s="2427"/>
      <c r="AF7" s="2427"/>
      <c r="AG7" s="2427"/>
      <c r="AH7" s="2427"/>
      <c r="AI7" s="2427"/>
      <c r="AJ7" s="2427"/>
      <c r="AK7" s="2427"/>
      <c r="AL7" s="2427"/>
      <c r="AM7" s="2427"/>
      <c r="AN7" s="2427"/>
      <c r="AO7" s="2427"/>
      <c r="AP7" s="2427"/>
      <c r="AQ7" s="2427"/>
      <c r="AR7" s="2427"/>
      <c r="AS7" s="2427"/>
      <c r="AT7" s="2427"/>
      <c r="AU7" s="2427"/>
      <c r="AV7" s="2427"/>
      <c r="AW7" s="2427"/>
      <c r="AX7" s="2427"/>
      <c r="AY7" s="2427"/>
      <c r="AZ7" s="2427"/>
      <c r="BA7" s="2427"/>
      <c r="BB7" s="2428"/>
      <c r="BC7" s="1173"/>
      <c r="BE7" s="433"/>
      <c r="BF7" s="433" t="str">
        <f t="shared" si="0"/>
        <v/>
      </c>
      <c r="BG7" s="433"/>
      <c r="BH7" s="433"/>
      <c r="BI7" s="444">
        <v>0</v>
      </c>
    </row>
    <row r="8" spans="1:61" ht="11.25" hidden="1" customHeight="1">
      <c r="A8" s="1151"/>
      <c r="B8" s="1151"/>
      <c r="C8" s="1151"/>
      <c r="D8" s="1151"/>
      <c r="E8" s="2396"/>
      <c r="F8" s="2396"/>
      <c r="G8" s="2396"/>
      <c r="H8" s="2396"/>
      <c r="I8" s="2398"/>
      <c r="J8" s="2398"/>
      <c r="K8" s="2397" t="e">
        <f>S4&amp;".1"</f>
        <v>#N/A</v>
      </c>
      <c r="L8" s="1152"/>
      <c r="P8" s="2399"/>
      <c r="Q8" s="2399"/>
      <c r="R8" s="2455">
        <v>1</v>
      </c>
      <c r="S8" s="2452" t="e">
        <f>$K8</f>
        <v>#N/A</v>
      </c>
      <c r="T8" s="2472"/>
      <c r="U8" s="234"/>
      <c r="V8" s="658"/>
      <c r="W8" s="1045"/>
      <c r="X8" s="658"/>
      <c r="Y8" s="1045"/>
      <c r="Z8" s="1493"/>
      <c r="AA8" s="1247" t="s">
        <v>52</v>
      </c>
      <c r="AB8" s="1493"/>
      <c r="AC8" s="1247" t="s">
        <v>52</v>
      </c>
      <c r="AD8" s="2340" t="s">
        <v>52</v>
      </c>
      <c r="AE8" s="2448"/>
      <c r="AF8" s="2353">
        <v>1</v>
      </c>
      <c r="AG8" s="2471"/>
      <c r="AH8" s="2276" t="s">
        <v>52</v>
      </c>
      <c r="AI8" s="2448"/>
      <c r="AJ8" s="2353">
        <v>1</v>
      </c>
      <c r="AK8" s="2462" t="s">
        <v>9</v>
      </c>
      <c r="AL8" s="2276" t="s">
        <v>52</v>
      </c>
      <c r="AM8" s="2328"/>
      <c r="AN8" s="2353">
        <v>1</v>
      </c>
      <c r="AO8" s="2475"/>
      <c r="AP8" s="2476" t="s">
        <v>52</v>
      </c>
      <c r="AQ8" s="245"/>
      <c r="AR8" s="1251">
        <v>1</v>
      </c>
      <c r="AS8" s="1254" t="s">
        <v>9</v>
      </c>
      <c r="AT8" s="658"/>
      <c r="AU8" s="1045"/>
      <c r="AV8" s="658"/>
      <c r="AW8" s="1045"/>
      <c r="AX8" s="1493"/>
      <c r="AY8" s="1247" t="s">
        <v>52</v>
      </c>
      <c r="AZ8" s="1493"/>
      <c r="BA8" s="1247" t="s">
        <v>52</v>
      </c>
      <c r="BB8" s="1136"/>
      <c r="BC8" s="2418" t="s">
        <v>585</v>
      </c>
      <c r="BE8" s="433"/>
      <c r="BF8" s="433" t="str">
        <f t="shared" si="0"/>
        <v/>
      </c>
      <c r="BG8" s="433"/>
      <c r="BH8" s="433"/>
      <c r="BI8" s="956">
        <v>0</v>
      </c>
    </row>
    <row r="9" spans="1:61" ht="11.25" hidden="1" customHeight="1">
      <c r="A9" s="1151"/>
      <c r="B9" s="1151"/>
      <c r="C9" s="1151"/>
      <c r="D9" s="1151"/>
      <c r="E9" s="2396"/>
      <c r="F9" s="2396"/>
      <c r="G9" s="2396"/>
      <c r="H9" s="2396"/>
      <c r="I9" s="2398"/>
      <c r="J9" s="2398"/>
      <c r="K9" s="2397"/>
      <c r="L9" s="1152"/>
      <c r="P9" s="2399"/>
      <c r="Q9" s="2399"/>
      <c r="R9" s="2455"/>
      <c r="S9" s="2453"/>
      <c r="T9" s="2473"/>
      <c r="U9" s="234"/>
      <c r="V9" s="1181"/>
      <c r="W9" s="1284"/>
      <c r="X9" s="1181"/>
      <c r="Y9" s="1284"/>
      <c r="Z9" s="1181"/>
      <c r="AA9" s="1181"/>
      <c r="AB9" s="1181"/>
      <c r="AC9" s="1181"/>
      <c r="AD9" s="2341"/>
      <c r="AE9" s="2448"/>
      <c r="AF9" s="2353"/>
      <c r="AG9" s="2471"/>
      <c r="AH9" s="2276"/>
      <c r="AI9" s="2448"/>
      <c r="AJ9" s="2353"/>
      <c r="AK9" s="2462"/>
      <c r="AL9" s="2276"/>
      <c r="AM9" s="2333"/>
      <c r="AN9" s="2353"/>
      <c r="AO9" s="2475"/>
      <c r="AP9" s="2477"/>
      <c r="AQ9" s="250"/>
      <c r="AR9" s="349"/>
      <c r="AS9" s="349" t="s">
        <v>586</v>
      </c>
      <c r="AT9" s="1181"/>
      <c r="AU9" s="1284"/>
      <c r="AV9" s="1181"/>
      <c r="AW9" s="1284"/>
      <c r="AX9" s="1181"/>
      <c r="AY9" s="1181"/>
      <c r="AZ9" s="1181"/>
      <c r="BA9" s="1181"/>
      <c r="BB9" s="1185"/>
      <c r="BC9" s="2419"/>
      <c r="BE9" s="433"/>
      <c r="BF9" s="433"/>
      <c r="BG9" s="433"/>
      <c r="BH9" s="433"/>
      <c r="BI9" s="956">
        <v>0</v>
      </c>
    </row>
    <row r="10" spans="1:61" ht="11.25" hidden="1" customHeight="1">
      <c r="A10" s="1151"/>
      <c r="B10" s="1151"/>
      <c r="C10" s="1151"/>
      <c r="D10" s="1151"/>
      <c r="E10" s="2396"/>
      <c r="F10" s="2396"/>
      <c r="G10" s="2396"/>
      <c r="H10" s="2396"/>
      <c r="I10" s="2398"/>
      <c r="J10" s="2398"/>
      <c r="K10" s="2397"/>
      <c r="L10" s="1152"/>
      <c r="P10" s="2399"/>
      <c r="Q10" s="2399"/>
      <c r="R10" s="2455"/>
      <c r="S10" s="2453"/>
      <c r="T10" s="2473"/>
      <c r="U10" s="234"/>
      <c r="V10" s="1181"/>
      <c r="W10" s="1284"/>
      <c r="X10" s="1181"/>
      <c r="Y10" s="1284"/>
      <c r="Z10" s="1181"/>
      <c r="AA10" s="1181"/>
      <c r="AB10" s="1181"/>
      <c r="AC10" s="1181"/>
      <c r="AD10" s="2341"/>
      <c r="AE10" s="2448"/>
      <c r="AF10" s="2353"/>
      <c r="AG10" s="2471"/>
      <c r="AH10" s="2276"/>
      <c r="AI10" s="2448"/>
      <c r="AJ10" s="2353"/>
      <c r="AK10" s="2462"/>
      <c r="AL10" s="2276"/>
      <c r="AM10" s="250"/>
      <c r="AN10" s="1288"/>
      <c r="AO10" s="1288" t="s">
        <v>587</v>
      </c>
      <c r="AP10" s="349"/>
      <c r="AQ10" s="349"/>
      <c r="AR10" s="349"/>
      <c r="AS10" s="1181"/>
      <c r="AT10" s="1181"/>
      <c r="AU10" s="1284"/>
      <c r="AV10" s="1181"/>
      <c r="AW10" s="1284"/>
      <c r="AX10" s="1181"/>
      <c r="AY10" s="1181"/>
      <c r="AZ10" s="1181"/>
      <c r="BA10" s="1181"/>
      <c r="BB10" s="1185"/>
      <c r="BC10" s="2419"/>
      <c r="BE10" s="433"/>
      <c r="BF10" s="433"/>
      <c r="BG10" s="433"/>
      <c r="BH10" s="433"/>
      <c r="BI10" s="956">
        <v>0</v>
      </c>
    </row>
    <row r="11" spans="1:61" ht="11.25" hidden="1" customHeight="1">
      <c r="A11" s="1151"/>
      <c r="B11" s="1151"/>
      <c r="C11" s="1151"/>
      <c r="D11" s="1151"/>
      <c r="E11" s="2396"/>
      <c r="F11" s="2396"/>
      <c r="G11" s="2396"/>
      <c r="H11" s="2396"/>
      <c r="I11" s="2398"/>
      <c r="J11" s="2398"/>
      <c r="K11" s="2397"/>
      <c r="L11" s="1152"/>
      <c r="P11" s="2399"/>
      <c r="Q11" s="2399"/>
      <c r="R11" s="2455"/>
      <c r="S11" s="2453"/>
      <c r="T11" s="2473"/>
      <c r="U11" s="234"/>
      <c r="V11" s="1181"/>
      <c r="W11" s="1284"/>
      <c r="X11" s="1181"/>
      <c r="Y11" s="1284"/>
      <c r="Z11" s="1181"/>
      <c r="AA11" s="1181"/>
      <c r="AB11" s="1181"/>
      <c r="AC11" s="1181"/>
      <c r="AD11" s="2341"/>
      <c r="AE11" s="2448"/>
      <c r="AF11" s="2353"/>
      <c r="AG11" s="2471"/>
      <c r="AH11" s="2276"/>
      <c r="AI11" s="228"/>
      <c r="AJ11" s="348"/>
      <c r="AK11" s="247" t="s">
        <v>588</v>
      </c>
      <c r="AL11" s="1181"/>
      <c r="AM11" s="1181"/>
      <c r="AN11" s="1181"/>
      <c r="AO11" s="1181"/>
      <c r="AP11" s="1181"/>
      <c r="AQ11" s="1181"/>
      <c r="AR11" s="1181"/>
      <c r="AS11" s="1181"/>
      <c r="AT11" s="1181"/>
      <c r="AU11" s="1284"/>
      <c r="AV11" s="1181"/>
      <c r="AW11" s="1284"/>
      <c r="AX11" s="1181"/>
      <c r="AY11" s="1181"/>
      <c r="AZ11" s="1181"/>
      <c r="BA11" s="1181"/>
      <c r="BB11" s="1185"/>
      <c r="BC11" s="2419"/>
      <c r="BE11" s="433"/>
      <c r="BF11" s="433"/>
      <c r="BG11" s="433"/>
      <c r="BH11" s="433"/>
      <c r="BI11" s="956">
        <v>0</v>
      </c>
    </row>
    <row r="12" spans="1:61" ht="11.25" hidden="1" customHeight="1">
      <c r="A12" s="1151"/>
      <c r="B12" s="1151"/>
      <c r="C12" s="1151"/>
      <c r="D12" s="1151"/>
      <c r="E12" s="2396"/>
      <c r="F12" s="2396"/>
      <c r="G12" s="2396"/>
      <c r="H12" s="2396"/>
      <c r="I12" s="2398"/>
      <c r="J12" s="2398"/>
      <c r="K12" s="2397"/>
      <c r="L12" s="1152"/>
      <c r="P12" s="2399"/>
      <c r="Q12" s="2399"/>
      <c r="R12" s="2455"/>
      <c r="S12" s="2454"/>
      <c r="T12" s="2474"/>
      <c r="U12" s="234"/>
      <c r="V12" s="1181"/>
      <c r="W12" s="1182" t="str">
        <f>Z8&amp;"-"&amp;AB8</f>
        <v>-</v>
      </c>
      <c r="X12" s="1181"/>
      <c r="Y12" s="1182" t="str">
        <f>AB8&amp;"-"&amp;AD8</f>
        <v>-да</v>
      </c>
      <c r="Z12" s="1181"/>
      <c r="AA12" s="1181"/>
      <c r="AB12" s="1181"/>
      <c r="AC12" s="1181"/>
      <c r="AD12" s="2282"/>
      <c r="AE12" s="246"/>
      <c r="AF12" s="248"/>
      <c r="AG12" s="349" t="s">
        <v>589</v>
      </c>
      <c r="AH12" s="1181"/>
      <c r="AI12" s="1181"/>
      <c r="AJ12" s="1181"/>
      <c r="AK12" s="1181"/>
      <c r="AL12" s="1181"/>
      <c r="AM12" s="1181"/>
      <c r="AN12" s="1181"/>
      <c r="AO12" s="1181"/>
      <c r="AP12" s="1181"/>
      <c r="AQ12" s="1181"/>
      <c r="AR12" s="1181"/>
      <c r="AS12" s="1181"/>
      <c r="AT12" s="1181"/>
      <c r="AU12" s="1182" t="str">
        <f>AX8&amp;"-"&amp;AZ8</f>
        <v>-</v>
      </c>
      <c r="AV12" s="1181"/>
      <c r="AW12" s="1182" t="str">
        <f>AZ8&amp;"-"&amp;BB8</f>
        <v>-</v>
      </c>
      <c r="AX12" s="1181"/>
      <c r="AY12" s="1181"/>
      <c r="AZ12" s="1181"/>
      <c r="BA12" s="1181"/>
      <c r="BB12" s="1184" t="str">
        <f>BE8&amp;"-"&amp;BG8</f>
        <v>-</v>
      </c>
      <c r="BC12" s="2419"/>
      <c r="BE12" s="433"/>
      <c r="BF12" s="433" t="str">
        <f t="shared" ref="BF12:BF18" si="1">IF(T12="","",T12)</f>
        <v/>
      </c>
      <c r="BG12" s="433"/>
      <c r="BH12" s="433"/>
      <c r="BI12" s="956">
        <v>0</v>
      </c>
    </row>
    <row r="13" spans="1:61" ht="11.25" hidden="1" customHeight="1">
      <c r="A13" s="1151"/>
      <c r="B13" s="1151"/>
      <c r="C13" s="1151"/>
      <c r="D13" s="1151"/>
      <c r="E13" s="2396"/>
      <c r="F13" s="2396"/>
      <c r="G13" s="2396"/>
      <c r="H13" s="2396"/>
      <c r="I13" s="2398"/>
      <c r="J13" s="2397"/>
      <c r="K13" s="1151"/>
      <c r="L13" s="1152"/>
      <c r="P13" s="2399"/>
      <c r="Q13" s="2399"/>
      <c r="R13" s="289"/>
      <c r="S13" s="1066"/>
      <c r="T13" s="221" t="s">
        <v>552</v>
      </c>
      <c r="U13" s="300"/>
      <c r="V13" s="300"/>
      <c r="W13" s="300"/>
      <c r="X13" s="300"/>
      <c r="Y13" s="300"/>
      <c r="Z13" s="300"/>
      <c r="AA13" s="300"/>
      <c r="AB13" s="300"/>
      <c r="AC13" s="300"/>
      <c r="AD13" s="1293"/>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258"/>
      <c r="BC13" s="2420"/>
      <c r="BE13" s="433"/>
      <c r="BF13" s="433" t="str">
        <f t="shared" si="1"/>
        <v>Добавить строку</v>
      </c>
      <c r="BG13" s="433"/>
      <c r="BH13" s="433"/>
      <c r="BI13" s="956">
        <v>0</v>
      </c>
    </row>
    <row r="14" spans="1:61" s="1430" customFormat="1" ht="14.25" hidden="1" customHeight="1">
      <c r="A14" s="1131"/>
      <c r="B14" s="1131"/>
      <c r="C14" s="1131"/>
      <c r="D14" s="1131"/>
      <c r="E14" s="2396"/>
      <c r="F14" s="2396"/>
      <c r="G14" s="2396"/>
      <c r="H14" s="2396"/>
      <c r="I14" s="2397"/>
      <c r="J14" s="1131"/>
      <c r="K14" s="1131"/>
      <c r="L14" s="1134"/>
      <c r="M14" s="443"/>
      <c r="N14" s="443"/>
      <c r="O14" s="443"/>
      <c r="P14" s="2399"/>
      <c r="Q14" s="1250"/>
      <c r="R14" s="289"/>
      <c r="S14" s="1174"/>
      <c r="T14" s="1175"/>
      <c r="U14" s="1176"/>
      <c r="V14" s="1176"/>
      <c r="W14" s="1176"/>
      <c r="X14" s="1176"/>
      <c r="Y14" s="1176"/>
      <c r="Z14" s="1176"/>
      <c r="AA14" s="1176"/>
      <c r="AB14" s="1176"/>
      <c r="AC14" s="1176"/>
      <c r="AD14" s="1176"/>
      <c r="AE14" s="1176"/>
      <c r="AF14" s="1176"/>
      <c r="AG14" s="1176"/>
      <c r="AH14" s="1176"/>
      <c r="AI14" s="1176"/>
      <c r="AJ14" s="1176"/>
      <c r="AK14" s="1176"/>
      <c r="AL14" s="1176"/>
      <c r="AM14" s="1176"/>
      <c r="AN14" s="1176"/>
      <c r="AO14" s="1176"/>
      <c r="AP14" s="1176"/>
      <c r="AQ14" s="1176"/>
      <c r="AR14" s="1176"/>
      <c r="AS14" s="1176"/>
      <c r="AT14" s="1176"/>
      <c r="AU14" s="1176"/>
      <c r="AV14" s="1176"/>
      <c r="AW14" s="1176"/>
      <c r="AX14" s="1176"/>
      <c r="AY14" s="1176"/>
      <c r="AZ14" s="1176"/>
      <c r="BA14" s="1176"/>
      <c r="BB14" s="1176"/>
      <c r="BC14" s="1177"/>
      <c r="BE14" s="433"/>
      <c r="BF14" s="433" t="str">
        <f t="shared" si="1"/>
        <v/>
      </c>
      <c r="BG14" s="433"/>
      <c r="BH14" s="433"/>
      <c r="BI14" s="444">
        <v>0</v>
      </c>
    </row>
    <row r="15" spans="1:61" s="1430" customFormat="1" ht="14.25" hidden="1" customHeight="1">
      <c r="A15" s="1131"/>
      <c r="B15" s="1131"/>
      <c r="C15" s="1131"/>
      <c r="D15" s="1131"/>
      <c r="E15" s="2396"/>
      <c r="F15" s="2396"/>
      <c r="G15" s="2396"/>
      <c r="H15" s="2395"/>
      <c r="I15" s="1131"/>
      <c r="J15" s="1131"/>
      <c r="K15" s="1131"/>
      <c r="L15" s="1134"/>
      <c r="M15" s="1103"/>
      <c r="N15" s="1103"/>
      <c r="O15" s="451"/>
      <c r="P15" s="313"/>
      <c r="Q15" s="1132"/>
      <c r="R15" s="1189"/>
      <c r="S15" s="1174"/>
      <c r="T15" s="1175"/>
      <c r="U15" s="1176"/>
      <c r="V15" s="1176"/>
      <c r="W15" s="1176"/>
      <c r="X15" s="1176"/>
      <c r="Y15" s="1176"/>
      <c r="Z15" s="1176"/>
      <c r="AA15" s="1176"/>
      <c r="AB15" s="1176"/>
      <c r="AC15" s="1176"/>
      <c r="AD15" s="1176"/>
      <c r="AE15" s="1176"/>
      <c r="AF15" s="1176"/>
      <c r="AG15" s="1176"/>
      <c r="AH15" s="1176"/>
      <c r="AI15" s="1176"/>
      <c r="AJ15" s="1176"/>
      <c r="AK15" s="1176"/>
      <c r="AL15" s="1176"/>
      <c r="AM15" s="1176"/>
      <c r="AN15" s="1176"/>
      <c r="AO15" s="1176"/>
      <c r="AP15" s="1176"/>
      <c r="AQ15" s="1176"/>
      <c r="AR15" s="1176"/>
      <c r="AS15" s="1176"/>
      <c r="AT15" s="1176"/>
      <c r="AU15" s="1176"/>
      <c r="AV15" s="1176"/>
      <c r="AW15" s="1176"/>
      <c r="AX15" s="1176"/>
      <c r="AY15" s="1176"/>
      <c r="AZ15" s="1176"/>
      <c r="BA15" s="1176"/>
      <c r="BB15" s="1176"/>
      <c r="BC15" s="1177"/>
      <c r="BE15" s="433"/>
      <c r="BF15" s="433" t="str">
        <f t="shared" si="1"/>
        <v/>
      </c>
      <c r="BG15" s="433"/>
      <c r="BH15" s="433"/>
      <c r="BI15" s="444">
        <v>0</v>
      </c>
    </row>
    <row r="16" spans="1:61" s="1430" customFormat="1" ht="14.25" hidden="1" customHeight="1">
      <c r="A16" s="1131"/>
      <c r="B16" s="1131"/>
      <c r="C16" s="1131"/>
      <c r="D16" s="1102"/>
      <c r="E16" s="2396"/>
      <c r="F16" s="2396"/>
      <c r="G16" s="2395"/>
      <c r="H16" s="1102"/>
      <c r="I16" s="1102"/>
      <c r="J16" s="1102"/>
      <c r="K16" s="1102"/>
      <c r="L16" s="1252"/>
      <c r="M16" s="1103"/>
      <c r="N16" s="1103"/>
      <c r="P16" s="1104"/>
      <c r="Q16" s="1105"/>
      <c r="R16" s="1104"/>
      <c r="S16" s="1110"/>
      <c r="T16" s="1113"/>
      <c r="U16" s="1112"/>
      <c r="V16" s="1112"/>
      <c r="W16" s="1112"/>
      <c r="X16" s="1112"/>
      <c r="Y16" s="1112"/>
      <c r="Z16" s="1112"/>
      <c r="AA16" s="1112"/>
      <c r="AB16" s="1112"/>
      <c r="AC16" s="1112"/>
      <c r="AD16" s="1112"/>
      <c r="AE16" s="1112"/>
      <c r="AF16" s="1112"/>
      <c r="AG16" s="1112"/>
      <c r="AH16" s="1112"/>
      <c r="AI16" s="1112"/>
      <c r="AJ16" s="1112"/>
      <c r="AK16" s="1112"/>
      <c r="AL16" s="1112"/>
      <c r="AM16" s="1112"/>
      <c r="AN16" s="1112"/>
      <c r="AO16" s="1112"/>
      <c r="AP16" s="1112"/>
      <c r="AQ16" s="1112"/>
      <c r="AR16" s="1112"/>
      <c r="AS16" s="1112"/>
      <c r="AT16" s="1112"/>
      <c r="AU16" s="1112"/>
      <c r="AV16" s="1112"/>
      <c r="AW16" s="1112"/>
      <c r="AX16" s="1112"/>
      <c r="AY16" s="1112"/>
      <c r="AZ16" s="1112"/>
      <c r="BA16" s="1112"/>
      <c r="BB16" s="1112"/>
      <c r="BC16" s="1112"/>
      <c r="BE16" s="688"/>
      <c r="BF16" s="688" t="str">
        <f t="shared" si="1"/>
        <v/>
      </c>
      <c r="BG16" s="688"/>
      <c r="BH16" s="688"/>
      <c r="BI16" s="451">
        <v>0</v>
      </c>
    </row>
    <row r="17" spans="1:61" s="1430" customFormat="1" ht="14.25" hidden="1" customHeight="1">
      <c r="A17" s="1131"/>
      <c r="B17" s="1131"/>
      <c r="C17" s="1102"/>
      <c r="D17" s="1102"/>
      <c r="E17" s="2396"/>
      <c r="F17" s="2395"/>
      <c r="G17" s="1102"/>
      <c r="H17" s="1102"/>
      <c r="I17" s="1102"/>
      <c r="J17" s="1102"/>
      <c r="K17" s="1102"/>
      <c r="L17" s="1252"/>
      <c r="M17" s="1109"/>
      <c r="N17" s="1109"/>
      <c r="P17" s="1104"/>
      <c r="Q17" s="1105"/>
      <c r="R17" s="1104"/>
      <c r="S17" s="1110"/>
      <c r="T17" s="1113" t="s">
        <v>499</v>
      </c>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112"/>
      <c r="AS17" s="1112"/>
      <c r="AT17" s="1112"/>
      <c r="AU17" s="1112"/>
      <c r="AV17" s="1112"/>
      <c r="AW17" s="1112"/>
      <c r="AX17" s="1112"/>
      <c r="AY17" s="1112"/>
      <c r="AZ17" s="1112"/>
      <c r="BA17" s="1112"/>
      <c r="BB17" s="1112"/>
      <c r="BC17" s="1112"/>
      <c r="BE17" s="688"/>
      <c r="BF17" s="688" t="str">
        <f t="shared" si="1"/>
        <v>Добавить централизованную систему для дифференциации</v>
      </c>
      <c r="BG17" s="688"/>
      <c r="BH17" s="688"/>
      <c r="BI17" s="451">
        <v>0</v>
      </c>
    </row>
    <row r="18" spans="1:61" s="1430" customFormat="1" ht="14.25" hidden="1" customHeight="1">
      <c r="A18" s="1131"/>
      <c r="B18" s="1131"/>
      <c r="C18" s="1131"/>
      <c r="D18" s="1131"/>
      <c r="E18" s="2395"/>
      <c r="F18" s="1131"/>
      <c r="G18" s="1131"/>
      <c r="H18" s="1131"/>
      <c r="I18" s="1131"/>
      <c r="J18" s="1131"/>
      <c r="K18" s="1131"/>
      <c r="L18" s="1134"/>
      <c r="M18" s="1109"/>
      <c r="N18" s="1109"/>
      <c r="O18" s="451"/>
      <c r="P18" s="313"/>
      <c r="Q18" s="1132"/>
      <c r="R18" s="313"/>
      <c r="S18" s="1110"/>
      <c r="T18" s="1113" t="s">
        <v>500</v>
      </c>
      <c r="U18" s="1112"/>
      <c r="V18" s="1112"/>
      <c r="W18" s="1112"/>
      <c r="X18" s="1112"/>
      <c r="Y18" s="1112"/>
      <c r="Z18" s="1112"/>
      <c r="AA18" s="1112"/>
      <c r="AB18" s="1112"/>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E18" s="433"/>
      <c r="BF18" s="433" t="str">
        <f t="shared" si="1"/>
        <v>Добавить территорию для дифференциации</v>
      </c>
      <c r="BG18" s="433"/>
      <c r="BH18" s="433"/>
      <c r="BI18" s="444">
        <v>0</v>
      </c>
    </row>
    <row r="19" spans="1:61" ht="14.25" hidden="1" customHeight="1">
      <c r="AC19" s="261"/>
      <c r="BA19" s="261"/>
      <c r="BI19" s="956">
        <v>0</v>
      </c>
    </row>
    <row r="20" spans="1:61" ht="14.25" hidden="1" customHeight="1">
      <c r="AD20" s="1112" t="s">
        <v>6</v>
      </c>
      <c r="AE20" s="1289"/>
      <c r="AF20" s="480">
        <v>1</v>
      </c>
      <c r="AG20" s="1290"/>
      <c r="AH20" s="1112" t="s">
        <v>6</v>
      </c>
      <c r="AI20" s="1289"/>
      <c r="AJ20" s="480">
        <v>1</v>
      </c>
      <c r="AK20" s="1290"/>
      <c r="AL20" s="1112" t="s">
        <v>6</v>
      </c>
      <c r="AM20" s="1291"/>
      <c r="AN20" s="480">
        <v>1</v>
      </c>
      <c r="AO20" s="1292"/>
      <c r="AP20" s="1112" t="s">
        <v>6</v>
      </c>
      <c r="AQ20" s="1291"/>
      <c r="AR20" s="480">
        <v>1</v>
      </c>
      <c r="AS20" s="1292"/>
      <c r="AT20" s="259"/>
      <c r="AU20" s="317"/>
      <c r="AV20" s="259"/>
      <c r="AW20" s="317"/>
      <c r="AX20" s="1495"/>
      <c r="AY20" s="1248" t="s">
        <v>52</v>
      </c>
      <c r="AZ20" s="1495"/>
      <c r="BA20" s="1248" t="s">
        <v>52</v>
      </c>
      <c r="BI20" s="956">
        <v>0</v>
      </c>
    </row>
    <row r="21" spans="1:61" ht="14.25" hidden="1" customHeight="1">
      <c r="BD21" s="429"/>
      <c r="BE21" s="429"/>
      <c r="BF21" s="429"/>
      <c r="BG21" s="429"/>
      <c r="BH21" s="429"/>
      <c r="BI21" s="956">
        <v>0</v>
      </c>
    </row>
    <row r="22" spans="1:61" ht="14.25" hidden="1" customHeight="1">
      <c r="O22" s="1155" t="s">
        <v>501</v>
      </c>
      <c r="Z22" s="1133"/>
      <c r="AB22" s="1133"/>
      <c r="AC22" s="261"/>
      <c r="AX22" s="1133"/>
      <c r="AZ22" s="1133"/>
      <c r="BA22" s="261"/>
      <c r="BD22" s="429"/>
      <c r="BE22" s="429"/>
      <c r="BF22" s="429"/>
      <c r="BG22" s="429"/>
      <c r="BH22" s="429"/>
      <c r="BI22" s="956">
        <v>0</v>
      </c>
    </row>
    <row r="23" spans="1:61" ht="14.25" hidden="1" customHeight="1">
      <c r="AC23" s="261"/>
      <c r="BA23" s="261"/>
      <c r="BD23" s="429"/>
      <c r="BE23" s="429"/>
      <c r="BF23" s="429"/>
      <c r="BG23" s="429"/>
      <c r="BH23" s="429"/>
      <c r="BI23" s="956">
        <v>0</v>
      </c>
    </row>
    <row r="24" spans="1:61" s="1297" customFormat="1" ht="14.25" hidden="1" customHeight="1">
      <c r="M24" s="1296"/>
      <c r="N24" s="1296"/>
      <c r="O24" s="1297" t="s">
        <v>502</v>
      </c>
      <c r="P24" s="1296"/>
      <c r="Q24" s="1298"/>
      <c r="R24" s="1298"/>
      <c r="AA24" s="1295" t="s">
        <v>504</v>
      </c>
      <c r="AC24" s="1295" t="s">
        <v>505</v>
      </c>
      <c r="AD24" s="1295" t="s">
        <v>553</v>
      </c>
      <c r="AH24" s="1295" t="s">
        <v>553</v>
      </c>
      <c r="AK24" s="1295" t="s">
        <v>590</v>
      </c>
      <c r="AL24" s="1295" t="s">
        <v>553</v>
      </c>
      <c r="AP24" s="1295" t="s">
        <v>553</v>
      </c>
      <c r="AY24" s="1295" t="s">
        <v>504</v>
      </c>
      <c r="BA24" s="1295" t="s">
        <v>505</v>
      </c>
      <c r="BD24" s="1299"/>
      <c r="BE24" s="1299"/>
      <c r="BF24" s="1299"/>
      <c r="BG24" s="1299"/>
      <c r="BH24" s="1299"/>
      <c r="BI24" s="1295">
        <v>0</v>
      </c>
    </row>
    <row r="25" spans="1:61" ht="14.25" hidden="1" customHeight="1">
      <c r="O25" s="1152"/>
      <c r="BD25" s="429"/>
      <c r="BE25" s="429"/>
      <c r="BF25" s="429"/>
      <c r="BG25" s="429"/>
      <c r="BH25" s="429"/>
      <c r="BI25" s="956">
        <v>0</v>
      </c>
    </row>
    <row r="26" spans="1:61" ht="14.25" hidden="1" customHeight="1">
      <c r="O26" s="1152"/>
      <c r="BD26" s="429"/>
      <c r="BE26" s="429"/>
      <c r="BF26" s="429"/>
      <c r="BG26" s="429"/>
      <c r="BH26" s="429"/>
      <c r="BI26" s="956">
        <v>0</v>
      </c>
    </row>
    <row r="27" spans="1:61" ht="14.65" customHeight="1">
      <c r="Q27" s="225"/>
      <c r="R27" s="309"/>
      <c r="S27" s="1063"/>
      <c r="T27" s="296"/>
      <c r="U27" s="296"/>
      <c r="V27" s="442"/>
      <c r="W27" s="442"/>
      <c r="X27" s="442"/>
      <c r="Y27" s="442"/>
      <c r="Z27" s="442"/>
      <c r="AA27" s="442"/>
      <c r="AB27" s="442"/>
      <c r="AC27" s="442"/>
      <c r="AD27" s="442"/>
      <c r="AE27" s="442"/>
      <c r="AF27" s="442"/>
      <c r="AG27" s="442"/>
      <c r="AH27" s="442"/>
      <c r="AI27" s="442"/>
      <c r="AJ27" s="442"/>
      <c r="AK27" s="442"/>
      <c r="AL27" s="442"/>
      <c r="AM27" s="442"/>
      <c r="AN27" s="442"/>
      <c r="AO27" s="442"/>
      <c r="AP27" s="442"/>
      <c r="AQ27" s="442"/>
      <c r="AR27" s="442"/>
      <c r="AS27" s="442"/>
      <c r="AT27" s="442"/>
      <c r="AU27" s="442"/>
      <c r="AV27" s="442"/>
      <c r="AW27" s="442"/>
      <c r="AX27" s="442"/>
      <c r="AY27" s="442"/>
      <c r="AZ27" s="442"/>
      <c r="BA27" s="442"/>
      <c r="BI27" s="956">
        <v>14</v>
      </c>
    </row>
    <row r="28" spans="1:61" ht="14.65" customHeight="1">
      <c r="Q28" s="225"/>
      <c r="R28" s="309"/>
      <c r="S28" s="237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76"/>
      <c r="U28" s="2376"/>
      <c r="V28" s="2376"/>
      <c r="W28" s="2376"/>
      <c r="X28" s="2376"/>
      <c r="Y28" s="2376"/>
      <c r="Z28" s="2376"/>
      <c r="AA28" s="2376"/>
      <c r="AB28" s="2376"/>
      <c r="AC28" s="2376"/>
      <c r="AD28" s="2376"/>
      <c r="AE28" s="2376"/>
      <c r="AF28" s="2376"/>
      <c r="AG28" s="2376"/>
      <c r="AH28" s="2376"/>
      <c r="AI28" s="2376"/>
      <c r="AJ28" s="2376"/>
      <c r="AK28" s="2376"/>
      <c r="AL28" s="2376"/>
      <c r="AM28" s="2376"/>
      <c r="AN28" s="2376"/>
      <c r="AO28" s="2376"/>
      <c r="AP28" s="2376"/>
      <c r="AQ28" s="2376"/>
      <c r="AR28" s="2376"/>
      <c r="AS28" s="2376"/>
      <c r="AT28" s="2376"/>
      <c r="AU28" s="2376"/>
      <c r="AV28" s="2376"/>
      <c r="AW28" s="2376"/>
      <c r="AX28" s="2376"/>
      <c r="AY28" s="2376"/>
      <c r="AZ28" s="2376"/>
      <c r="BA28" s="1031"/>
      <c r="BI28" s="956">
        <v>14</v>
      </c>
    </row>
    <row r="29" spans="1:61" ht="14.65" customHeight="1">
      <c r="Q29" s="225"/>
      <c r="R29" s="309"/>
      <c r="S29" s="2349" t="str">
        <f>IF(org=0,"Не определено",org)</f>
        <v>ООО "Смоленскрегионтеплоэнерго"</v>
      </c>
      <c r="T29" s="2349"/>
      <c r="U29" s="2349"/>
      <c r="V29" s="2349"/>
      <c r="W29" s="2349"/>
      <c r="X29" s="2349"/>
      <c r="Y29" s="2349"/>
      <c r="Z29" s="2349"/>
      <c r="AA29" s="2349"/>
      <c r="AB29" s="2349"/>
      <c r="AC29" s="2349"/>
      <c r="AD29" s="2349"/>
      <c r="AE29" s="2349"/>
      <c r="AF29" s="2349"/>
      <c r="AG29" s="2349"/>
      <c r="AH29" s="2349"/>
      <c r="AI29" s="2349"/>
      <c r="AJ29" s="2349"/>
      <c r="AK29" s="2349"/>
      <c r="AL29" s="2349"/>
      <c r="AM29" s="2349"/>
      <c r="AN29" s="2349"/>
      <c r="AO29" s="2349"/>
      <c r="AP29" s="2349"/>
      <c r="AQ29" s="2349"/>
      <c r="AR29" s="2349"/>
      <c r="AS29" s="2349"/>
      <c r="AT29" s="2349"/>
      <c r="AU29" s="2349"/>
      <c r="AV29" s="2349"/>
      <c r="AW29" s="2349"/>
      <c r="AX29" s="2349"/>
      <c r="AY29" s="2349"/>
      <c r="AZ29" s="2349"/>
      <c r="BA29" s="1031"/>
      <c r="BI29" s="956">
        <v>14</v>
      </c>
    </row>
    <row r="30" spans="1:61" ht="14.25" hidden="1" customHeight="1">
      <c r="Q30" s="225"/>
      <c r="R30" s="309"/>
      <c r="S30" s="1063"/>
      <c r="T30" s="296"/>
      <c r="U30" s="29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442"/>
      <c r="BI30" s="956">
        <v>0</v>
      </c>
    </row>
    <row r="31" spans="1:61" s="1609" customFormat="1" ht="25.5" hidden="1" customHeight="1">
      <c r="A31" s="1156"/>
      <c r="B31" s="1156"/>
      <c r="C31" s="1156"/>
      <c r="D31" s="1156"/>
      <c r="E31" s="1156"/>
      <c r="F31" s="1156"/>
      <c r="G31" s="1156"/>
      <c r="H31" s="1156"/>
      <c r="I31" s="1156"/>
      <c r="J31" s="1156"/>
      <c r="K31" s="1156"/>
      <c r="L31" s="1157"/>
      <c r="M31" s="1156"/>
      <c r="N31" s="1156"/>
      <c r="O31" s="1156"/>
      <c r="P31" s="1156"/>
      <c r="Q31" s="1156"/>
      <c r="S31" s="2386" t="s">
        <v>28</v>
      </c>
      <c r="T31" s="2386"/>
      <c r="U31" s="1160"/>
      <c r="V31" s="2388" t="str">
        <f>IF(TITLE_NAME_OR_PR_CHANGE="",IF(TITLE_NAME_OR_PR="","",TITLE_NAME_OR_PR),TITLE_NAME_OR_PR_CHANGE)</f>
        <v/>
      </c>
      <c r="W31" s="2388"/>
      <c r="X31" s="2388"/>
      <c r="Y31" s="2388"/>
      <c r="Z31" s="2388"/>
      <c r="AA31" s="2388"/>
      <c r="AB31" s="2388"/>
      <c r="AC31" s="260"/>
      <c r="AD31" s="2388" t="str">
        <f>IF(TITLE_NAME_OR_PR_CHANGE="",IF(TITLE_NAME_OR_PR="","",TITLE_NAME_OR_PR),TITLE_NAME_OR_PR_CHANGE)</f>
        <v/>
      </c>
      <c r="AE31" s="2388"/>
      <c r="AF31" s="2388"/>
      <c r="AG31" s="2388"/>
      <c r="AH31" s="2388"/>
      <c r="AI31" s="2388"/>
      <c r="AJ31" s="2388"/>
      <c r="AK31" s="2388"/>
      <c r="AL31" s="2388"/>
      <c r="AM31" s="2388"/>
      <c r="AN31" s="2388"/>
      <c r="AO31" s="2388"/>
      <c r="AP31" s="2388"/>
      <c r="AQ31" s="2388"/>
      <c r="AR31" s="2388"/>
      <c r="AS31" s="2388"/>
      <c r="AT31" s="2388"/>
      <c r="AU31" s="2388"/>
      <c r="AV31" s="2388"/>
      <c r="AW31" s="2388"/>
      <c r="AX31" s="2388"/>
      <c r="AY31" s="2388"/>
      <c r="AZ31" s="2388"/>
      <c r="BA31" s="260"/>
      <c r="BB31" s="260"/>
      <c r="BC31" s="214"/>
      <c r="BD31" s="301"/>
      <c r="BE31" s="301"/>
      <c r="BF31" s="301"/>
      <c r="BG31" s="301"/>
      <c r="BH31" s="301"/>
      <c r="BI31" s="351">
        <v>0</v>
      </c>
    </row>
    <row r="32" spans="1:61" s="1609" customFormat="1" ht="18.75" hidden="1" customHeight="1">
      <c r="A32" s="1156"/>
      <c r="B32" s="1156"/>
      <c r="C32" s="1156"/>
      <c r="D32" s="1156"/>
      <c r="E32" s="1156"/>
      <c r="F32" s="1156"/>
      <c r="G32" s="1156"/>
      <c r="H32" s="1156"/>
      <c r="I32" s="1156"/>
      <c r="J32" s="1156"/>
      <c r="K32" s="1156"/>
      <c r="L32" s="1157"/>
      <c r="M32" s="1156"/>
      <c r="N32" s="1156"/>
      <c r="O32" s="1156"/>
      <c r="P32" s="1156"/>
      <c r="Q32" s="1156"/>
      <c r="S32" s="2386" t="s">
        <v>507</v>
      </c>
      <c r="T32" s="2386"/>
      <c r="U32" s="1160"/>
      <c r="V32" s="2387" t="str">
        <f>IF(TITLE_DATE_PR_CHANGE="",IF(TITLE_DATE_PR="","",TITLE_DATE_PR),TITLE_DATE_PR_CHANGE)</f>
        <v/>
      </c>
      <c r="W32" s="2387"/>
      <c r="X32" s="2387"/>
      <c r="Y32" s="2387"/>
      <c r="Z32" s="2387"/>
      <c r="AA32" s="2387"/>
      <c r="AB32" s="2387"/>
      <c r="AC32" s="260"/>
      <c r="AD32" s="2387" t="str">
        <f>IF(TITLE_DATE_PR_CHANGE="",IF(TITLE_DATE_PR="","",TITLE_DATE_PR),TITLE_DATE_PR_CHANGE)</f>
        <v/>
      </c>
      <c r="AE32" s="2387"/>
      <c r="AF32" s="2387"/>
      <c r="AG32" s="2387"/>
      <c r="AH32" s="2387"/>
      <c r="AI32" s="2387"/>
      <c r="AJ32" s="2387"/>
      <c r="AK32" s="2387"/>
      <c r="AL32" s="2387"/>
      <c r="AM32" s="2387"/>
      <c r="AN32" s="2387"/>
      <c r="AO32" s="2387"/>
      <c r="AP32" s="2387"/>
      <c r="AQ32" s="2387"/>
      <c r="AR32" s="2387"/>
      <c r="AS32" s="2387"/>
      <c r="AT32" s="2387"/>
      <c r="AU32" s="2387"/>
      <c r="AV32" s="2387"/>
      <c r="AW32" s="2387"/>
      <c r="AX32" s="2387"/>
      <c r="AY32" s="2387"/>
      <c r="AZ32" s="2387"/>
      <c r="BA32" s="260"/>
      <c r="BB32" s="260"/>
      <c r="BC32" s="214"/>
      <c r="BD32" s="301"/>
      <c r="BE32" s="301"/>
      <c r="BF32" s="301"/>
      <c r="BG32" s="301"/>
      <c r="BH32" s="301"/>
      <c r="BI32" s="351">
        <v>0</v>
      </c>
    </row>
    <row r="33" spans="1:61" s="1609" customFormat="1" ht="18.75" hidden="1" customHeight="1">
      <c r="A33" s="1156"/>
      <c r="B33" s="1156"/>
      <c r="C33" s="1156"/>
      <c r="D33" s="1156"/>
      <c r="E33" s="1156"/>
      <c r="F33" s="1156"/>
      <c r="G33" s="1156"/>
      <c r="H33" s="1156"/>
      <c r="I33" s="1156"/>
      <c r="J33" s="1156"/>
      <c r="K33" s="1156"/>
      <c r="L33" s="1157"/>
      <c r="M33" s="1156"/>
      <c r="N33" s="1156"/>
      <c r="O33" s="1156"/>
      <c r="P33" s="1156"/>
      <c r="Q33" s="1156"/>
      <c r="S33" s="2386" t="s">
        <v>508</v>
      </c>
      <c r="T33" s="2386"/>
      <c r="U33" s="1160"/>
      <c r="V33" s="2388" t="str">
        <f>IF(TITLE_NUMBER_PR_CHANGE="",IF(TITLE_NUMBER_PR="","",TITLE_NUMBER_PR),TITLE_NUMBER_PR_CHANGE)</f>
        <v/>
      </c>
      <c r="W33" s="2388"/>
      <c r="X33" s="2388"/>
      <c r="Y33" s="2388"/>
      <c r="Z33" s="2388"/>
      <c r="AA33" s="2388"/>
      <c r="AB33" s="2388"/>
      <c r="AC33" s="260"/>
      <c r="AD33" s="2388" t="str">
        <f>IF(TITLE_NUMBER_PR_CHANGE="",IF(TITLE_NUMBER_PR="","",TITLE_NUMBER_PR),TITLE_NUMBER_PR_CHANGE)</f>
        <v/>
      </c>
      <c r="AE33" s="2388"/>
      <c r="AF33" s="2388"/>
      <c r="AG33" s="2388"/>
      <c r="AH33" s="2388"/>
      <c r="AI33" s="2388"/>
      <c r="AJ33" s="2388"/>
      <c r="AK33" s="2388"/>
      <c r="AL33" s="2388"/>
      <c r="AM33" s="2388"/>
      <c r="AN33" s="2388"/>
      <c r="AO33" s="2388"/>
      <c r="AP33" s="2388"/>
      <c r="AQ33" s="2388"/>
      <c r="AR33" s="2388"/>
      <c r="AS33" s="2388"/>
      <c r="AT33" s="2388"/>
      <c r="AU33" s="2388"/>
      <c r="AV33" s="2388"/>
      <c r="AW33" s="2388"/>
      <c r="AX33" s="2388"/>
      <c r="AY33" s="2388"/>
      <c r="AZ33" s="2388"/>
      <c r="BA33" s="260"/>
      <c r="BB33" s="260"/>
      <c r="BC33" s="214"/>
      <c r="BD33" s="301"/>
      <c r="BE33" s="301"/>
      <c r="BF33" s="301"/>
      <c r="BG33" s="301"/>
      <c r="BH33" s="301"/>
      <c r="BI33" s="351">
        <v>0</v>
      </c>
    </row>
    <row r="34" spans="1:61" s="1609" customFormat="1" ht="18.75" hidden="1" customHeight="1">
      <c r="A34" s="1156"/>
      <c r="B34" s="1156"/>
      <c r="C34" s="1156"/>
      <c r="D34" s="1156"/>
      <c r="E34" s="1156"/>
      <c r="F34" s="1156"/>
      <c r="G34" s="1156"/>
      <c r="H34" s="1156"/>
      <c r="I34" s="1156"/>
      <c r="J34" s="1156"/>
      <c r="K34" s="1156"/>
      <c r="L34" s="1157"/>
      <c r="M34" s="1156"/>
      <c r="N34" s="1156"/>
      <c r="O34" s="1156"/>
      <c r="P34" s="1156"/>
      <c r="Q34" s="1156"/>
      <c r="S34" s="2386" t="s">
        <v>29</v>
      </c>
      <c r="T34" s="2386"/>
      <c r="U34" s="1160"/>
      <c r="V34" s="2388" t="str">
        <f>IF(TITLE_IST_PUB_CHANGE="",IF(TITLE_IST_PUB="","",TITLE_IST_PUB),TITLE_IST_PUB_CHANGE)</f>
        <v/>
      </c>
      <c r="W34" s="2388"/>
      <c r="X34" s="2388"/>
      <c r="Y34" s="2388"/>
      <c r="Z34" s="2388"/>
      <c r="AA34" s="2388"/>
      <c r="AB34" s="2388"/>
      <c r="AC34" s="260"/>
      <c r="AD34" s="2388" t="str">
        <f>IF(TITLE_IST_PUB_CHANGE="",IF(TITLE_IST_PUB="","",TITLE_IST_PUB),TITLE_IST_PUB_CHANGE)</f>
        <v/>
      </c>
      <c r="AE34" s="2388"/>
      <c r="AF34" s="2388"/>
      <c r="AG34" s="2388"/>
      <c r="AH34" s="2388"/>
      <c r="AI34" s="2388"/>
      <c r="AJ34" s="2388"/>
      <c r="AK34" s="2388"/>
      <c r="AL34" s="2388"/>
      <c r="AM34" s="2388"/>
      <c r="AN34" s="2388"/>
      <c r="AO34" s="2388"/>
      <c r="AP34" s="2388"/>
      <c r="AQ34" s="2388"/>
      <c r="AR34" s="2388"/>
      <c r="AS34" s="2388"/>
      <c r="AT34" s="2388"/>
      <c r="AU34" s="2388"/>
      <c r="AV34" s="2388"/>
      <c r="AW34" s="2388"/>
      <c r="AX34" s="2388"/>
      <c r="AY34" s="2388"/>
      <c r="AZ34" s="2388"/>
      <c r="BA34" s="260"/>
      <c r="BB34" s="260"/>
      <c r="BC34" s="214"/>
      <c r="BD34" s="301"/>
      <c r="BE34" s="301"/>
      <c r="BF34" s="301"/>
      <c r="BG34" s="301"/>
      <c r="BH34" s="301"/>
      <c r="BI34" s="351">
        <v>0</v>
      </c>
    </row>
    <row r="35" spans="1:61" ht="14.25" hidden="1" customHeight="1">
      <c r="Q35" s="225"/>
      <c r="R35" s="309"/>
      <c r="S35" s="1063"/>
      <c r="T35" s="296"/>
      <c r="U35" s="29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442"/>
      <c r="BI35" s="956">
        <v>0</v>
      </c>
    </row>
    <row r="36" spans="1:61" s="1609" customFormat="1" ht="18.75" hidden="1" customHeight="1">
      <c r="A36" s="1156"/>
      <c r="B36" s="1156"/>
      <c r="C36" s="1156"/>
      <c r="D36" s="1156"/>
      <c r="E36" s="1156"/>
      <c r="F36" s="1156"/>
      <c r="G36" s="1156"/>
      <c r="H36" s="1156"/>
      <c r="I36" s="1156"/>
      <c r="J36" s="1156"/>
      <c r="K36" s="1156"/>
      <c r="L36" s="1157"/>
      <c r="M36" s="1156"/>
      <c r="N36" s="1156"/>
      <c r="O36" s="1156"/>
      <c r="P36" s="1156"/>
      <c r="Q36" s="1156"/>
      <c r="S36" s="2386" t="s">
        <v>507</v>
      </c>
      <c r="T36" s="2386"/>
      <c r="U36" s="1160"/>
      <c r="V36" s="2387" t="str">
        <f>IF(TITLE_DATE_PR_CHANGE="",IF(TITLE_DATE_PR="","",TITLE_DATE_PR),TITLE_DATE_PR_CHANGE)</f>
        <v/>
      </c>
      <c r="W36" s="2387"/>
      <c r="X36" s="2387"/>
      <c r="Y36" s="2387"/>
      <c r="Z36" s="2387"/>
      <c r="AA36" s="2387"/>
      <c r="AB36" s="2387"/>
      <c r="AC36" s="260"/>
      <c r="AD36" s="2387" t="str">
        <f>IF(TITLE_DATE_PR_CHANGE="",IF(TITLE_DATE_PR="","",TITLE_DATE_PR),TITLE_DATE_PR_CHANGE)</f>
        <v/>
      </c>
      <c r="AE36" s="2387"/>
      <c r="AF36" s="2387"/>
      <c r="AG36" s="2387"/>
      <c r="AH36" s="2387"/>
      <c r="AI36" s="2387"/>
      <c r="AJ36" s="2387"/>
      <c r="AK36" s="2387"/>
      <c r="AL36" s="2387"/>
      <c r="AM36" s="2387"/>
      <c r="AN36" s="2387"/>
      <c r="AO36" s="2387"/>
      <c r="AP36" s="2387"/>
      <c r="AQ36" s="2387"/>
      <c r="AR36" s="2387"/>
      <c r="AS36" s="2387"/>
      <c r="AT36" s="2387"/>
      <c r="AU36" s="2387"/>
      <c r="AV36" s="2387"/>
      <c r="AW36" s="2387"/>
      <c r="AX36" s="2387"/>
      <c r="AY36" s="2387"/>
      <c r="AZ36" s="2387"/>
      <c r="BA36" s="260"/>
      <c r="BB36" s="260"/>
      <c r="BC36" s="214"/>
      <c r="BD36" s="301"/>
      <c r="BE36" s="301"/>
      <c r="BF36" s="301"/>
      <c r="BG36" s="301"/>
      <c r="BH36" s="301"/>
      <c r="BI36" s="351">
        <v>0</v>
      </c>
    </row>
    <row r="37" spans="1:61" s="1609" customFormat="1" ht="18.75" hidden="1" customHeight="1">
      <c r="A37" s="1156"/>
      <c r="B37" s="1156"/>
      <c r="C37" s="1156"/>
      <c r="D37" s="1156"/>
      <c r="E37" s="1156"/>
      <c r="F37" s="1156"/>
      <c r="G37" s="1156"/>
      <c r="H37" s="1156"/>
      <c r="I37" s="1156"/>
      <c r="J37" s="1156"/>
      <c r="K37" s="1156"/>
      <c r="L37" s="1157"/>
      <c r="M37" s="1156"/>
      <c r="N37" s="1156"/>
      <c r="O37" s="1156"/>
      <c r="P37" s="1156"/>
      <c r="Q37" s="1156"/>
      <c r="S37" s="2386" t="s">
        <v>508</v>
      </c>
      <c r="T37" s="2386"/>
      <c r="U37" s="1160"/>
      <c r="V37" s="2388" t="str">
        <f>IF(TITLE_NUMBER_PR_CHANGE="",IF(TITLE_NUMBER_PR="","",TITLE_NUMBER_PR),TITLE_NUMBER_PR_CHANGE)</f>
        <v/>
      </c>
      <c r="W37" s="2388"/>
      <c r="X37" s="2388"/>
      <c r="Y37" s="2388"/>
      <c r="Z37" s="2388"/>
      <c r="AA37" s="2388"/>
      <c r="AB37" s="2388"/>
      <c r="AC37" s="260"/>
      <c r="AD37" s="2388" t="str">
        <f>IF(TITLE_NUMBER_PR_CHANGE="",IF(TITLE_NUMBER_PR="","",TITLE_NUMBER_PR),TITLE_NUMBER_PR_CHANGE)</f>
        <v/>
      </c>
      <c r="AE37" s="2388"/>
      <c r="AF37" s="2388"/>
      <c r="AG37" s="2388"/>
      <c r="AH37" s="2388"/>
      <c r="AI37" s="2388"/>
      <c r="AJ37" s="2388"/>
      <c r="AK37" s="2388"/>
      <c r="AL37" s="2388"/>
      <c r="AM37" s="2388"/>
      <c r="AN37" s="2388"/>
      <c r="AO37" s="2388"/>
      <c r="AP37" s="2388"/>
      <c r="AQ37" s="2388"/>
      <c r="AR37" s="2388"/>
      <c r="AS37" s="2388"/>
      <c r="AT37" s="2388"/>
      <c r="AU37" s="2388"/>
      <c r="AV37" s="2388"/>
      <c r="AW37" s="2388"/>
      <c r="AX37" s="2388"/>
      <c r="AY37" s="2388"/>
      <c r="AZ37" s="2388"/>
      <c r="BA37" s="260"/>
      <c r="BB37" s="260"/>
      <c r="BC37" s="214"/>
      <c r="BD37" s="301"/>
      <c r="BE37" s="301"/>
      <c r="BF37" s="301"/>
      <c r="BG37" s="301"/>
      <c r="BH37" s="301"/>
      <c r="BI37" s="351">
        <v>0</v>
      </c>
    </row>
    <row r="38" spans="1:61" s="1609" customFormat="1" ht="0" hidden="1" customHeight="1">
      <c r="A38" s="1156"/>
      <c r="B38" s="1156"/>
      <c r="C38" s="1156"/>
      <c r="D38" s="1156"/>
      <c r="E38" s="1156"/>
      <c r="F38" s="1156"/>
      <c r="G38" s="1156"/>
      <c r="H38" s="1156"/>
      <c r="I38" s="1156"/>
      <c r="J38" s="1156"/>
      <c r="K38" s="1156"/>
      <c r="L38" s="1157"/>
      <c r="M38" s="1156"/>
      <c r="N38" s="1156"/>
      <c r="O38" s="1156"/>
      <c r="P38" s="1156"/>
      <c r="Q38" s="1156"/>
      <c r="S38" s="257"/>
      <c r="T38" s="257"/>
      <c r="U38" s="1242"/>
      <c r="V38" s="260"/>
      <c r="W38" s="260"/>
      <c r="X38" s="260"/>
      <c r="Y38" s="260"/>
      <c r="Z38" s="260"/>
      <c r="AA38" s="260"/>
      <c r="AB38" s="260"/>
      <c r="AC38" s="212" t="s">
        <v>511</v>
      </c>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12" t="s">
        <v>511</v>
      </c>
      <c r="BD38" s="301"/>
      <c r="BE38" s="301"/>
      <c r="BF38" s="301"/>
      <c r="BG38" s="301"/>
      <c r="BH38" s="301"/>
      <c r="BI38" s="351">
        <v>0</v>
      </c>
    </row>
    <row r="39" spans="1:61" ht="14.65" customHeight="1">
      <c r="Q39" s="225"/>
      <c r="R39" s="309"/>
      <c r="S39" s="1063"/>
      <c r="T39" s="296"/>
      <c r="U39" s="1032"/>
      <c r="V39" s="2407"/>
      <c r="W39" s="2407"/>
      <c r="X39" s="2407"/>
      <c r="Y39" s="2407"/>
      <c r="Z39" s="2407"/>
      <c r="AA39" s="2407"/>
      <c r="AB39" s="2407"/>
      <c r="AC39" s="2407"/>
      <c r="AD39" s="2407"/>
      <c r="AE39" s="2407"/>
      <c r="AF39" s="2407"/>
      <c r="AG39" s="2407"/>
      <c r="AH39" s="2407"/>
      <c r="AI39" s="2407"/>
      <c r="AJ39" s="2407"/>
      <c r="AK39" s="2407"/>
      <c r="AL39" s="2407"/>
      <c r="AM39" s="2407"/>
      <c r="AN39" s="2407"/>
      <c r="AO39" s="2407"/>
      <c r="AP39" s="2407"/>
      <c r="AQ39" s="2407"/>
      <c r="AR39" s="2407"/>
      <c r="AS39" s="2407"/>
      <c r="AT39" s="2407"/>
      <c r="AU39" s="2407"/>
      <c r="AV39" s="2407"/>
      <c r="AW39" s="2407"/>
      <c r="AX39" s="2407"/>
      <c r="AY39" s="2407"/>
      <c r="AZ39" s="2407"/>
      <c r="BA39" s="2407"/>
      <c r="BI39" s="956">
        <v>14</v>
      </c>
    </row>
    <row r="40" spans="1:61" ht="14.65" customHeight="1">
      <c r="Q40" s="225"/>
      <c r="R40" s="309"/>
      <c r="S40" s="2266" t="s">
        <v>384</v>
      </c>
      <c r="T40" s="2266"/>
      <c r="U40" s="2266"/>
      <c r="V40" s="2266"/>
      <c r="W40" s="2266"/>
      <c r="X40" s="2266"/>
      <c r="Y40" s="2266"/>
      <c r="Z40" s="2266"/>
      <c r="AA40" s="2266"/>
      <c r="AB40" s="2266"/>
      <c r="AC40" s="2266"/>
      <c r="AD40" s="2266"/>
      <c r="AE40" s="2266"/>
      <c r="AF40" s="2266"/>
      <c r="AG40" s="2266"/>
      <c r="AH40" s="2266"/>
      <c r="AI40" s="2266"/>
      <c r="AJ40" s="2266"/>
      <c r="AK40" s="2266"/>
      <c r="AL40" s="2266"/>
      <c r="AM40" s="2266"/>
      <c r="AN40" s="2266"/>
      <c r="AO40" s="2266"/>
      <c r="AP40" s="2266"/>
      <c r="AQ40" s="2266"/>
      <c r="AR40" s="2266"/>
      <c r="AS40" s="2266"/>
      <c r="AT40" s="2266"/>
      <c r="AU40" s="2266"/>
      <c r="AV40" s="2266"/>
      <c r="AW40" s="2266"/>
      <c r="AX40" s="2266"/>
      <c r="AY40" s="2266"/>
      <c r="AZ40" s="2266"/>
      <c r="BA40" s="2266"/>
      <c r="BB40" s="2266"/>
      <c r="BC40" s="2266" t="s">
        <v>385</v>
      </c>
      <c r="BI40" s="956">
        <v>14</v>
      </c>
    </row>
    <row r="41" spans="1:61" ht="14.65" customHeight="1">
      <c r="Q41" s="225"/>
      <c r="R41" s="309"/>
      <c r="S41" s="2408" t="s">
        <v>75</v>
      </c>
      <c r="T41" s="2357" t="s">
        <v>591</v>
      </c>
      <c r="U41" s="235"/>
      <c r="V41" s="2409" t="s">
        <v>513</v>
      </c>
      <c r="W41" s="2410"/>
      <c r="X41" s="2410"/>
      <c r="Y41" s="2410"/>
      <c r="Z41" s="2410"/>
      <c r="AA41" s="2410"/>
      <c r="AB41" s="2411"/>
      <c r="AC41" s="2412" t="s">
        <v>514</v>
      </c>
      <c r="AD41" s="2441" t="s">
        <v>592</v>
      </c>
      <c r="AE41" s="2425"/>
      <c r="AF41" s="2425"/>
      <c r="AG41" s="2442"/>
      <c r="AH41" s="2441" t="s">
        <v>593</v>
      </c>
      <c r="AI41" s="2425"/>
      <c r="AJ41" s="2425"/>
      <c r="AK41" s="2442"/>
      <c r="AL41" s="2441" t="s">
        <v>594</v>
      </c>
      <c r="AM41" s="2425"/>
      <c r="AN41" s="2425"/>
      <c r="AO41" s="2442"/>
      <c r="AP41" s="2441" t="s">
        <v>595</v>
      </c>
      <c r="AQ41" s="2425"/>
      <c r="AR41" s="2425"/>
      <c r="AS41" s="2442"/>
      <c r="AT41" s="2409" t="s">
        <v>513</v>
      </c>
      <c r="AU41" s="2410"/>
      <c r="AV41" s="2410"/>
      <c r="AW41" s="2410"/>
      <c r="AX41" s="2410"/>
      <c r="AY41" s="2410"/>
      <c r="AZ41" s="2411"/>
      <c r="BA41" s="2412" t="s">
        <v>514</v>
      </c>
      <c r="BB41" s="2415" t="s">
        <v>516</v>
      </c>
      <c r="BC41" s="2266"/>
      <c r="BI41" s="956">
        <v>14</v>
      </c>
    </row>
    <row r="42" spans="1:61" ht="35.65" customHeight="1">
      <c r="Q42" s="225"/>
      <c r="R42" s="309"/>
      <c r="S42" s="2408"/>
      <c r="T42" s="2357"/>
      <c r="U42" s="874"/>
      <c r="V42" s="2328" t="s">
        <v>596</v>
      </c>
      <c r="W42" s="2329"/>
      <c r="X42" s="2328" t="s">
        <v>597</v>
      </c>
      <c r="Y42" s="2329"/>
      <c r="Z42" s="2328" t="s">
        <v>598</v>
      </c>
      <c r="AA42" s="2437"/>
      <c r="AB42" s="2329"/>
      <c r="AC42" s="2413"/>
      <c r="AD42" s="2443"/>
      <c r="AE42" s="2444"/>
      <c r="AF42" s="2444"/>
      <c r="AG42" s="2456"/>
      <c r="AH42" s="2443"/>
      <c r="AI42" s="2444"/>
      <c r="AJ42" s="2444"/>
      <c r="AK42" s="2456"/>
      <c r="AL42" s="2443"/>
      <c r="AM42" s="2444"/>
      <c r="AN42" s="2444"/>
      <c r="AO42" s="2456"/>
      <c r="AP42" s="2443"/>
      <c r="AQ42" s="2444"/>
      <c r="AR42" s="2444"/>
      <c r="AS42" s="2456"/>
      <c r="AT42" s="2328" t="s">
        <v>596</v>
      </c>
      <c r="AU42" s="2329"/>
      <c r="AV42" s="2328" t="s">
        <v>597</v>
      </c>
      <c r="AW42" s="2329"/>
      <c r="AX42" s="2328" t="s">
        <v>598</v>
      </c>
      <c r="AY42" s="2437"/>
      <c r="AZ42" s="2329"/>
      <c r="BA42" s="2413"/>
      <c r="BB42" s="2416"/>
      <c r="BC42" s="2266"/>
      <c r="BI42" s="956">
        <v>34</v>
      </c>
    </row>
    <row r="43" spans="1:61" ht="14.65" customHeight="1">
      <c r="Q43" s="225"/>
      <c r="R43" s="309"/>
      <c r="S43" s="2408"/>
      <c r="T43" s="2357"/>
      <c r="U43" s="874"/>
      <c r="V43" s="2333"/>
      <c r="W43" s="2334"/>
      <c r="X43" s="2333"/>
      <c r="Y43" s="2334"/>
      <c r="Z43" s="2333"/>
      <c r="AA43" s="2438"/>
      <c r="AB43" s="2334"/>
      <c r="AC43" s="2413"/>
      <c r="AD43" s="2443"/>
      <c r="AE43" s="2444"/>
      <c r="AF43" s="2444"/>
      <c r="AG43" s="2456"/>
      <c r="AH43" s="2443"/>
      <c r="AI43" s="2444"/>
      <c r="AJ43" s="2444"/>
      <c r="AK43" s="2456"/>
      <c r="AL43" s="2443"/>
      <c r="AM43" s="2444"/>
      <c r="AN43" s="2444"/>
      <c r="AO43" s="2456"/>
      <c r="AP43" s="2443"/>
      <c r="AQ43" s="2444"/>
      <c r="AR43" s="2444"/>
      <c r="AS43" s="2456"/>
      <c r="AT43" s="2333"/>
      <c r="AU43" s="2334"/>
      <c r="AV43" s="2333"/>
      <c r="AW43" s="2334"/>
      <c r="AX43" s="2333"/>
      <c r="AY43" s="2438"/>
      <c r="AZ43" s="2334"/>
      <c r="BA43" s="2413"/>
      <c r="BB43" s="2416"/>
      <c r="BC43" s="2266"/>
      <c r="BI43" s="956">
        <v>14</v>
      </c>
    </row>
    <row r="44" spans="1:61" ht="14.65" customHeight="1">
      <c r="A44" s="1158"/>
      <c r="B44" s="1158" t="s">
        <v>226</v>
      </c>
      <c r="C44" s="1158" t="s">
        <v>227</v>
      </c>
      <c r="D44" s="1158" t="s">
        <v>228</v>
      </c>
      <c r="E44" s="1152" t="s">
        <v>521</v>
      </c>
      <c r="F44" s="1152" t="s">
        <v>522</v>
      </c>
      <c r="G44" s="1152" t="s">
        <v>523</v>
      </c>
      <c r="H44" s="1152" t="s">
        <v>524</v>
      </c>
      <c r="I44" s="1152" t="s">
        <v>525</v>
      </c>
      <c r="J44" s="1152" t="s">
        <v>526</v>
      </c>
      <c r="K44" s="1152" t="s">
        <v>527</v>
      </c>
      <c r="L44" s="1152" t="s">
        <v>502</v>
      </c>
      <c r="Q44" s="225"/>
      <c r="R44" s="309"/>
      <c r="S44" s="2408"/>
      <c r="T44" s="2357"/>
      <c r="U44" s="236"/>
      <c r="V44" s="1236" t="s">
        <v>562</v>
      </c>
      <c r="W44" s="1236" t="s">
        <v>563</v>
      </c>
      <c r="X44" s="1236" t="s">
        <v>562</v>
      </c>
      <c r="Y44" s="1236" t="s">
        <v>563</v>
      </c>
      <c r="Z44" s="1243" t="s">
        <v>530</v>
      </c>
      <c r="AA44" s="2362" t="s">
        <v>531</v>
      </c>
      <c r="AB44" s="2375"/>
      <c r="AC44" s="2414"/>
      <c r="AD44" s="2445"/>
      <c r="AE44" s="2446"/>
      <c r="AF44" s="2446"/>
      <c r="AG44" s="2447"/>
      <c r="AH44" s="2445"/>
      <c r="AI44" s="2446"/>
      <c r="AJ44" s="2446"/>
      <c r="AK44" s="2447"/>
      <c r="AL44" s="2445"/>
      <c r="AM44" s="2446"/>
      <c r="AN44" s="2446"/>
      <c r="AO44" s="2447"/>
      <c r="AP44" s="2445"/>
      <c r="AQ44" s="2446"/>
      <c r="AR44" s="2446"/>
      <c r="AS44" s="2447"/>
      <c r="AT44" s="1236" t="s">
        <v>562</v>
      </c>
      <c r="AU44" s="1236" t="s">
        <v>563</v>
      </c>
      <c r="AV44" s="1236" t="s">
        <v>562</v>
      </c>
      <c r="AW44" s="1236" t="s">
        <v>563</v>
      </c>
      <c r="AX44" s="1243" t="s">
        <v>530</v>
      </c>
      <c r="AY44" s="2362" t="s">
        <v>531</v>
      </c>
      <c r="AZ44" s="2375"/>
      <c r="BA44" s="2414"/>
      <c r="BB44" s="2417"/>
      <c r="BC44" s="2266"/>
      <c r="BI44" s="956">
        <v>14</v>
      </c>
    </row>
    <row r="45" spans="1:61" s="1429" customFormat="1" ht="11.25" hidden="1" customHeight="1">
      <c r="A45" s="1158"/>
      <c r="B45" s="1158"/>
      <c r="C45" s="1158"/>
      <c r="D45" s="1158"/>
      <c r="E45" s="1158"/>
      <c r="F45" s="1158"/>
      <c r="G45" s="1158"/>
      <c r="H45" s="1158"/>
      <c r="I45" s="1158"/>
      <c r="J45" s="1158"/>
      <c r="K45" s="1158"/>
      <c r="L45" s="1152"/>
      <c r="M45" s="1150"/>
      <c r="N45" s="1150"/>
      <c r="O45" s="1150"/>
      <c r="P45" s="443"/>
      <c r="Q45" s="1042"/>
      <c r="R45" s="1042">
        <v>1</v>
      </c>
      <c r="S45" s="1065" t="s">
        <v>161</v>
      </c>
      <c r="T45" s="1043" t="s">
        <v>89</v>
      </c>
      <c r="U45" s="1033" t="str">
        <f ca="1">OFFSET(U45,0,-1)</f>
        <v>2</v>
      </c>
      <c r="V45" s="1239">
        <f t="shared" ref="V45:AA45" ca="1" si="2">OFFSET(V45,0,-1)+1</f>
        <v>3</v>
      </c>
      <c r="W45" s="1239">
        <f t="shared" ca="1" si="2"/>
        <v>4</v>
      </c>
      <c r="X45" s="1239">
        <f t="shared" ca="1" si="2"/>
        <v>5</v>
      </c>
      <c r="Y45" s="1239">
        <f t="shared" ca="1" si="2"/>
        <v>6</v>
      </c>
      <c r="Z45" s="1239">
        <f t="shared" ca="1" si="2"/>
        <v>7</v>
      </c>
      <c r="AA45" s="2406">
        <f t="shared" ca="1" si="2"/>
        <v>8</v>
      </c>
      <c r="AB45" s="2406"/>
      <c r="AC45" s="1239">
        <f ca="1">OFFSET(AC45,0,-2)+1</f>
        <v>9</v>
      </c>
      <c r="AD45" s="1239">
        <f ca="1">OFFSET(AD45,0,-1)+1</f>
        <v>10</v>
      </c>
      <c r="AE45" s="1239"/>
      <c r="AF45" s="1239"/>
      <c r="AG45" s="1239"/>
      <c r="AH45" s="1239"/>
      <c r="AI45" s="1239"/>
      <c r="AJ45" s="1239"/>
      <c r="AK45" s="1239"/>
      <c r="AL45" s="1239"/>
      <c r="AM45" s="1239"/>
      <c r="AN45" s="1239"/>
      <c r="AO45" s="1239"/>
      <c r="AP45" s="1239"/>
      <c r="AQ45" s="1239"/>
      <c r="AR45" s="1239"/>
      <c r="AS45" s="1239"/>
      <c r="AT45" s="1239"/>
      <c r="AU45" s="1239"/>
      <c r="AV45" s="1239"/>
      <c r="AW45" s="1239">
        <f ca="1">OFFSET(AW45,0,-1)+1</f>
        <v>1</v>
      </c>
      <c r="AX45" s="1239">
        <f ca="1">OFFSET(AX45,0,-1)+1</f>
        <v>2</v>
      </c>
      <c r="AY45" s="2406">
        <f ca="1">OFFSET(AY45,0,-1)+1</f>
        <v>3</v>
      </c>
      <c r="AZ45" s="2406"/>
      <c r="BA45" s="1239">
        <f ca="1">OFFSET(BA45,0,-2)+1</f>
        <v>4</v>
      </c>
      <c r="BB45" s="1033">
        <f ca="1">OFFSET(BB45,0,-1)</f>
        <v>4</v>
      </c>
      <c r="BC45" s="1239">
        <f ca="1">OFFSET(BC45,0,-1)+1</f>
        <v>5</v>
      </c>
      <c r="BD45" s="444"/>
      <c r="BE45" s="444"/>
      <c r="BF45" s="444"/>
      <c r="BG45" s="444"/>
      <c r="BH45" s="444"/>
      <c r="BI45" s="429">
        <v>0</v>
      </c>
    </row>
    <row r="46" spans="1:61" ht="21.95" customHeight="1">
      <c r="A46" s="1151" t="s">
        <v>330</v>
      </c>
      <c r="B46" s="1151"/>
      <c r="C46" s="1151"/>
      <c r="D46" s="1151"/>
      <c r="E46" s="2395">
        <v>1</v>
      </c>
      <c r="F46" s="1151"/>
      <c r="G46" s="1151"/>
      <c r="H46" s="1151"/>
      <c r="I46" s="1151"/>
      <c r="J46" s="1151"/>
      <c r="K46" s="1151"/>
      <c r="L46" s="1152"/>
      <c r="M46" s="1153"/>
      <c r="N46" s="1153"/>
      <c r="O46" s="1153"/>
      <c r="P46" s="1197"/>
      <c r="Q46" s="772"/>
      <c r="R46" s="288"/>
      <c r="S46" s="1245">
        <f>INDEX(PT_DIFFERENTIATION_NUM_NTAR,MATCH(A46,PT_DIFFERENTIATION_NTAR_ID,0))</f>
        <v>0</v>
      </c>
      <c r="T46" s="232" t="s">
        <v>214</v>
      </c>
      <c r="U46" s="234"/>
      <c r="V46" s="2390"/>
      <c r="W46" s="2390"/>
      <c r="X46" s="2390"/>
      <c r="Y46" s="2390"/>
      <c r="Z46" s="2390"/>
      <c r="AA46" s="2390"/>
      <c r="AB46" s="2390"/>
      <c r="AC46" s="2391"/>
      <c r="AD46" s="2389" t="str">
        <f>INDEX(PT_DIFFERENTIATION_NTAR,MATCH(A46,PT_DIFFERENTIATION_NTAR_ID,0))</f>
        <v/>
      </c>
      <c r="AE46" s="2390"/>
      <c r="AF46" s="2390"/>
      <c r="AG46" s="2390"/>
      <c r="AH46" s="2390"/>
      <c r="AI46" s="2390"/>
      <c r="AJ46" s="2390"/>
      <c r="AK46" s="2390"/>
      <c r="AL46" s="2390"/>
      <c r="AM46" s="2390"/>
      <c r="AN46" s="2390"/>
      <c r="AO46" s="2390"/>
      <c r="AP46" s="2390"/>
      <c r="AQ46" s="2390"/>
      <c r="AR46" s="2390"/>
      <c r="AS46" s="2390"/>
      <c r="AT46" s="2390"/>
      <c r="AU46" s="2390"/>
      <c r="AV46" s="2390"/>
      <c r="AW46" s="2390"/>
      <c r="AX46" s="2390"/>
      <c r="AY46" s="2390"/>
      <c r="AZ46" s="2390"/>
      <c r="BA46" s="2390"/>
      <c r="BB46" s="2391"/>
      <c r="BC46" s="104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3"/>
      <c r="BF46" s="433" t="str">
        <f t="shared" ref="BF46:BF52" si="3">IF(T46="","",T46)</f>
        <v>Наименование тарифа</v>
      </c>
      <c r="BG46" s="433"/>
      <c r="BH46" s="433"/>
      <c r="BI46" s="956">
        <v>21</v>
      </c>
    </row>
    <row r="47" spans="1:61" ht="21.95" customHeight="1">
      <c r="A47" s="1151" t="s">
        <v>330</v>
      </c>
      <c r="B47" s="1151" t="s">
        <v>331</v>
      </c>
      <c r="C47" s="1151"/>
      <c r="D47" s="1151"/>
      <c r="E47" s="2396"/>
      <c r="F47" s="2395">
        <v>1</v>
      </c>
      <c r="G47" s="1151"/>
      <c r="H47" s="1151"/>
      <c r="I47" s="1151"/>
      <c r="J47" s="1151"/>
      <c r="K47" s="1151"/>
      <c r="L47" s="1152"/>
      <c r="M47" s="1153"/>
      <c r="N47" s="1153"/>
      <c r="O47" s="1153"/>
      <c r="P47" s="1198"/>
      <c r="Q47" s="1199"/>
      <c r="R47" s="286"/>
      <c r="S47" s="1245" t="str">
        <f>INDEX(PT_DIFFERENTIATION_NUM_TER,MATCH(B47,PT_DIFFERENTIATION_TER_ID,0))</f>
        <v>.</v>
      </c>
      <c r="T47" s="242" t="s">
        <v>481</v>
      </c>
      <c r="U47" s="234"/>
      <c r="V47" s="2390"/>
      <c r="W47" s="2390"/>
      <c r="X47" s="2390"/>
      <c r="Y47" s="2390"/>
      <c r="Z47" s="2390"/>
      <c r="AA47" s="2390"/>
      <c r="AB47" s="2390"/>
      <c r="AC47" s="2391"/>
      <c r="AD47" s="2389" t="str">
        <f>INDEX(PT_DIFFERENTIATION_TER,MATCH(B47,PT_DIFFERENTIATION_TER_ID,0))</f>
        <v/>
      </c>
      <c r="AE47" s="2390"/>
      <c r="AF47" s="2390"/>
      <c r="AG47" s="2390"/>
      <c r="AH47" s="2390"/>
      <c r="AI47" s="2390"/>
      <c r="AJ47" s="2390"/>
      <c r="AK47" s="2390"/>
      <c r="AL47" s="2390"/>
      <c r="AM47" s="2390"/>
      <c r="AN47" s="2390"/>
      <c r="AO47" s="2390"/>
      <c r="AP47" s="2390"/>
      <c r="AQ47" s="2390"/>
      <c r="AR47" s="2390"/>
      <c r="AS47" s="2390"/>
      <c r="AT47" s="2390"/>
      <c r="AU47" s="2390"/>
      <c r="AV47" s="2390"/>
      <c r="AW47" s="2390"/>
      <c r="AX47" s="2390"/>
      <c r="AY47" s="2390"/>
      <c r="AZ47" s="2390"/>
      <c r="BA47" s="2390"/>
      <c r="BB47" s="2391"/>
      <c r="BC47" s="1046" t="s">
        <v>482</v>
      </c>
      <c r="BE47" s="433"/>
      <c r="BF47" s="433" t="str">
        <f t="shared" si="3"/>
        <v>Территория действия тарифа</v>
      </c>
      <c r="BG47" s="433"/>
      <c r="BH47" s="433"/>
      <c r="BI47" s="956">
        <v>21</v>
      </c>
    </row>
    <row r="48" spans="1:61" ht="43.15" customHeight="1">
      <c r="A48" s="1151" t="s">
        <v>330</v>
      </c>
      <c r="B48" s="1151" t="s">
        <v>331</v>
      </c>
      <c r="C48" s="1151" t="s">
        <v>332</v>
      </c>
      <c r="D48" s="1151"/>
      <c r="E48" s="2396"/>
      <c r="F48" s="2396"/>
      <c r="G48" s="2395">
        <v>1</v>
      </c>
      <c r="H48" s="1151"/>
      <c r="I48" s="1151"/>
      <c r="J48" s="1151"/>
      <c r="K48" s="1151"/>
      <c r="L48" s="1152"/>
      <c r="M48" s="1153"/>
      <c r="N48" s="1153"/>
      <c r="O48" s="1153"/>
      <c r="P48" s="1200"/>
      <c r="Q48" s="1199"/>
      <c r="R48" s="286"/>
      <c r="S48" s="1245" t="str">
        <f>INDEX(PT_DIFFERENTIATION_NUM_CS,MATCH(C48,PT_DIFFERENTIATION_CS_ID,0))</f>
        <v>..</v>
      </c>
      <c r="T48" s="243" t="s">
        <v>565</v>
      </c>
      <c r="U48" s="234"/>
      <c r="V48" s="2390"/>
      <c r="W48" s="2390"/>
      <c r="X48" s="2390"/>
      <c r="Y48" s="2390"/>
      <c r="Z48" s="2390"/>
      <c r="AA48" s="2390"/>
      <c r="AB48" s="2390"/>
      <c r="AC48" s="2391"/>
      <c r="AD48" s="2389" t="str">
        <f>INDEX(PT_DIFFERENTIATION_CS,MATCH(C48,PT_DIFFERENTIATION_CS_ID,0))</f>
        <v/>
      </c>
      <c r="AE48" s="2390"/>
      <c r="AF48" s="2390"/>
      <c r="AG48" s="2390"/>
      <c r="AH48" s="2390"/>
      <c r="AI48" s="2390"/>
      <c r="AJ48" s="2390"/>
      <c r="AK48" s="2390"/>
      <c r="AL48" s="2390"/>
      <c r="AM48" s="2390"/>
      <c r="AN48" s="2390"/>
      <c r="AO48" s="2390"/>
      <c r="AP48" s="2390"/>
      <c r="AQ48" s="2390"/>
      <c r="AR48" s="2390"/>
      <c r="AS48" s="2390"/>
      <c r="AT48" s="2390"/>
      <c r="AU48" s="2390"/>
      <c r="AV48" s="2390"/>
      <c r="AW48" s="2390"/>
      <c r="AX48" s="2390"/>
      <c r="AY48" s="2390"/>
      <c r="AZ48" s="2390"/>
      <c r="BA48" s="2390"/>
      <c r="BB48" s="2391"/>
      <c r="BC48" s="1046" t="s">
        <v>566</v>
      </c>
      <c r="BE48" s="433"/>
      <c r="BF48" s="433" t="str">
        <f t="shared" si="3"/>
        <v>Наименование централизованной системы холодного водоснабжения</v>
      </c>
      <c r="BG48" s="433"/>
      <c r="BH48" s="433"/>
      <c r="BI48" s="956">
        <v>41</v>
      </c>
    </row>
    <row r="49" spans="1:61" s="1430" customFormat="1" ht="0" hidden="1" customHeight="1">
      <c r="A49" s="1131" t="s">
        <v>330</v>
      </c>
      <c r="B49" s="1131" t="s">
        <v>331</v>
      </c>
      <c r="C49" s="1131" t="s">
        <v>332</v>
      </c>
      <c r="D49" s="1131" t="s">
        <v>599</v>
      </c>
      <c r="E49" s="2396"/>
      <c r="F49" s="2396"/>
      <c r="G49" s="2396"/>
      <c r="H49" s="2395">
        <v>1</v>
      </c>
      <c r="I49" s="1131"/>
      <c r="J49" s="1131"/>
      <c r="K49" s="1131"/>
      <c r="L49" s="1134"/>
      <c r="M49" s="1103"/>
      <c r="N49" s="1103"/>
      <c r="O49" s="1103"/>
      <c r="P49" s="1285"/>
      <c r="Q49" s="1286"/>
      <c r="R49" s="290"/>
      <c r="S49" s="881"/>
      <c r="T49" s="1287"/>
      <c r="U49" s="1172"/>
      <c r="V49" s="2427"/>
      <c r="W49" s="2427"/>
      <c r="X49" s="2427"/>
      <c r="Y49" s="2427"/>
      <c r="Z49" s="2427"/>
      <c r="AA49" s="2427"/>
      <c r="AB49" s="2427"/>
      <c r="AC49" s="2428"/>
      <c r="AD49" s="2426"/>
      <c r="AE49" s="2427"/>
      <c r="AF49" s="2427"/>
      <c r="AG49" s="2427"/>
      <c r="AH49" s="2427"/>
      <c r="AI49" s="2427"/>
      <c r="AJ49" s="2427"/>
      <c r="AK49" s="2427"/>
      <c r="AL49" s="2427"/>
      <c r="AM49" s="2427"/>
      <c r="AN49" s="2427"/>
      <c r="AO49" s="2427"/>
      <c r="AP49" s="2427"/>
      <c r="AQ49" s="2427"/>
      <c r="AR49" s="2427"/>
      <c r="AS49" s="2427"/>
      <c r="AT49" s="2427"/>
      <c r="AU49" s="2427"/>
      <c r="AV49" s="2427"/>
      <c r="AW49" s="2427"/>
      <c r="AX49" s="2427"/>
      <c r="AY49" s="2427"/>
      <c r="AZ49" s="2427"/>
      <c r="BA49" s="2427"/>
      <c r="BB49" s="2428"/>
      <c r="BC49" s="1173" t="s">
        <v>486</v>
      </c>
      <c r="BE49" s="433"/>
      <c r="BF49" s="433" t="str">
        <f t="shared" si="3"/>
        <v/>
      </c>
      <c r="BG49" s="433"/>
      <c r="BH49" s="433"/>
      <c r="BI49" s="444">
        <v>0</v>
      </c>
    </row>
    <row r="50" spans="1:61" s="1430" customFormat="1" ht="0" hidden="1" customHeight="1">
      <c r="A50" s="1131" t="s">
        <v>330</v>
      </c>
      <c r="B50" s="1131" t="s">
        <v>331</v>
      </c>
      <c r="C50" s="1131" t="s">
        <v>332</v>
      </c>
      <c r="D50" s="1131" t="s">
        <v>599</v>
      </c>
      <c r="E50" s="2396"/>
      <c r="F50" s="2396"/>
      <c r="G50" s="2396"/>
      <c r="H50" s="2396"/>
      <c r="I50" s="2397" t="str">
        <f>S49&amp;".1"</f>
        <v>.1</v>
      </c>
      <c r="J50" s="1131"/>
      <c r="K50" s="1131"/>
      <c r="L50" s="1134" t="s">
        <v>487</v>
      </c>
      <c r="M50" s="443"/>
      <c r="N50" s="443"/>
      <c r="O50" s="443"/>
      <c r="P50" s="2399">
        <v>1</v>
      </c>
      <c r="Q50" s="1250"/>
      <c r="R50" s="289"/>
      <c r="S50" s="881"/>
      <c r="T50" s="1171"/>
      <c r="U50" s="1172"/>
      <c r="V50" s="2427"/>
      <c r="W50" s="2427"/>
      <c r="X50" s="2427"/>
      <c r="Y50" s="2427"/>
      <c r="Z50" s="2427"/>
      <c r="AA50" s="2427"/>
      <c r="AB50" s="2427"/>
      <c r="AC50" s="2428"/>
      <c r="AD50" s="2426"/>
      <c r="AE50" s="2427"/>
      <c r="AF50" s="2427"/>
      <c r="AG50" s="2427"/>
      <c r="AH50" s="2427"/>
      <c r="AI50" s="2427"/>
      <c r="AJ50" s="2427"/>
      <c r="AK50" s="2427"/>
      <c r="AL50" s="2427"/>
      <c r="AM50" s="2427"/>
      <c r="AN50" s="2427"/>
      <c r="AO50" s="2427"/>
      <c r="AP50" s="2427"/>
      <c r="AQ50" s="2427"/>
      <c r="AR50" s="2427"/>
      <c r="AS50" s="2427"/>
      <c r="AT50" s="2427"/>
      <c r="AU50" s="2427"/>
      <c r="AV50" s="2427"/>
      <c r="AW50" s="2427"/>
      <c r="AX50" s="2427"/>
      <c r="AY50" s="2427"/>
      <c r="AZ50" s="2427"/>
      <c r="BA50" s="2427"/>
      <c r="BB50" s="2428"/>
      <c r="BC50" s="1173"/>
      <c r="BE50" s="433"/>
      <c r="BF50" s="433" t="str">
        <f t="shared" si="3"/>
        <v/>
      </c>
      <c r="BG50" s="433"/>
      <c r="BH50" s="433"/>
      <c r="BI50" s="444">
        <v>0</v>
      </c>
    </row>
    <row r="51" spans="1:61" s="1430" customFormat="1" ht="0" hidden="1" customHeight="1">
      <c r="A51" s="1131" t="s">
        <v>330</v>
      </c>
      <c r="B51" s="1131" t="s">
        <v>331</v>
      </c>
      <c r="C51" s="1131" t="s">
        <v>332</v>
      </c>
      <c r="D51" s="1131" t="s">
        <v>599</v>
      </c>
      <c r="E51" s="2396"/>
      <c r="F51" s="2396"/>
      <c r="G51" s="2396"/>
      <c r="H51" s="2396"/>
      <c r="I51" s="2398"/>
      <c r="J51" s="2397" t="str">
        <f>S49&amp;".1"</f>
        <v>.1</v>
      </c>
      <c r="K51" s="1131"/>
      <c r="L51" s="1134"/>
      <c r="M51" s="443"/>
      <c r="N51" s="443"/>
      <c r="O51" s="443"/>
      <c r="P51" s="2399"/>
      <c r="Q51" s="2399">
        <v>1</v>
      </c>
      <c r="R51" s="290"/>
      <c r="S51" s="881"/>
      <c r="T51" s="1187"/>
      <c r="U51" s="1172"/>
      <c r="V51" s="2427"/>
      <c r="W51" s="2427"/>
      <c r="X51" s="2427"/>
      <c r="Y51" s="2427"/>
      <c r="Z51" s="2427"/>
      <c r="AA51" s="2427"/>
      <c r="AB51" s="2427"/>
      <c r="AC51" s="2428"/>
      <c r="AD51" s="2426"/>
      <c r="AE51" s="2427"/>
      <c r="AF51" s="2427"/>
      <c r="AG51" s="2427"/>
      <c r="AH51" s="2427"/>
      <c r="AI51" s="2427"/>
      <c r="AJ51" s="2427"/>
      <c r="AK51" s="2427"/>
      <c r="AL51" s="2427"/>
      <c r="AM51" s="2427"/>
      <c r="AN51" s="2478"/>
      <c r="AO51" s="2478"/>
      <c r="AP51" s="2427"/>
      <c r="AQ51" s="2427"/>
      <c r="AR51" s="2427"/>
      <c r="AS51" s="2427"/>
      <c r="AT51" s="2427"/>
      <c r="AU51" s="2427"/>
      <c r="AV51" s="2427"/>
      <c r="AW51" s="2427"/>
      <c r="AX51" s="2427"/>
      <c r="AY51" s="2427"/>
      <c r="AZ51" s="2427"/>
      <c r="BA51" s="2427"/>
      <c r="BB51" s="2428"/>
      <c r="BC51" s="1173"/>
      <c r="BE51" s="433"/>
      <c r="BF51" s="433" t="str">
        <f t="shared" si="3"/>
        <v/>
      </c>
      <c r="BG51" s="433"/>
      <c r="BH51" s="433"/>
      <c r="BI51" s="444">
        <v>0</v>
      </c>
    </row>
    <row r="52" spans="1:61" ht="11.45" customHeight="1">
      <c r="A52" s="1151" t="s">
        <v>330</v>
      </c>
      <c r="B52" s="1151" t="s">
        <v>331</v>
      </c>
      <c r="C52" s="1151" t="s">
        <v>332</v>
      </c>
      <c r="D52" s="1151" t="s">
        <v>599</v>
      </c>
      <c r="E52" s="2396"/>
      <c r="F52" s="2396"/>
      <c r="G52" s="2396"/>
      <c r="H52" s="2396"/>
      <c r="I52" s="2398"/>
      <c r="J52" s="2398"/>
      <c r="K52" s="2397" t="str">
        <f>S48&amp;".1"</f>
        <v>...1</v>
      </c>
      <c r="L52" s="1152"/>
      <c r="P52" s="2399"/>
      <c r="Q52" s="2399"/>
      <c r="R52" s="290">
        <v>1</v>
      </c>
      <c r="S52" s="2452" t="str">
        <f>$K52</f>
        <v>...1</v>
      </c>
      <c r="T52" s="2472"/>
      <c r="U52" s="234"/>
      <c r="V52" s="658"/>
      <c r="W52" s="1045"/>
      <c r="X52" s="658"/>
      <c r="Y52" s="1045"/>
      <c r="Z52" s="1493"/>
      <c r="AA52" s="1247" t="s">
        <v>52</v>
      </c>
      <c r="AB52" s="1493"/>
      <c r="AC52" s="1247" t="s">
        <v>52</v>
      </c>
      <c r="AD52" s="2340" t="s">
        <v>52</v>
      </c>
      <c r="AE52" s="2448"/>
      <c r="AF52" s="2353">
        <v>1</v>
      </c>
      <c r="AG52" s="2471"/>
      <c r="AH52" s="2276" t="s">
        <v>52</v>
      </c>
      <c r="AI52" s="2448"/>
      <c r="AJ52" s="2353">
        <v>1</v>
      </c>
      <c r="AK52" s="2462" t="s">
        <v>9</v>
      </c>
      <c r="AL52" s="2276" t="s">
        <v>52</v>
      </c>
      <c r="AM52" s="2328"/>
      <c r="AN52" s="2353">
        <v>1</v>
      </c>
      <c r="AO52" s="2475"/>
      <c r="AP52" s="2476" t="s">
        <v>52</v>
      </c>
      <c r="AQ52" s="245"/>
      <c r="AR52" s="1251">
        <v>1</v>
      </c>
      <c r="AS52" s="1254" t="s">
        <v>9</v>
      </c>
      <c r="AT52" s="658"/>
      <c r="AU52" s="1045"/>
      <c r="AV52" s="658"/>
      <c r="AW52" s="1045"/>
      <c r="AX52" s="1493"/>
      <c r="AY52" s="1247" t="s">
        <v>52</v>
      </c>
      <c r="AZ52" s="1493"/>
      <c r="BA52" s="1247" t="s">
        <v>52</v>
      </c>
      <c r="BB52" s="1136"/>
      <c r="BC52" s="2418" t="s">
        <v>585</v>
      </c>
      <c r="BE52" s="433"/>
      <c r="BF52" s="433" t="str">
        <f t="shared" si="3"/>
        <v/>
      </c>
      <c r="BG52" s="433"/>
      <c r="BH52" s="433"/>
      <c r="BI52" s="956">
        <v>11</v>
      </c>
    </row>
    <row r="53" spans="1:61" ht="11.45" customHeight="1">
      <c r="A53" s="1151"/>
      <c r="B53" s="1151"/>
      <c r="C53" s="1151"/>
      <c r="D53" s="1151"/>
      <c r="E53" s="2396"/>
      <c r="F53" s="2396"/>
      <c r="G53" s="2396"/>
      <c r="H53" s="2396"/>
      <c r="I53" s="2398"/>
      <c r="J53" s="2398"/>
      <c r="K53" s="2397"/>
      <c r="L53" s="1152"/>
      <c r="P53" s="2399"/>
      <c r="Q53" s="2399"/>
      <c r="R53" s="290"/>
      <c r="S53" s="2453"/>
      <c r="T53" s="2473"/>
      <c r="U53" s="234"/>
      <c r="V53" s="1181"/>
      <c r="W53" s="1284"/>
      <c r="X53" s="1181"/>
      <c r="Y53" s="1284"/>
      <c r="Z53" s="1181"/>
      <c r="AA53" s="1181"/>
      <c r="AB53" s="1181"/>
      <c r="AC53" s="1181"/>
      <c r="AD53" s="2341"/>
      <c r="AE53" s="2448"/>
      <c r="AF53" s="2353"/>
      <c r="AG53" s="2471"/>
      <c r="AH53" s="2276"/>
      <c r="AI53" s="2448"/>
      <c r="AJ53" s="2353"/>
      <c r="AK53" s="2462"/>
      <c r="AL53" s="2276"/>
      <c r="AM53" s="2333"/>
      <c r="AN53" s="2353"/>
      <c r="AO53" s="2475"/>
      <c r="AP53" s="2477"/>
      <c r="AQ53" s="250"/>
      <c r="AR53" s="349"/>
      <c r="AS53" s="349" t="s">
        <v>586</v>
      </c>
      <c r="AT53" s="1181"/>
      <c r="AU53" s="1284"/>
      <c r="AV53" s="1181"/>
      <c r="AW53" s="1284"/>
      <c r="AX53" s="1181"/>
      <c r="AY53" s="1181"/>
      <c r="AZ53" s="1181"/>
      <c r="BA53" s="1181"/>
      <c r="BB53" s="1185"/>
      <c r="BC53" s="2419"/>
      <c r="BE53" s="433"/>
      <c r="BF53" s="433"/>
      <c r="BG53" s="433"/>
      <c r="BH53" s="433"/>
      <c r="BI53" s="956">
        <v>11</v>
      </c>
    </row>
    <row r="54" spans="1:61" ht="11.45" customHeight="1">
      <c r="A54" s="1151" t="s">
        <v>330</v>
      </c>
      <c r="B54" s="1151"/>
      <c r="C54" s="1151"/>
      <c r="D54" s="1151"/>
      <c r="E54" s="2396"/>
      <c r="F54" s="2396"/>
      <c r="G54" s="2396"/>
      <c r="H54" s="2396"/>
      <c r="I54" s="2398"/>
      <c r="J54" s="2398"/>
      <c r="K54" s="2397"/>
      <c r="L54" s="1152"/>
      <c r="P54" s="2399"/>
      <c r="Q54" s="2399"/>
      <c r="R54" s="290"/>
      <c r="S54" s="2453"/>
      <c r="T54" s="2473"/>
      <c r="U54" s="234"/>
      <c r="V54" s="1181"/>
      <c r="W54" s="1284"/>
      <c r="X54" s="1181"/>
      <c r="Y54" s="1284"/>
      <c r="Z54" s="1181"/>
      <c r="AA54" s="1181"/>
      <c r="AB54" s="1181"/>
      <c r="AC54" s="1181"/>
      <c r="AD54" s="2341"/>
      <c r="AE54" s="2448"/>
      <c r="AF54" s="2353"/>
      <c r="AG54" s="2471"/>
      <c r="AH54" s="2276"/>
      <c r="AI54" s="2448"/>
      <c r="AJ54" s="2353"/>
      <c r="AK54" s="2462"/>
      <c r="AL54" s="2276"/>
      <c r="AM54" s="250"/>
      <c r="AN54" s="1288"/>
      <c r="AO54" s="1288" t="s">
        <v>587</v>
      </c>
      <c r="AP54" s="349"/>
      <c r="AQ54" s="349"/>
      <c r="AR54" s="349"/>
      <c r="AS54" s="1181"/>
      <c r="AT54" s="1181"/>
      <c r="AU54" s="1284"/>
      <c r="AV54" s="1181"/>
      <c r="AW54" s="1284"/>
      <c r="AX54" s="1181"/>
      <c r="AY54" s="1181"/>
      <c r="AZ54" s="1181"/>
      <c r="BA54" s="1181"/>
      <c r="BB54" s="1185"/>
      <c r="BC54" s="2419"/>
      <c r="BE54" s="433"/>
      <c r="BF54" s="433"/>
      <c r="BG54" s="433"/>
      <c r="BH54" s="433"/>
      <c r="BI54" s="956">
        <v>11</v>
      </c>
    </row>
    <row r="55" spans="1:61" ht="11.45" customHeight="1">
      <c r="A55" s="1151" t="s">
        <v>330</v>
      </c>
      <c r="B55" s="1151"/>
      <c r="C55" s="1151"/>
      <c r="D55" s="1151"/>
      <c r="E55" s="2396"/>
      <c r="F55" s="2396"/>
      <c r="G55" s="2396"/>
      <c r="H55" s="2396"/>
      <c r="I55" s="2398"/>
      <c r="J55" s="2398"/>
      <c r="K55" s="2397"/>
      <c r="L55" s="1152"/>
      <c r="P55" s="2399"/>
      <c r="Q55" s="2399"/>
      <c r="R55" s="290"/>
      <c r="S55" s="2453"/>
      <c r="T55" s="2473"/>
      <c r="U55" s="234"/>
      <c r="V55" s="1181"/>
      <c r="W55" s="1284"/>
      <c r="X55" s="1181"/>
      <c r="Y55" s="1284"/>
      <c r="Z55" s="1181"/>
      <c r="AA55" s="1181"/>
      <c r="AB55" s="1181"/>
      <c r="AC55" s="1181"/>
      <c r="AD55" s="2341"/>
      <c r="AE55" s="2448"/>
      <c r="AF55" s="2353"/>
      <c r="AG55" s="2471"/>
      <c r="AH55" s="2276"/>
      <c r="AI55" s="228"/>
      <c r="AJ55" s="348"/>
      <c r="AK55" s="247" t="s">
        <v>588</v>
      </c>
      <c r="AL55" s="1181"/>
      <c r="AM55" s="1181"/>
      <c r="AN55" s="1181"/>
      <c r="AO55" s="1181"/>
      <c r="AP55" s="1181"/>
      <c r="AQ55" s="1181"/>
      <c r="AR55" s="1181"/>
      <c r="AS55" s="1181"/>
      <c r="AT55" s="1181"/>
      <c r="AU55" s="1284"/>
      <c r="AV55" s="1181"/>
      <c r="AW55" s="1284"/>
      <c r="AX55" s="1181"/>
      <c r="AY55" s="1181"/>
      <c r="AZ55" s="1181"/>
      <c r="BA55" s="1181"/>
      <c r="BB55" s="1185"/>
      <c r="BC55" s="2419"/>
      <c r="BE55" s="433"/>
      <c r="BF55" s="433"/>
      <c r="BG55" s="433"/>
      <c r="BH55" s="433"/>
      <c r="BI55" s="956">
        <v>11</v>
      </c>
    </row>
    <row r="56" spans="1:61" ht="11.45" customHeight="1">
      <c r="A56" s="1151" t="s">
        <v>330</v>
      </c>
      <c r="B56" s="1151" t="s">
        <v>331</v>
      </c>
      <c r="C56" s="1151" t="s">
        <v>332</v>
      </c>
      <c r="D56" s="1151" t="s">
        <v>599</v>
      </c>
      <c r="E56" s="2396"/>
      <c r="F56" s="2396"/>
      <c r="G56" s="2396"/>
      <c r="H56" s="2396"/>
      <c r="I56" s="2398"/>
      <c r="J56" s="2398"/>
      <c r="K56" s="2397"/>
      <c r="L56" s="1152"/>
      <c r="P56" s="2399"/>
      <c r="Q56" s="2399"/>
      <c r="R56" s="290"/>
      <c r="S56" s="2454"/>
      <c r="T56" s="2474"/>
      <c r="U56" s="234"/>
      <c r="V56" s="1181"/>
      <c r="W56" s="1182" t="str">
        <f>Z52&amp;"-"&amp;AB52</f>
        <v>-</v>
      </c>
      <c r="X56" s="1181"/>
      <c r="Y56" s="1182" t="str">
        <f>AB52&amp;"-"&amp;AD52</f>
        <v>-да</v>
      </c>
      <c r="Z56" s="1181"/>
      <c r="AA56" s="1181"/>
      <c r="AB56" s="1181"/>
      <c r="AC56" s="1181"/>
      <c r="AD56" s="2282"/>
      <c r="AE56" s="246"/>
      <c r="AF56" s="248"/>
      <c r="AG56" s="349" t="s">
        <v>589</v>
      </c>
      <c r="AH56" s="1181"/>
      <c r="AI56" s="1181"/>
      <c r="AJ56" s="1181"/>
      <c r="AK56" s="1181"/>
      <c r="AL56" s="1181"/>
      <c r="AM56" s="1181"/>
      <c r="AN56" s="1181"/>
      <c r="AO56" s="1181"/>
      <c r="AP56" s="1181"/>
      <c r="AQ56" s="1181"/>
      <c r="AR56" s="1181"/>
      <c r="AS56" s="1181"/>
      <c r="AT56" s="1181"/>
      <c r="AU56" s="1182" t="str">
        <f>AX52&amp;"-"&amp;AZ52</f>
        <v>-</v>
      </c>
      <c r="AV56" s="1181"/>
      <c r="AW56" s="1182" t="str">
        <f>AZ52&amp;"-"&amp;BB52</f>
        <v>-</v>
      </c>
      <c r="AX56" s="1181"/>
      <c r="AY56" s="1181"/>
      <c r="AZ56" s="1181"/>
      <c r="BA56" s="1181"/>
      <c r="BB56" s="1184" t="str">
        <f>BE52&amp;"-"&amp;BG52</f>
        <v>-</v>
      </c>
      <c r="BC56" s="2419"/>
      <c r="BE56" s="433"/>
      <c r="BF56" s="433" t="str">
        <f t="shared" ref="BF56:BF63" si="4">IF(T56="","",T56)</f>
        <v/>
      </c>
      <c r="BG56" s="433"/>
      <c r="BH56" s="433"/>
      <c r="BI56" s="956">
        <v>11</v>
      </c>
    </row>
    <row r="57" spans="1:61" ht="11.45" customHeight="1">
      <c r="A57" s="1151" t="s">
        <v>330</v>
      </c>
      <c r="B57" s="1151" t="s">
        <v>331</v>
      </c>
      <c r="C57" s="1151" t="s">
        <v>332</v>
      </c>
      <c r="D57" s="1151" t="s">
        <v>599</v>
      </c>
      <c r="E57" s="2396"/>
      <c r="F57" s="2396"/>
      <c r="G57" s="2396"/>
      <c r="H57" s="2396"/>
      <c r="I57" s="2398"/>
      <c r="J57" s="2397"/>
      <c r="K57" s="1151"/>
      <c r="L57" s="1152"/>
      <c r="P57" s="2399"/>
      <c r="Q57" s="2399"/>
      <c r="R57" s="289"/>
      <c r="S57" s="1066"/>
      <c r="T57" s="221" t="s">
        <v>552</v>
      </c>
      <c r="U57" s="300"/>
      <c r="V57" s="300"/>
      <c r="W57" s="300"/>
      <c r="X57" s="300"/>
      <c r="Y57" s="300"/>
      <c r="Z57" s="300"/>
      <c r="AA57" s="300"/>
      <c r="AB57" s="300"/>
      <c r="AC57" s="258"/>
      <c r="AD57" s="1293"/>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258"/>
      <c r="BC57" s="2420"/>
      <c r="BE57" s="433"/>
      <c r="BF57" s="433" t="str">
        <f t="shared" si="4"/>
        <v>Добавить строку</v>
      </c>
      <c r="BG57" s="433"/>
      <c r="BH57" s="433"/>
      <c r="BI57" s="956">
        <v>11</v>
      </c>
    </row>
    <row r="58" spans="1:61" s="1430" customFormat="1" ht="0" hidden="1" customHeight="1">
      <c r="A58" s="1131" t="s">
        <v>330</v>
      </c>
      <c r="B58" s="1131" t="s">
        <v>331</v>
      </c>
      <c r="C58" s="1131" t="s">
        <v>332</v>
      </c>
      <c r="D58" s="1131" t="s">
        <v>599</v>
      </c>
      <c r="E58" s="2396"/>
      <c r="F58" s="2396"/>
      <c r="G58" s="2396"/>
      <c r="H58" s="2396"/>
      <c r="I58" s="2397"/>
      <c r="J58" s="1131"/>
      <c r="K58" s="1131"/>
      <c r="L58" s="1134"/>
      <c r="M58" s="443"/>
      <c r="N58" s="443"/>
      <c r="O58" s="443"/>
      <c r="P58" s="2399"/>
      <c r="Q58" s="1250"/>
      <c r="R58" s="289"/>
      <c r="S58" s="1174"/>
      <c r="T58" s="1175"/>
      <c r="U58" s="1176"/>
      <c r="V58" s="1176"/>
      <c r="W58" s="1176"/>
      <c r="X58" s="1176"/>
      <c r="Y58" s="1176"/>
      <c r="Z58" s="1176"/>
      <c r="AA58" s="1176"/>
      <c r="AB58" s="1176"/>
      <c r="AC58" s="1176"/>
      <c r="AD58" s="1176"/>
      <c r="AE58" s="1176"/>
      <c r="AF58" s="1176"/>
      <c r="AG58" s="1176"/>
      <c r="AH58" s="1176"/>
      <c r="AI58" s="1176"/>
      <c r="AJ58" s="1176"/>
      <c r="AK58" s="1176"/>
      <c r="AL58" s="1176"/>
      <c r="AM58" s="1176"/>
      <c r="AN58" s="1176"/>
      <c r="AO58" s="1176"/>
      <c r="AP58" s="1176"/>
      <c r="AQ58" s="1176"/>
      <c r="AR58" s="1176"/>
      <c r="AS58" s="1176"/>
      <c r="AT58" s="1176"/>
      <c r="AU58" s="1176"/>
      <c r="AV58" s="1176"/>
      <c r="AW58" s="1176"/>
      <c r="AX58" s="1176"/>
      <c r="AY58" s="1176"/>
      <c r="AZ58" s="1176"/>
      <c r="BA58" s="1176"/>
      <c r="BB58" s="1176"/>
      <c r="BC58" s="1177"/>
      <c r="BE58" s="433"/>
      <c r="BF58" s="433" t="str">
        <f t="shared" si="4"/>
        <v/>
      </c>
      <c r="BG58" s="433"/>
      <c r="BH58" s="433"/>
      <c r="BI58" s="444">
        <v>0</v>
      </c>
    </row>
    <row r="59" spans="1:61" s="1430" customFormat="1" ht="0" hidden="1" customHeight="1">
      <c r="A59" s="1131" t="s">
        <v>330</v>
      </c>
      <c r="B59" s="1131" t="s">
        <v>331</v>
      </c>
      <c r="C59" s="1131" t="s">
        <v>332</v>
      </c>
      <c r="D59" s="1131" t="s">
        <v>599</v>
      </c>
      <c r="E59" s="2396"/>
      <c r="F59" s="2396"/>
      <c r="G59" s="2396"/>
      <c r="H59" s="2395"/>
      <c r="I59" s="1131"/>
      <c r="J59" s="1131"/>
      <c r="K59" s="1131"/>
      <c r="L59" s="1134"/>
      <c r="M59" s="1103"/>
      <c r="N59" s="1103"/>
      <c r="O59" s="451"/>
      <c r="P59" s="313"/>
      <c r="Q59" s="1132"/>
      <c r="R59" s="1189"/>
      <c r="S59" s="1174"/>
      <c r="T59" s="1175"/>
      <c r="U59" s="1176"/>
      <c r="V59" s="1176"/>
      <c r="W59" s="1176"/>
      <c r="X59" s="1176"/>
      <c r="Y59" s="1176"/>
      <c r="Z59" s="1176"/>
      <c r="AA59" s="1176"/>
      <c r="AB59" s="1176"/>
      <c r="AC59" s="1176"/>
      <c r="AD59" s="1176"/>
      <c r="AE59" s="1176"/>
      <c r="AF59" s="1176"/>
      <c r="AG59" s="1176"/>
      <c r="AH59" s="1176"/>
      <c r="AI59" s="1176"/>
      <c r="AJ59" s="1176"/>
      <c r="AK59" s="1176"/>
      <c r="AL59" s="1176"/>
      <c r="AM59" s="1176"/>
      <c r="AN59" s="1176"/>
      <c r="AO59" s="1176"/>
      <c r="AP59" s="1176"/>
      <c r="AQ59" s="1176"/>
      <c r="AR59" s="1176"/>
      <c r="AS59" s="1176"/>
      <c r="AT59" s="1176"/>
      <c r="AU59" s="1176"/>
      <c r="AV59" s="1176"/>
      <c r="AW59" s="1176"/>
      <c r="AX59" s="1176"/>
      <c r="AY59" s="1176"/>
      <c r="AZ59" s="1176"/>
      <c r="BA59" s="1176"/>
      <c r="BB59" s="1176"/>
      <c r="BC59" s="1177"/>
      <c r="BE59" s="433"/>
      <c r="BF59" s="433" t="str">
        <f t="shared" si="4"/>
        <v/>
      </c>
      <c r="BG59" s="433"/>
      <c r="BH59" s="433"/>
      <c r="BI59" s="444">
        <v>0</v>
      </c>
    </row>
    <row r="60" spans="1:61" s="1430" customFormat="1" ht="0" hidden="1" customHeight="1">
      <c r="A60" s="1131" t="s">
        <v>330</v>
      </c>
      <c r="B60" s="1131" t="s">
        <v>331</v>
      </c>
      <c r="C60" s="1131" t="s">
        <v>332</v>
      </c>
      <c r="D60" s="1102"/>
      <c r="E60" s="2396"/>
      <c r="F60" s="2396"/>
      <c r="G60" s="2395"/>
      <c r="H60" s="1102"/>
      <c r="I60" s="1102"/>
      <c r="J60" s="1102"/>
      <c r="K60" s="1102"/>
      <c r="L60" s="1252"/>
      <c r="M60" s="1103"/>
      <c r="N60" s="1103"/>
      <c r="P60" s="1104"/>
      <c r="Q60" s="1105"/>
      <c r="R60" s="1104"/>
      <c r="S60" s="1110"/>
      <c r="T60" s="1113"/>
      <c r="U60" s="1112"/>
      <c r="V60" s="1112"/>
      <c r="W60" s="1112"/>
      <c r="X60" s="1112"/>
      <c r="Y60" s="1112"/>
      <c r="Z60" s="1112"/>
      <c r="AA60" s="1112"/>
      <c r="AB60" s="1112"/>
      <c r="AC60" s="1112"/>
      <c r="AD60" s="1112"/>
      <c r="AE60" s="1112"/>
      <c r="AF60" s="1112"/>
      <c r="AG60" s="1112"/>
      <c r="AH60" s="1112"/>
      <c r="AI60" s="1112"/>
      <c r="AJ60" s="1112"/>
      <c r="AK60" s="1112"/>
      <c r="AL60" s="1112"/>
      <c r="AM60" s="1112"/>
      <c r="AN60" s="1112"/>
      <c r="AO60" s="1112"/>
      <c r="AP60" s="1112"/>
      <c r="AQ60" s="1112"/>
      <c r="AR60" s="1112"/>
      <c r="AS60" s="1112"/>
      <c r="AT60" s="1112"/>
      <c r="AU60" s="1112"/>
      <c r="AV60" s="1112"/>
      <c r="AW60" s="1112"/>
      <c r="AX60" s="1112"/>
      <c r="AY60" s="1112"/>
      <c r="AZ60" s="1112"/>
      <c r="BA60" s="1112"/>
      <c r="BB60" s="1112"/>
      <c r="BC60" s="1112"/>
      <c r="BE60" s="688"/>
      <c r="BF60" s="688" t="str">
        <f t="shared" si="4"/>
        <v/>
      </c>
      <c r="BG60" s="688"/>
      <c r="BH60" s="688"/>
      <c r="BI60" s="451">
        <v>0</v>
      </c>
    </row>
    <row r="61" spans="1:61" s="1430" customFormat="1" ht="0" hidden="1" customHeight="1">
      <c r="A61" s="1131" t="s">
        <v>330</v>
      </c>
      <c r="B61" s="1131" t="s">
        <v>331</v>
      </c>
      <c r="C61" s="1102"/>
      <c r="D61" s="1102"/>
      <c r="E61" s="2396"/>
      <c r="F61" s="2395"/>
      <c r="G61" s="1102"/>
      <c r="H61" s="1102"/>
      <c r="I61" s="1102"/>
      <c r="J61" s="1102"/>
      <c r="K61" s="1102"/>
      <c r="L61" s="1252"/>
      <c r="M61" s="1109"/>
      <c r="N61" s="1109"/>
      <c r="P61" s="1104"/>
      <c r="Q61" s="1105"/>
      <c r="R61" s="1104"/>
      <c r="S61" s="1110"/>
      <c r="T61" s="1113" t="s">
        <v>499</v>
      </c>
      <c r="U61" s="1112"/>
      <c r="V61" s="1112"/>
      <c r="W61" s="1112"/>
      <c r="X61" s="1112"/>
      <c r="Y61" s="1112"/>
      <c r="Z61" s="1112"/>
      <c r="AA61" s="1112"/>
      <c r="AB61" s="1112"/>
      <c r="AC61" s="1112"/>
      <c r="AD61" s="1112"/>
      <c r="AE61" s="1112"/>
      <c r="AF61" s="1112"/>
      <c r="AG61" s="1112"/>
      <c r="AH61" s="1112"/>
      <c r="AI61" s="1112"/>
      <c r="AJ61" s="1112"/>
      <c r="AK61" s="1112"/>
      <c r="AL61" s="1112"/>
      <c r="AM61" s="1112"/>
      <c r="AN61" s="1112"/>
      <c r="AO61" s="1112"/>
      <c r="AP61" s="1112"/>
      <c r="AQ61" s="1112"/>
      <c r="AR61" s="1112"/>
      <c r="AS61" s="1112"/>
      <c r="AT61" s="1112"/>
      <c r="AU61" s="1112"/>
      <c r="AV61" s="1112"/>
      <c r="AW61" s="1112"/>
      <c r="AX61" s="1112"/>
      <c r="AY61" s="1112"/>
      <c r="AZ61" s="1112"/>
      <c r="BA61" s="1112"/>
      <c r="BB61" s="1112"/>
      <c r="BC61" s="1112"/>
      <c r="BE61" s="688"/>
      <c r="BF61" s="688" t="str">
        <f t="shared" si="4"/>
        <v>Добавить централизованную систему для дифференциации</v>
      </c>
      <c r="BG61" s="688"/>
      <c r="BH61" s="688"/>
      <c r="BI61" s="451">
        <v>0</v>
      </c>
    </row>
    <row r="62" spans="1:61" s="1430" customFormat="1" ht="0" hidden="1" customHeight="1">
      <c r="A62" s="1131" t="s">
        <v>330</v>
      </c>
      <c r="B62" s="1131"/>
      <c r="C62" s="1131"/>
      <c r="D62" s="1131"/>
      <c r="E62" s="2395"/>
      <c r="F62" s="1131"/>
      <c r="G62" s="1131"/>
      <c r="H62" s="1131"/>
      <c r="I62" s="1131"/>
      <c r="J62" s="1131"/>
      <c r="K62" s="1131"/>
      <c r="L62" s="1134"/>
      <c r="M62" s="1109"/>
      <c r="N62" s="1109"/>
      <c r="O62" s="451"/>
      <c r="P62" s="313"/>
      <c r="Q62" s="1132"/>
      <c r="R62" s="313"/>
      <c r="S62" s="1110"/>
      <c r="T62" s="1113" t="s">
        <v>500</v>
      </c>
      <c r="U62" s="1112"/>
      <c r="V62" s="1112"/>
      <c r="W62" s="1112"/>
      <c r="X62" s="1112"/>
      <c r="Y62" s="1112"/>
      <c r="Z62" s="1112"/>
      <c r="AA62" s="1112"/>
      <c r="AB62" s="1112"/>
      <c r="AC62" s="1112"/>
      <c r="AD62" s="1112"/>
      <c r="AE62" s="1112"/>
      <c r="AF62" s="1112"/>
      <c r="AG62" s="1112"/>
      <c r="AH62" s="1112"/>
      <c r="AI62" s="1112"/>
      <c r="AJ62" s="1112"/>
      <c r="AK62" s="1112"/>
      <c r="AL62" s="1112"/>
      <c r="AM62" s="1112"/>
      <c r="AN62" s="1112"/>
      <c r="AO62" s="1112"/>
      <c r="AP62" s="1112"/>
      <c r="AQ62" s="1112"/>
      <c r="AR62" s="1112"/>
      <c r="AS62" s="1112"/>
      <c r="AT62" s="1112"/>
      <c r="AU62" s="1112"/>
      <c r="AV62" s="1112"/>
      <c r="AW62" s="1112"/>
      <c r="AX62" s="1112"/>
      <c r="AY62" s="1112"/>
      <c r="AZ62" s="1112"/>
      <c r="BA62" s="1112"/>
      <c r="BB62" s="1112"/>
      <c r="BC62" s="1112"/>
      <c r="BE62" s="433"/>
      <c r="BF62" s="433" t="str">
        <f t="shared" si="4"/>
        <v>Добавить территорию для дифференциации</v>
      </c>
      <c r="BG62" s="433"/>
      <c r="BH62" s="433"/>
      <c r="BI62" s="444">
        <v>0</v>
      </c>
    </row>
    <row r="63" spans="1:61" s="1430" customFormat="1" ht="0" hidden="1" customHeight="1">
      <c r="A63" s="1102"/>
      <c r="B63" s="1102"/>
      <c r="C63" s="1102"/>
      <c r="D63" s="1102"/>
      <c r="E63" s="1131"/>
      <c r="F63" s="1102"/>
      <c r="G63" s="1102"/>
      <c r="H63" s="1102"/>
      <c r="I63" s="1102"/>
      <c r="J63" s="1102"/>
      <c r="K63" s="1102"/>
      <c r="L63" s="1252"/>
      <c r="M63" s="1109"/>
      <c r="N63" s="1109"/>
      <c r="P63" s="1104"/>
      <c r="Q63" s="1105"/>
      <c r="R63" s="1104"/>
      <c r="S63" s="1110"/>
      <c r="T63" s="1113" t="s">
        <v>532</v>
      </c>
      <c r="U63" s="1112"/>
      <c r="V63" s="1112"/>
      <c r="W63" s="1112"/>
      <c r="X63" s="1112"/>
      <c r="Y63" s="1112"/>
      <c r="Z63" s="1112"/>
      <c r="AA63" s="1112"/>
      <c r="AB63" s="1112"/>
      <c r="AC63" s="1112"/>
      <c r="AD63" s="1112"/>
      <c r="AE63" s="1112"/>
      <c r="AF63" s="1112"/>
      <c r="AG63" s="1112"/>
      <c r="AH63" s="1112"/>
      <c r="AI63" s="1112"/>
      <c r="AJ63" s="1112"/>
      <c r="AK63" s="1112"/>
      <c r="AL63" s="1112"/>
      <c r="AM63" s="1112"/>
      <c r="AN63" s="1112"/>
      <c r="AO63" s="1112"/>
      <c r="AP63" s="1112"/>
      <c r="AQ63" s="1112"/>
      <c r="AR63" s="1112"/>
      <c r="AS63" s="1112"/>
      <c r="AT63" s="1112"/>
      <c r="AU63" s="1112"/>
      <c r="AV63" s="1112"/>
      <c r="AW63" s="1112"/>
      <c r="AX63" s="1112"/>
      <c r="AY63" s="1112"/>
      <c r="AZ63" s="1112"/>
      <c r="BA63" s="1112"/>
      <c r="BB63" s="1112"/>
      <c r="BC63" s="1112"/>
      <c r="BE63" s="688"/>
      <c r="BF63" s="688" t="str">
        <f t="shared" si="4"/>
        <v>Добавить наименование тарифа</v>
      </c>
      <c r="BG63" s="688"/>
      <c r="BH63" s="688"/>
      <c r="BI63" s="451">
        <v>0</v>
      </c>
    </row>
    <row r="64" spans="1:61" ht="11.45" customHeight="1">
      <c r="M64" s="961"/>
      <c r="N64" s="961"/>
      <c r="O64" s="469"/>
      <c r="P64" s="961"/>
      <c r="Q64" s="961"/>
      <c r="R64" s="956"/>
      <c r="S64" s="956"/>
      <c r="BD64" s="956"/>
      <c r="BE64" s="956"/>
      <c r="BF64" s="956"/>
      <c r="BG64" s="956"/>
      <c r="BH64" s="956"/>
      <c r="BI64" s="956">
        <v>11</v>
      </c>
    </row>
    <row r="65" spans="1:61" ht="19.899999999999999" customHeight="1">
      <c r="O65" s="469"/>
      <c r="S65" s="1041"/>
      <c r="T65" s="2394"/>
      <c r="U65" s="2394"/>
      <c r="V65" s="2394"/>
      <c r="W65" s="2394"/>
      <c r="X65" s="2394"/>
      <c r="Y65" s="2394"/>
      <c r="Z65" s="2394"/>
      <c r="AA65" s="2394"/>
      <c r="AB65" s="2394"/>
      <c r="AC65" s="2394"/>
      <c r="AD65" s="2394"/>
      <c r="AE65" s="2394"/>
      <c r="AF65" s="2394"/>
      <c r="AG65" s="2394"/>
      <c r="AH65" s="2394"/>
      <c r="AI65" s="2394"/>
      <c r="AJ65" s="2394"/>
      <c r="AK65" s="2394"/>
      <c r="AL65" s="2394"/>
      <c r="AM65" s="2394"/>
      <c r="AN65" s="2394"/>
      <c r="AO65" s="2394"/>
      <c r="AP65" s="2394"/>
      <c r="AQ65" s="2394"/>
      <c r="AR65" s="2394"/>
      <c r="AS65" s="2394"/>
      <c r="AT65" s="2394"/>
      <c r="AU65" s="2394"/>
      <c r="AV65" s="2394"/>
      <c r="AW65" s="2394"/>
      <c r="AX65" s="2394"/>
      <c r="AY65" s="2394"/>
      <c r="AZ65" s="2394"/>
      <c r="BA65" s="2394"/>
      <c r="BB65" s="2394"/>
      <c r="BC65" s="2394"/>
      <c r="BI65" s="956">
        <v>19</v>
      </c>
    </row>
    <row r="66" spans="1:61" ht="14.65" customHeight="1">
      <c r="O66" s="469"/>
      <c r="T66" s="1237"/>
      <c r="U66" s="1237"/>
      <c r="V66" s="1237"/>
      <c r="W66" s="1237"/>
      <c r="X66" s="1237"/>
      <c r="Y66" s="1237"/>
      <c r="Z66" s="1237"/>
      <c r="AA66" s="1237"/>
      <c r="AB66" s="1237"/>
      <c r="AC66" s="1237"/>
      <c r="AD66" s="1237"/>
      <c r="AE66" s="1237"/>
      <c r="AF66" s="1237"/>
      <c r="AG66" s="1237"/>
      <c r="AH66" s="1237"/>
      <c r="AI66" s="1237"/>
      <c r="AJ66" s="1237"/>
      <c r="AK66" s="1237"/>
      <c r="AL66" s="1237"/>
      <c r="AM66" s="1237"/>
      <c r="AN66" s="1237"/>
      <c r="AO66" s="1237"/>
      <c r="AP66" s="1237"/>
      <c r="AQ66" s="1237"/>
      <c r="AR66" s="1237"/>
      <c r="AS66" s="1237"/>
      <c r="AT66" s="1237"/>
      <c r="AU66" s="1237"/>
      <c r="AV66" s="1237"/>
      <c r="AW66" s="1237"/>
      <c r="AX66" s="1237"/>
      <c r="AY66" s="1237"/>
      <c r="AZ66" s="1237"/>
      <c r="BA66" s="1237"/>
      <c r="BB66" s="1237"/>
      <c r="BC66" s="1237"/>
      <c r="BI66" s="956">
        <v>14</v>
      </c>
    </row>
    <row r="67" spans="1:61" ht="19.899999999999999" customHeight="1">
      <c r="O67" s="469"/>
      <c r="S67" s="1041"/>
      <c r="T67" s="2394"/>
      <c r="U67" s="2394"/>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R67" s="2394"/>
      <c r="AS67" s="2394"/>
      <c r="AT67" s="2394"/>
      <c r="AU67" s="2394"/>
      <c r="AV67" s="2394"/>
      <c r="AW67" s="2394"/>
      <c r="AX67" s="2394"/>
      <c r="AY67" s="2394"/>
      <c r="AZ67" s="2394"/>
      <c r="BA67" s="2394"/>
      <c r="BB67" s="2394"/>
      <c r="BC67" s="2394"/>
      <c r="BI67" s="956">
        <v>19</v>
      </c>
    </row>
    <row r="68" spans="1:61" ht="14.65" customHeight="1">
      <c r="O68" s="469"/>
      <c r="BI68" s="956">
        <v>14</v>
      </c>
    </row>
    <row r="69" spans="1:61" ht="14.25" hidden="1" customHeight="1">
      <c r="A69" s="961" t="s">
        <v>69</v>
      </c>
      <c r="B69" s="961">
        <v>0</v>
      </c>
      <c r="C69" s="961">
        <v>0</v>
      </c>
      <c r="D69" s="961">
        <v>0</v>
      </c>
      <c r="E69" s="961">
        <v>0</v>
      </c>
      <c r="F69" s="961">
        <v>0</v>
      </c>
      <c r="G69" s="961">
        <v>0</v>
      </c>
      <c r="H69" s="961">
        <v>0</v>
      </c>
      <c r="I69" s="961">
        <v>0</v>
      </c>
      <c r="J69" s="961">
        <v>0</v>
      </c>
      <c r="K69" s="961">
        <v>0</v>
      </c>
      <c r="L69" s="1249">
        <v>0</v>
      </c>
      <c r="M69" s="1150">
        <v>0</v>
      </c>
      <c r="N69" s="1150">
        <v>0</v>
      </c>
      <c r="O69" s="1150">
        <v>0</v>
      </c>
      <c r="P69" s="1150">
        <v>0</v>
      </c>
      <c r="Q69" s="1159">
        <v>0</v>
      </c>
      <c r="R69" s="278">
        <v>3</v>
      </c>
      <c r="S69" s="512">
        <v>12</v>
      </c>
      <c r="T69" s="956">
        <v>31</v>
      </c>
      <c r="U69" s="956">
        <v>0</v>
      </c>
      <c r="V69" s="956">
        <v>0</v>
      </c>
      <c r="W69" s="956">
        <v>0</v>
      </c>
      <c r="X69" s="956">
        <v>0</v>
      </c>
      <c r="Y69" s="956">
        <v>0</v>
      </c>
      <c r="Z69" s="956">
        <v>0</v>
      </c>
      <c r="AA69" s="956">
        <v>0</v>
      </c>
      <c r="AB69" s="956">
        <v>0</v>
      </c>
      <c r="AC69" s="956">
        <v>0</v>
      </c>
      <c r="AD69" s="956">
        <v>3</v>
      </c>
      <c r="AE69" s="956">
        <v>3</v>
      </c>
      <c r="AF69" s="956">
        <v>3</v>
      </c>
      <c r="AG69" s="956">
        <v>24</v>
      </c>
      <c r="AH69" s="956">
        <v>3</v>
      </c>
      <c r="AI69" s="956">
        <v>3</v>
      </c>
      <c r="AJ69" s="956">
        <v>3</v>
      </c>
      <c r="AK69" s="956">
        <v>24</v>
      </c>
      <c r="AL69" s="956">
        <v>3</v>
      </c>
      <c r="AM69" s="956">
        <v>3</v>
      </c>
      <c r="AN69" s="956">
        <v>3</v>
      </c>
      <c r="AO69" s="956">
        <v>18</v>
      </c>
      <c r="AP69" s="956">
        <v>3</v>
      </c>
      <c r="AQ69" s="956">
        <v>3</v>
      </c>
      <c r="AR69" s="956">
        <v>3</v>
      </c>
      <c r="AS69" s="956">
        <v>18</v>
      </c>
      <c r="AT69" s="956">
        <v>21</v>
      </c>
      <c r="AU69" s="956">
        <v>21</v>
      </c>
      <c r="AV69" s="956">
        <v>21</v>
      </c>
      <c r="AW69" s="956">
        <v>21</v>
      </c>
      <c r="AX69" s="956">
        <v>11</v>
      </c>
      <c r="AY69" s="956">
        <v>3</v>
      </c>
      <c r="AZ69" s="956">
        <v>11</v>
      </c>
      <c r="BA69" s="956">
        <v>0</v>
      </c>
      <c r="BB69" s="956">
        <v>4</v>
      </c>
      <c r="BC69" s="956">
        <v>115</v>
      </c>
      <c r="BD69" s="444">
        <v>10</v>
      </c>
      <c r="BE69" s="444">
        <v>10</v>
      </c>
      <c r="BF69" s="444">
        <v>10</v>
      </c>
      <c r="BG69" s="444">
        <v>10</v>
      </c>
      <c r="BH69" s="444">
        <v>10</v>
      </c>
      <c r="BI69" s="956">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54" hidden="1"/>
    <col min="2" max="2" width="11" style="1154" hidden="1" customWidth="1"/>
    <col min="3" max="3" width="10.5703125" style="1154" hidden="1"/>
    <col min="4" max="4" width="11.85546875" style="1154" hidden="1" customWidth="1"/>
    <col min="5" max="5" width="10" style="1154" hidden="1" customWidth="1"/>
    <col min="6" max="6" width="8.7109375" style="1154" hidden="1" customWidth="1"/>
    <col min="7" max="7" width="7.5703125" style="1154" hidden="1" customWidth="1"/>
    <col min="8" max="8" width="11.42578125" style="1154" hidden="1" customWidth="1"/>
    <col min="9" max="9" width="14.140625" style="1154" hidden="1" customWidth="1"/>
    <col min="10" max="10" width="9.85546875" style="1154" hidden="1" customWidth="1"/>
    <col min="11" max="11" width="14.7109375" style="1154" hidden="1" customWidth="1"/>
    <col min="12" max="12" width="19.140625" style="1866" hidden="1" customWidth="1"/>
    <col min="13" max="14" width="12.28515625" style="1535" hidden="1" customWidth="1"/>
    <col min="15" max="15" width="23.42578125" style="1535" hidden="1" customWidth="1"/>
    <col min="16" max="16" width="3" style="1857" customWidth="1"/>
    <col min="17" max="18" width="3" style="278" customWidth="1"/>
    <col min="19" max="19" width="12" style="1858" customWidth="1"/>
    <col min="20" max="20" width="35" style="1423" customWidth="1"/>
    <col min="21" max="21" width="0.140625" style="1423" customWidth="1"/>
    <col min="22" max="24" width="24.7109375" style="1423" hidden="1" customWidth="1"/>
    <col min="25" max="25" width="11.7109375" style="1423" hidden="1" customWidth="1"/>
    <col min="26" max="26" width="3.7109375" style="1423" hidden="1" customWidth="1"/>
    <col min="27" max="27" width="11.7109375" style="1423" hidden="1" customWidth="1"/>
    <col min="28" max="28" width="8.5703125" style="1423" hidden="1" customWidth="1"/>
    <col min="29" max="29" width="24.7109375" style="1423" customWidth="1"/>
    <col min="30" max="31" width="24" style="1423" customWidth="1"/>
    <col min="32" max="32" width="11" style="1423" customWidth="1"/>
    <col min="33" max="33" width="3.7109375" style="1423" customWidth="1"/>
    <col min="34" max="34" width="11" style="1423" customWidth="1"/>
    <col min="35" max="35" width="8.5703125" style="1423" hidden="1" customWidth="1"/>
    <col min="36" max="36" width="4" style="1423" customWidth="1"/>
    <col min="37" max="37" width="115" style="1423" customWidth="1"/>
    <col min="38" max="42" width="10" style="1430" customWidth="1"/>
    <col min="43" max="43" width="10.5703125" style="1423" hidden="1"/>
  </cols>
  <sheetData>
    <row r="1" spans="1:43" ht="22.5" hidden="1" customHeight="1">
      <c r="X1" s="261"/>
      <c r="Y1" s="261"/>
      <c r="AE1" s="261"/>
      <c r="AF1" s="261"/>
      <c r="AQ1" s="956" t="s">
        <v>1</v>
      </c>
    </row>
    <row r="2" spans="1:43" ht="23.25" hidden="1" customHeight="1">
      <c r="A2" s="1151"/>
      <c r="B2" s="1151"/>
      <c r="C2" s="1151"/>
      <c r="D2" s="1151"/>
      <c r="E2" s="2395">
        <v>1</v>
      </c>
      <c r="F2" s="1151"/>
      <c r="G2" s="1151"/>
      <c r="H2" s="1151"/>
      <c r="I2" s="1151"/>
      <c r="J2" s="1151"/>
      <c r="K2" s="1151"/>
      <c r="L2" s="1152"/>
      <c r="M2" s="1153"/>
      <c r="N2" s="1153"/>
      <c r="O2" s="1153"/>
      <c r="P2" s="294"/>
      <c r="Q2" s="293"/>
      <c r="R2" s="288"/>
      <c r="S2" s="1281" t="e">
        <f>INDEX(PT_DIFFERENTIATION_NUM_NTAR,MATCH(A2,PT_DIFFERENTIATION_NTAR_ID,0))</f>
        <v>#N/A</v>
      </c>
      <c r="T2" s="232" t="s">
        <v>214</v>
      </c>
      <c r="U2" s="234"/>
      <c r="V2" s="2389"/>
      <c r="W2" s="2390"/>
      <c r="X2" s="2390"/>
      <c r="Y2" s="2390"/>
      <c r="Z2" s="2390"/>
      <c r="AA2" s="2390"/>
      <c r="AB2" s="2391"/>
      <c r="AC2" s="2389" t="e">
        <f>INDEX(PT_DIFFERENTIATION_NTAR,MATCH(A2,PT_DIFFERENTIATION_NTAR_ID,0))</f>
        <v>#N/A</v>
      </c>
      <c r="AD2" s="2390"/>
      <c r="AE2" s="2390"/>
      <c r="AF2" s="2390"/>
      <c r="AG2" s="2390"/>
      <c r="AH2" s="2390"/>
      <c r="AI2" s="2390"/>
      <c r="AJ2" s="2391"/>
      <c r="AK2" s="104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956">
        <v>0</v>
      </c>
    </row>
    <row r="3" spans="1:43" ht="23.25" hidden="1" customHeight="1">
      <c r="A3" s="1151"/>
      <c r="B3" s="1151"/>
      <c r="C3" s="1151"/>
      <c r="D3" s="1151"/>
      <c r="E3" s="2396"/>
      <c r="F3" s="2395">
        <v>1</v>
      </c>
      <c r="G3" s="1151"/>
      <c r="H3" s="1151"/>
      <c r="I3" s="1151"/>
      <c r="J3" s="1151"/>
      <c r="K3" s="1151"/>
      <c r="L3" s="1152"/>
      <c r="M3" s="1153"/>
      <c r="N3" s="1153"/>
      <c r="O3" s="1153"/>
      <c r="P3" s="1275"/>
      <c r="Q3" s="285"/>
      <c r="R3" s="286"/>
      <c r="S3" s="1281" t="e">
        <f>INDEX(PT_DIFFERENTIATION_NUM_TER,MATCH(B3,PT_DIFFERENTIATION_TER_ID,0))</f>
        <v>#N/A</v>
      </c>
      <c r="T3" s="242" t="s">
        <v>481</v>
      </c>
      <c r="U3" s="234"/>
      <c r="V3" s="2389"/>
      <c r="W3" s="2390"/>
      <c r="X3" s="2390"/>
      <c r="Y3" s="2390"/>
      <c r="Z3" s="2390"/>
      <c r="AA3" s="2390"/>
      <c r="AB3" s="2391"/>
      <c r="AC3" s="2389" t="e">
        <f>INDEX(PT_DIFFERENTIATION_TER,MATCH(B3,PT_DIFFERENTIATION_TER_ID,0))</f>
        <v>#N/A</v>
      </c>
      <c r="AD3" s="2390"/>
      <c r="AE3" s="2390"/>
      <c r="AF3" s="2390"/>
      <c r="AG3" s="2390"/>
      <c r="AH3" s="2390"/>
      <c r="AI3" s="2390"/>
      <c r="AJ3" s="2391"/>
      <c r="AK3" s="1046" t="s">
        <v>482</v>
      </c>
      <c r="AM3" s="433"/>
      <c r="AN3" s="433" t="str">
        <f t="shared" si="0"/>
        <v>Территория действия тарифа</v>
      </c>
      <c r="AO3" s="433"/>
      <c r="AP3" s="433"/>
      <c r="AQ3" s="956">
        <v>0</v>
      </c>
    </row>
    <row r="4" spans="1:43" ht="23.25" hidden="1" customHeight="1">
      <c r="A4" s="1151"/>
      <c r="B4" s="1151"/>
      <c r="C4" s="1151"/>
      <c r="D4" s="1151"/>
      <c r="E4" s="2396"/>
      <c r="F4" s="2396"/>
      <c r="G4" s="2395">
        <v>1</v>
      </c>
      <c r="H4" s="1151"/>
      <c r="I4" s="1151"/>
      <c r="J4" s="1151"/>
      <c r="K4" s="1151"/>
      <c r="L4" s="1152"/>
      <c r="M4" s="1153"/>
      <c r="N4" s="1153"/>
      <c r="O4" s="1153"/>
      <c r="P4" s="287"/>
      <c r="Q4" s="285"/>
      <c r="R4" s="286"/>
      <c r="S4" s="1281" t="e">
        <f>INDEX(PT_DIFFERENTIATION_NUM_CS,MATCH(C4,PT_DIFFERENTIATION_CS_ID,0))</f>
        <v>#N/A</v>
      </c>
      <c r="T4" s="243" t="s">
        <v>600</v>
      </c>
      <c r="U4" s="234"/>
      <c r="V4" s="2389"/>
      <c r="W4" s="2390"/>
      <c r="X4" s="2390"/>
      <c r="Y4" s="2390"/>
      <c r="Z4" s="2390"/>
      <c r="AA4" s="2390"/>
      <c r="AB4" s="2391"/>
      <c r="AC4" s="2389" t="e">
        <f>INDEX(PT_DIFFERENTIATION_CS,MATCH(C4,PT_DIFFERENTIATION_CS_ID,0))</f>
        <v>#N/A</v>
      </c>
      <c r="AD4" s="2390"/>
      <c r="AE4" s="2390"/>
      <c r="AF4" s="2390"/>
      <c r="AG4" s="2390"/>
      <c r="AH4" s="2390"/>
      <c r="AI4" s="2390"/>
      <c r="AJ4" s="2391"/>
      <c r="AK4" s="1046" t="s">
        <v>601</v>
      </c>
      <c r="AM4" s="433"/>
      <c r="AN4" s="433" t="str">
        <f t="shared" si="0"/>
        <v>Наименование централизованной системы водоотведения</v>
      </c>
      <c r="AO4" s="433"/>
      <c r="AP4" s="433"/>
      <c r="AQ4" s="956">
        <v>0</v>
      </c>
    </row>
    <row r="5" spans="1:43" ht="23.25" hidden="1" customHeight="1">
      <c r="A5" s="1151"/>
      <c r="B5" s="1151"/>
      <c r="C5" s="1151"/>
      <c r="D5" s="1151"/>
      <c r="E5" s="2396"/>
      <c r="F5" s="2396"/>
      <c r="G5" s="2396"/>
      <c r="H5" s="2396"/>
      <c r="I5" s="2397" t="e">
        <f>S4&amp;".1"</f>
        <v>#N/A</v>
      </c>
      <c r="J5" s="1151"/>
      <c r="K5" s="1151"/>
      <c r="L5" s="1152"/>
      <c r="P5" s="2399">
        <v>1</v>
      </c>
      <c r="Q5" s="1269"/>
      <c r="R5" s="289"/>
      <c r="S5" s="1281" t="e">
        <f>$I5</f>
        <v>#N/A</v>
      </c>
      <c r="T5" s="219" t="s">
        <v>567</v>
      </c>
      <c r="U5" s="234"/>
      <c r="V5" s="2463"/>
      <c r="W5" s="2464"/>
      <c r="X5" s="2464"/>
      <c r="Y5" s="2464"/>
      <c r="Z5" s="2464"/>
      <c r="AA5" s="2464"/>
      <c r="AB5" s="2465"/>
      <c r="AC5" s="2466"/>
      <c r="AD5" s="2467"/>
      <c r="AE5" s="2467"/>
      <c r="AF5" s="2467"/>
      <c r="AG5" s="2467"/>
      <c r="AH5" s="2467"/>
      <c r="AI5" s="2467"/>
      <c r="AJ5" s="2468"/>
      <c r="AK5" s="1046" t="s">
        <v>568</v>
      </c>
      <c r="AM5" s="433"/>
      <c r="AN5" s="433" t="str">
        <f t="shared" si="0"/>
        <v>Наименование признака дифференциации</v>
      </c>
      <c r="AO5" s="433"/>
      <c r="AP5" s="433"/>
      <c r="AQ5" s="956">
        <v>0</v>
      </c>
    </row>
    <row r="6" spans="1:43" ht="23.25" hidden="1" customHeight="1">
      <c r="A6" s="1151"/>
      <c r="B6" s="1151"/>
      <c r="C6" s="1151"/>
      <c r="D6" s="1151"/>
      <c r="E6" s="2396"/>
      <c r="F6" s="2396"/>
      <c r="G6" s="2396"/>
      <c r="H6" s="2396"/>
      <c r="I6" s="2398"/>
      <c r="J6" s="2397" t="e">
        <f>I5&amp;".1"</f>
        <v>#N/A</v>
      </c>
      <c r="K6" s="1151"/>
      <c r="L6" s="1152" t="s">
        <v>490</v>
      </c>
      <c r="P6" s="2399"/>
      <c r="Q6" s="2399">
        <v>1</v>
      </c>
      <c r="R6" s="290"/>
      <c r="S6" s="1281" t="e">
        <f>$J6</f>
        <v>#N/A</v>
      </c>
      <c r="T6" s="220" t="s">
        <v>491</v>
      </c>
      <c r="U6" s="234"/>
      <c r="V6" s="2383"/>
      <c r="W6" s="2384"/>
      <c r="X6" s="2384"/>
      <c r="Y6" s="2384"/>
      <c r="Z6" s="2384"/>
      <c r="AA6" s="2384"/>
      <c r="AB6" s="2385"/>
      <c r="AC6" s="2383"/>
      <c r="AD6" s="2384"/>
      <c r="AE6" s="2384"/>
      <c r="AF6" s="2384"/>
      <c r="AG6" s="2384"/>
      <c r="AH6" s="2384"/>
      <c r="AI6" s="2384"/>
      <c r="AJ6" s="2385"/>
      <c r="AK6" s="1095" t="s">
        <v>569</v>
      </c>
      <c r="AM6" s="433"/>
      <c r="AN6" s="433" t="str">
        <f t="shared" si="0"/>
        <v>Группа потребителей</v>
      </c>
      <c r="AO6" s="433"/>
      <c r="AP6" s="433"/>
      <c r="AQ6" s="956">
        <v>0</v>
      </c>
    </row>
    <row r="7" spans="1:43" ht="23.25" hidden="1" customHeight="1">
      <c r="A7" s="1151"/>
      <c r="B7" s="1151"/>
      <c r="C7" s="1151"/>
      <c r="D7" s="1151"/>
      <c r="E7" s="2396"/>
      <c r="F7" s="2396"/>
      <c r="G7" s="2396"/>
      <c r="H7" s="2396"/>
      <c r="I7" s="2398"/>
      <c r="J7" s="2398"/>
      <c r="K7" s="2397" t="e">
        <f>J6&amp;".1"</f>
        <v>#N/A</v>
      </c>
      <c r="L7" s="1152"/>
      <c r="P7" s="2399"/>
      <c r="Q7" s="2399"/>
      <c r="R7" s="290">
        <v>1</v>
      </c>
      <c r="S7" s="1281" t="e">
        <f>$K7</f>
        <v>#N/A</v>
      </c>
      <c r="T7" s="1225"/>
      <c r="U7" s="234"/>
      <c r="V7" s="658"/>
      <c r="W7" s="658"/>
      <c r="X7" s="1045"/>
      <c r="Y7" s="2400"/>
      <c r="Z7" s="2276" t="s">
        <v>52</v>
      </c>
      <c r="AA7" s="2400"/>
      <c r="AB7" s="2276" t="s">
        <v>52</v>
      </c>
      <c r="AC7" s="658"/>
      <c r="AD7" s="658"/>
      <c r="AE7" s="1045"/>
      <c r="AF7" s="2400"/>
      <c r="AG7" s="2276" t="s">
        <v>52</v>
      </c>
      <c r="AH7" s="2402"/>
      <c r="AI7" s="2276" t="s">
        <v>52</v>
      </c>
      <c r="AJ7" s="1226"/>
      <c r="AK7" s="24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956">
        <v>0</v>
      </c>
    </row>
    <row r="8" spans="1:43" ht="14.25" hidden="1" customHeight="1">
      <c r="A8" s="1151"/>
      <c r="B8" s="1151"/>
      <c r="C8" s="1151"/>
      <c r="D8" s="1151"/>
      <c r="E8" s="2396"/>
      <c r="F8" s="2396"/>
      <c r="G8" s="2396"/>
      <c r="H8" s="2396"/>
      <c r="I8" s="2398"/>
      <c r="J8" s="2398"/>
      <c r="K8" s="2397"/>
      <c r="L8" s="1152"/>
      <c r="P8" s="2399"/>
      <c r="Q8" s="2399"/>
      <c r="R8" s="290"/>
      <c r="S8" s="1278"/>
      <c r="T8" s="234"/>
      <c r="U8" s="234"/>
      <c r="V8" s="259"/>
      <c r="W8" s="259"/>
      <c r="X8" s="262" t="str">
        <f>Y7&amp;"-"&amp;AA7</f>
        <v>-</v>
      </c>
      <c r="Y8" s="2401"/>
      <c r="Z8" s="2276"/>
      <c r="AA8" s="2401"/>
      <c r="AB8" s="2276"/>
      <c r="AC8" s="259"/>
      <c r="AD8" s="259"/>
      <c r="AE8" s="262" t="str">
        <f>AF7&amp;"-"&amp;AH7</f>
        <v>-</v>
      </c>
      <c r="AF8" s="2401"/>
      <c r="AG8" s="2276"/>
      <c r="AH8" s="2403"/>
      <c r="AI8" s="2276"/>
      <c r="AJ8" s="1227"/>
      <c r="AK8" s="2469"/>
      <c r="AM8" s="433"/>
      <c r="AN8" s="433" t="str">
        <f t="shared" si="0"/>
        <v/>
      </c>
      <c r="AO8" s="433"/>
      <c r="AP8" s="433"/>
      <c r="AQ8" s="956">
        <v>0</v>
      </c>
    </row>
    <row r="9" spans="1:43" ht="21" hidden="1" customHeight="1">
      <c r="A9" s="1151"/>
      <c r="B9" s="1151"/>
      <c r="C9" s="1151"/>
      <c r="D9" s="1151"/>
      <c r="E9" s="2396"/>
      <c r="F9" s="2396"/>
      <c r="G9" s="2396"/>
      <c r="H9" s="2396"/>
      <c r="I9" s="2398"/>
      <c r="J9" s="2397"/>
      <c r="K9" s="1151"/>
      <c r="L9" s="1152"/>
      <c r="P9" s="2399"/>
      <c r="Q9" s="2399"/>
      <c r="R9" s="289"/>
      <c r="S9" s="1066"/>
      <c r="T9" s="221" t="s">
        <v>570</v>
      </c>
      <c r="U9" s="300"/>
      <c r="V9" s="300"/>
      <c r="W9" s="300"/>
      <c r="X9" s="300"/>
      <c r="Y9" s="300"/>
      <c r="Z9" s="300"/>
      <c r="AA9" s="300"/>
      <c r="AB9" s="300"/>
      <c r="AC9" s="300"/>
      <c r="AD9" s="300"/>
      <c r="AE9" s="300"/>
      <c r="AF9" s="300"/>
      <c r="AG9" s="300"/>
      <c r="AH9" s="300"/>
      <c r="AI9" s="300"/>
      <c r="AJ9" s="300"/>
      <c r="AK9" s="1046" t="s">
        <v>571</v>
      </c>
      <c r="AM9" s="433"/>
      <c r="AN9" s="433" t="str">
        <f t="shared" si="0"/>
        <v>Добавить значение признака дифференциации</v>
      </c>
      <c r="AO9" s="433"/>
      <c r="AP9" s="433"/>
      <c r="AQ9" s="956">
        <v>0</v>
      </c>
    </row>
    <row r="10" spans="1:43" ht="21" hidden="1" customHeight="1">
      <c r="A10" s="1151"/>
      <c r="B10" s="1151"/>
      <c r="C10" s="1151"/>
      <c r="D10" s="1151"/>
      <c r="E10" s="2396"/>
      <c r="F10" s="2396"/>
      <c r="G10" s="2396"/>
      <c r="H10" s="2396"/>
      <c r="I10" s="2397"/>
      <c r="J10" s="1151"/>
      <c r="K10" s="1151"/>
      <c r="L10" s="1152"/>
      <c r="P10" s="2399"/>
      <c r="Q10" s="1269"/>
      <c r="R10" s="289"/>
      <c r="S10" s="1066"/>
      <c r="T10" s="298" t="s">
        <v>496</v>
      </c>
      <c r="U10" s="300"/>
      <c r="V10" s="300"/>
      <c r="W10" s="300"/>
      <c r="X10" s="300"/>
      <c r="Y10" s="300"/>
      <c r="Z10" s="300"/>
      <c r="AA10" s="300"/>
      <c r="AB10" s="299"/>
      <c r="AC10" s="300"/>
      <c r="AD10" s="300"/>
      <c r="AE10" s="300"/>
      <c r="AF10" s="300"/>
      <c r="AG10" s="300"/>
      <c r="AH10" s="300"/>
      <c r="AI10" s="299"/>
      <c r="AJ10" s="300"/>
      <c r="AK10" s="1228"/>
      <c r="AM10" s="433"/>
      <c r="AN10" s="433" t="str">
        <f t="shared" si="0"/>
        <v>Добавить группу потребителей</v>
      </c>
      <c r="AO10" s="433"/>
      <c r="AP10" s="433"/>
      <c r="AQ10" s="956">
        <v>0</v>
      </c>
    </row>
    <row r="11" spans="1:43" ht="21" hidden="1" customHeight="1">
      <c r="A11" s="1151"/>
      <c r="B11" s="1151"/>
      <c r="C11" s="1151"/>
      <c r="D11" s="1151"/>
      <c r="E11" s="2396"/>
      <c r="F11" s="2396"/>
      <c r="G11" s="2396"/>
      <c r="H11" s="2395"/>
      <c r="I11" s="1151"/>
      <c r="J11" s="1151"/>
      <c r="K11" s="1151"/>
      <c r="L11" s="1152"/>
      <c r="M11" s="1153"/>
      <c r="N11" s="1153"/>
      <c r="O11" s="469"/>
      <c r="P11" s="293"/>
      <c r="Q11" s="308"/>
      <c r="R11" s="288"/>
      <c r="S11" s="1066"/>
      <c r="T11" s="305" t="s">
        <v>572</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956">
        <v>0</v>
      </c>
    </row>
    <row r="12" spans="1:43" s="1430" customFormat="1" ht="14.25" hidden="1" customHeight="1">
      <c r="A12" s="1131"/>
      <c r="B12" s="1131"/>
      <c r="C12" s="1102"/>
      <c r="D12" s="1102"/>
      <c r="E12" s="2396"/>
      <c r="F12" s="2395"/>
      <c r="G12" s="1102"/>
      <c r="H12" s="1102"/>
      <c r="I12" s="1102"/>
      <c r="J12" s="1102"/>
      <c r="K12" s="1102"/>
      <c r="L12" s="1282"/>
      <c r="M12" s="1109"/>
      <c r="N12" s="1109"/>
      <c r="P12" s="1104"/>
      <c r="Q12" s="1105"/>
      <c r="R12" s="1104"/>
      <c r="S12" s="1110"/>
      <c r="T12" s="1113" t="s">
        <v>499</v>
      </c>
      <c r="U12" s="1112"/>
      <c r="V12" s="1112"/>
      <c r="W12" s="1112"/>
      <c r="X12" s="1112"/>
      <c r="Y12" s="1112"/>
      <c r="Z12" s="1112"/>
      <c r="AA12" s="1112"/>
      <c r="AB12" s="1112"/>
      <c r="AC12" s="1112"/>
      <c r="AD12" s="1112"/>
      <c r="AE12" s="1112"/>
      <c r="AF12" s="1112"/>
      <c r="AG12" s="1112"/>
      <c r="AH12" s="1112"/>
      <c r="AI12" s="1112"/>
      <c r="AJ12" s="1112"/>
      <c r="AK12" s="1112"/>
      <c r="AM12" s="688"/>
      <c r="AN12" s="688" t="str">
        <f t="shared" si="0"/>
        <v>Добавить централизованную систему для дифференциации</v>
      </c>
      <c r="AO12" s="688"/>
      <c r="AP12" s="688"/>
      <c r="AQ12" s="451">
        <v>0</v>
      </c>
    </row>
    <row r="13" spans="1:43" s="1430" customFormat="1" ht="14.25" hidden="1" customHeight="1">
      <c r="A13" s="1131"/>
      <c r="B13" s="1131"/>
      <c r="C13" s="1131"/>
      <c r="D13" s="1131"/>
      <c r="E13" s="2395"/>
      <c r="F13" s="1131"/>
      <c r="G13" s="1131"/>
      <c r="H13" s="1131"/>
      <c r="I13" s="1131"/>
      <c r="J13" s="1131"/>
      <c r="K13" s="1131"/>
      <c r="L13" s="1134"/>
      <c r="M13" s="1109"/>
      <c r="N13" s="1109"/>
      <c r="O13" s="451"/>
      <c r="P13" s="313"/>
      <c r="Q13" s="1132"/>
      <c r="R13" s="313"/>
      <c r="S13" s="1110"/>
      <c r="T13" s="1113" t="s">
        <v>500</v>
      </c>
      <c r="U13" s="1112"/>
      <c r="V13" s="1112"/>
      <c r="W13" s="1112"/>
      <c r="X13" s="1112"/>
      <c r="Y13" s="1112"/>
      <c r="Z13" s="1112"/>
      <c r="AA13" s="1112"/>
      <c r="AB13" s="1112"/>
      <c r="AC13" s="1112"/>
      <c r="AD13" s="1112"/>
      <c r="AE13" s="1112"/>
      <c r="AF13" s="1112"/>
      <c r="AG13" s="1112"/>
      <c r="AH13" s="1112"/>
      <c r="AI13" s="1112"/>
      <c r="AJ13" s="1112"/>
      <c r="AK13" s="1112"/>
      <c r="AM13" s="433"/>
      <c r="AN13" s="433" t="str">
        <f t="shared" si="0"/>
        <v>Добавить территорию для дифференциации</v>
      </c>
      <c r="AO13" s="433"/>
      <c r="AP13" s="433"/>
      <c r="AQ13" s="444">
        <v>0</v>
      </c>
    </row>
    <row r="14" spans="1:43" ht="14.25" hidden="1" customHeight="1">
      <c r="AB14" s="261"/>
      <c r="AI14" s="261"/>
      <c r="AQ14" s="956">
        <v>0</v>
      </c>
    </row>
    <row r="15" spans="1:43" ht="14.25" hidden="1" customHeight="1">
      <c r="AC15" s="1148"/>
      <c r="AD15" s="1148"/>
      <c r="AE15" s="1149"/>
      <c r="AF15" s="2393"/>
      <c r="AG15" s="2392" t="s">
        <v>52</v>
      </c>
      <c r="AH15" s="2393"/>
      <c r="AI15" s="2392" t="s">
        <v>52</v>
      </c>
      <c r="AQ15" s="956">
        <v>0</v>
      </c>
    </row>
    <row r="16" spans="1:43" ht="14.25" hidden="1" customHeight="1">
      <c r="AC16" s="1148"/>
      <c r="AD16" s="1148"/>
      <c r="AE16" s="262" t="str">
        <f>AF15&amp;"-"&amp;AH15</f>
        <v>-</v>
      </c>
      <c r="AF16" s="2392"/>
      <c r="AG16" s="2392"/>
      <c r="AH16" s="2392"/>
      <c r="AI16" s="2392"/>
      <c r="AQ16" s="956">
        <v>0</v>
      </c>
    </row>
    <row r="17" spans="1:43" ht="14.25" hidden="1" customHeight="1">
      <c r="AI17" s="261"/>
      <c r="AQ17" s="956">
        <v>0</v>
      </c>
    </row>
    <row r="18" spans="1:43" s="1154" customFormat="1" ht="22.5" hidden="1" customHeight="1">
      <c r="L18" s="1266"/>
      <c r="M18" s="1150"/>
      <c r="N18" s="1150"/>
      <c r="O18" s="1155" t="s">
        <v>501</v>
      </c>
      <c r="P18" s="1150"/>
      <c r="Q18" s="1159"/>
      <c r="R18" s="1159"/>
      <c r="S18" s="640"/>
      <c r="Y18" s="1155"/>
      <c r="AA18" s="1155"/>
      <c r="AF18" s="1155"/>
      <c r="AH18" s="1155"/>
      <c r="AL18" s="444"/>
      <c r="AM18" s="444"/>
      <c r="AN18" s="444"/>
      <c r="AO18" s="444"/>
      <c r="AP18" s="444"/>
      <c r="AQ18" s="961">
        <v>0</v>
      </c>
    </row>
    <row r="19" spans="1:43" s="1154" customFormat="1" ht="14.25" hidden="1" customHeight="1">
      <c r="L19" s="1266"/>
      <c r="M19" s="1150"/>
      <c r="N19" s="1150"/>
      <c r="O19" s="1150"/>
      <c r="P19" s="1150"/>
      <c r="Q19" s="1159"/>
      <c r="R19" s="1159"/>
      <c r="S19" s="640"/>
      <c r="AL19" s="444"/>
      <c r="AM19" s="444"/>
      <c r="AN19" s="444"/>
      <c r="AO19" s="444"/>
      <c r="AP19" s="444"/>
      <c r="AQ19" s="961">
        <v>0</v>
      </c>
    </row>
    <row r="20" spans="1:43" s="1154" customFormat="1" ht="12" hidden="1" customHeight="1">
      <c r="L20" s="1266"/>
      <c r="M20" s="1150"/>
      <c r="N20" s="1150"/>
      <c r="O20" s="1152" t="s">
        <v>502</v>
      </c>
      <c r="P20" s="1150"/>
      <c r="Q20" s="1230"/>
      <c r="R20" s="1230"/>
      <c r="S20" s="640"/>
      <c r="T20" s="961" t="s">
        <v>503</v>
      </c>
      <c r="Z20" s="120" t="s">
        <v>504</v>
      </c>
      <c r="AB20" s="120" t="s">
        <v>505</v>
      </c>
      <c r="AC20" s="961" t="s">
        <v>503</v>
      </c>
      <c r="AG20" s="120" t="s">
        <v>506</v>
      </c>
      <c r="AI20" s="120" t="s">
        <v>505</v>
      </c>
      <c r="AQ20" s="961">
        <v>0</v>
      </c>
    </row>
    <row r="21" spans="1:43" ht="14.25" hidden="1" customHeight="1">
      <c r="O21" s="1152"/>
      <c r="AQ21" s="956">
        <v>0</v>
      </c>
    </row>
    <row r="22" spans="1:43" ht="14.25" hidden="1" customHeight="1">
      <c r="O22" s="1152"/>
      <c r="AQ22" s="956">
        <v>0</v>
      </c>
    </row>
    <row r="23" spans="1:43" ht="14.65" customHeight="1">
      <c r="Q23" s="309"/>
      <c r="R23" s="309"/>
      <c r="S23" s="1063"/>
      <c r="T23" s="296"/>
      <c r="U23" s="296"/>
      <c r="V23" s="442"/>
      <c r="W23" s="442"/>
      <c r="X23" s="442"/>
      <c r="Y23" s="442"/>
      <c r="Z23" s="442"/>
      <c r="AA23" s="442"/>
      <c r="AB23" s="442"/>
      <c r="AC23" s="442"/>
      <c r="AD23" s="442"/>
      <c r="AE23" s="442"/>
      <c r="AF23" s="442"/>
      <c r="AG23" s="442"/>
      <c r="AH23" s="442"/>
      <c r="AI23" s="442"/>
      <c r="AQ23" s="956">
        <v>14</v>
      </c>
    </row>
    <row r="24" spans="1:43" ht="14.65" customHeight="1">
      <c r="Q24" s="309"/>
      <c r="R24" s="309"/>
      <c r="S24" s="237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76"/>
      <c r="U24" s="2376"/>
      <c r="V24" s="2376"/>
      <c r="W24" s="2376"/>
      <c r="X24" s="2376"/>
      <c r="Y24" s="2376"/>
      <c r="Z24" s="2376"/>
      <c r="AA24" s="2376"/>
      <c r="AB24" s="2376"/>
      <c r="AC24" s="2376"/>
      <c r="AD24" s="2376"/>
      <c r="AE24" s="2376"/>
      <c r="AF24" s="2376"/>
      <c r="AG24" s="2376"/>
      <c r="AH24" s="2376"/>
      <c r="AI24" s="1031"/>
      <c r="AQ24" s="956">
        <v>14</v>
      </c>
    </row>
    <row r="25" spans="1:43" ht="14.65" customHeight="1">
      <c r="Q25" s="309"/>
      <c r="R25" s="309"/>
      <c r="S25" s="2349" t="str">
        <f>IF(org=0,"Не определено",org)</f>
        <v>ООО "Смоленскрегионтеплоэнерго"</v>
      </c>
      <c r="T25" s="2349"/>
      <c r="U25" s="2349"/>
      <c r="V25" s="2349"/>
      <c r="W25" s="2349"/>
      <c r="X25" s="2349"/>
      <c r="Y25" s="2349"/>
      <c r="Z25" s="2349"/>
      <c r="AA25" s="2349"/>
      <c r="AB25" s="2349"/>
      <c r="AC25" s="2349"/>
      <c r="AD25" s="2349"/>
      <c r="AE25" s="2349"/>
      <c r="AF25" s="2349"/>
      <c r="AG25" s="2349"/>
      <c r="AH25" s="2349"/>
      <c r="AI25" s="1031"/>
      <c r="AQ25" s="956">
        <v>14</v>
      </c>
    </row>
    <row r="26" spans="1:43" ht="14.25" hidden="1" customHeight="1">
      <c r="Q26" s="309"/>
      <c r="R26" s="309"/>
      <c r="S26" s="1063"/>
      <c r="T26" s="296"/>
      <c r="U26" s="296"/>
      <c r="V26" s="256"/>
      <c r="W26" s="256"/>
      <c r="X26" s="256"/>
      <c r="Y26" s="256"/>
      <c r="Z26" s="256"/>
      <c r="AA26" s="256"/>
      <c r="AB26" s="256"/>
      <c r="AC26" s="256"/>
      <c r="AD26" s="256"/>
      <c r="AE26" s="256"/>
      <c r="AF26" s="256"/>
      <c r="AG26" s="256"/>
      <c r="AH26" s="256"/>
      <c r="AI26" s="256"/>
      <c r="AJ26" s="442"/>
      <c r="AQ26" s="956">
        <v>0</v>
      </c>
    </row>
    <row r="27" spans="1:43" s="1609" customFormat="1" ht="25.5" hidden="1" customHeight="1">
      <c r="A27" s="1156"/>
      <c r="B27" s="1156"/>
      <c r="C27" s="1156"/>
      <c r="D27" s="1156"/>
      <c r="E27" s="1156"/>
      <c r="F27" s="1156"/>
      <c r="G27" s="1156"/>
      <c r="H27" s="1156"/>
      <c r="I27" s="1156"/>
      <c r="J27" s="1156"/>
      <c r="K27" s="1156"/>
      <c r="L27" s="1157"/>
      <c r="M27" s="1156"/>
      <c r="N27" s="1156"/>
      <c r="O27" s="1156"/>
      <c r="S27" s="2386" t="s">
        <v>28</v>
      </c>
      <c r="T27" s="2386"/>
      <c r="U27" s="1160"/>
      <c r="V27" s="2388" t="str">
        <f>IF(TITLE_NAME_OR_PR_CHANGE="",IF(TITLE_NAME_OR_PR="","",TITLE_NAME_OR_PR),TITLE_NAME_OR_PR_CHANGE)</f>
        <v/>
      </c>
      <c r="W27" s="2388"/>
      <c r="X27" s="2388"/>
      <c r="Y27" s="2388"/>
      <c r="Z27" s="2388"/>
      <c r="AA27" s="2388"/>
      <c r="AB27" s="260"/>
      <c r="AC27" s="2388" t="str">
        <f>IF(TITLE_NAME_OR_PR_CHANGE="",IF(TITLE_NAME_OR_PR="","",TITLE_NAME_OR_PR),TITLE_NAME_OR_PR_CHANGE)</f>
        <v/>
      </c>
      <c r="AD27" s="2388"/>
      <c r="AE27" s="2388"/>
      <c r="AF27" s="2388"/>
      <c r="AG27" s="2388"/>
      <c r="AH27" s="2388"/>
      <c r="AI27" s="260"/>
      <c r="AJ27" s="260"/>
      <c r="AK27" s="214"/>
      <c r="AL27" s="301"/>
      <c r="AM27" s="301"/>
      <c r="AN27" s="301"/>
      <c r="AO27" s="301"/>
      <c r="AP27" s="301"/>
      <c r="AQ27" s="351">
        <v>0</v>
      </c>
    </row>
    <row r="28" spans="1:43" s="1609" customFormat="1" ht="18.75" hidden="1" customHeight="1">
      <c r="A28" s="1156"/>
      <c r="B28" s="1156"/>
      <c r="C28" s="1156"/>
      <c r="D28" s="1156"/>
      <c r="E28" s="1156"/>
      <c r="F28" s="1156"/>
      <c r="G28" s="1156"/>
      <c r="H28" s="1156"/>
      <c r="I28" s="1156"/>
      <c r="J28" s="1156"/>
      <c r="K28" s="1156"/>
      <c r="L28" s="1157"/>
      <c r="M28" s="1156"/>
      <c r="N28" s="1156"/>
      <c r="O28" s="1156"/>
      <c r="S28" s="2386" t="s">
        <v>507</v>
      </c>
      <c r="T28" s="2386"/>
      <c r="U28" s="1160"/>
      <c r="V28" s="2387" t="str">
        <f>IF(TITLE_DATE_PR_CHANGE="",IF(TITLE_DATE_PR="","",TITLE_DATE_PR),TITLE_DATE_PR_CHANGE)</f>
        <v/>
      </c>
      <c r="W28" s="2387"/>
      <c r="X28" s="2387"/>
      <c r="Y28" s="2387"/>
      <c r="Z28" s="2387"/>
      <c r="AA28" s="2387"/>
      <c r="AB28" s="260"/>
      <c r="AC28" s="2387" t="str">
        <f>IF(TITLE_DATE_PR_CHANGE="",IF(TITLE_DATE_PR="","",TITLE_DATE_PR),TITLE_DATE_PR_CHANGE)</f>
        <v/>
      </c>
      <c r="AD28" s="2387"/>
      <c r="AE28" s="2387"/>
      <c r="AF28" s="2387"/>
      <c r="AG28" s="2387"/>
      <c r="AH28" s="2387"/>
      <c r="AI28" s="260"/>
      <c r="AJ28" s="260"/>
      <c r="AK28" s="214"/>
      <c r="AL28" s="301"/>
      <c r="AM28" s="301"/>
      <c r="AN28" s="301"/>
      <c r="AO28" s="301"/>
      <c r="AP28" s="301"/>
      <c r="AQ28" s="351">
        <v>0</v>
      </c>
    </row>
    <row r="29" spans="1:43" s="1609" customFormat="1" ht="18.75" hidden="1" customHeight="1">
      <c r="A29" s="1156"/>
      <c r="B29" s="1156"/>
      <c r="C29" s="1156"/>
      <c r="D29" s="1156"/>
      <c r="E29" s="1156"/>
      <c r="F29" s="1156"/>
      <c r="G29" s="1156"/>
      <c r="H29" s="1156"/>
      <c r="I29" s="1156"/>
      <c r="J29" s="1156"/>
      <c r="K29" s="1156"/>
      <c r="L29" s="1157"/>
      <c r="M29" s="1156"/>
      <c r="N29" s="1156"/>
      <c r="O29" s="1156"/>
      <c r="S29" s="2386" t="s">
        <v>508</v>
      </c>
      <c r="T29" s="2386"/>
      <c r="U29" s="1160"/>
      <c r="V29" s="2388" t="str">
        <f>IF(TITLE_NUMBER_PR_CHANGE="",IF(TITLE_NUMBER_PR="","",TITLE_NUMBER_PR),TITLE_NUMBER_PR_CHANGE)</f>
        <v/>
      </c>
      <c r="W29" s="2388"/>
      <c r="X29" s="2388"/>
      <c r="Y29" s="2388"/>
      <c r="Z29" s="2388"/>
      <c r="AA29" s="2388"/>
      <c r="AB29" s="260"/>
      <c r="AC29" s="2388" t="str">
        <f>IF(TITLE_NUMBER_PR_CHANGE="",IF(TITLE_NUMBER_PR="","",TITLE_NUMBER_PR),TITLE_NUMBER_PR_CHANGE)</f>
        <v/>
      </c>
      <c r="AD29" s="2388"/>
      <c r="AE29" s="2388"/>
      <c r="AF29" s="2388"/>
      <c r="AG29" s="2388"/>
      <c r="AH29" s="2388"/>
      <c r="AI29" s="260"/>
      <c r="AJ29" s="260"/>
      <c r="AK29" s="214"/>
      <c r="AL29" s="301"/>
      <c r="AM29" s="301"/>
      <c r="AN29" s="301"/>
      <c r="AO29" s="301"/>
      <c r="AP29" s="301"/>
      <c r="AQ29" s="351">
        <v>0</v>
      </c>
    </row>
    <row r="30" spans="1:43" s="1609" customFormat="1" ht="18.75" hidden="1" customHeight="1">
      <c r="A30" s="1156"/>
      <c r="B30" s="1156"/>
      <c r="C30" s="1156"/>
      <c r="D30" s="1156"/>
      <c r="E30" s="1156"/>
      <c r="F30" s="1156"/>
      <c r="G30" s="1156"/>
      <c r="H30" s="1156"/>
      <c r="I30" s="1156"/>
      <c r="J30" s="1156"/>
      <c r="K30" s="1156"/>
      <c r="L30" s="1157"/>
      <c r="M30" s="1156"/>
      <c r="N30" s="1156"/>
      <c r="O30" s="1156"/>
      <c r="S30" s="2386" t="s">
        <v>29</v>
      </c>
      <c r="T30" s="2386"/>
      <c r="U30" s="1160"/>
      <c r="V30" s="2388" t="str">
        <f>IF(TITLE_IST_PUB_CHANGE="",IF(TITLE_IST_PUB="","",TITLE_IST_PUB),TITLE_IST_PUB_CHANGE)</f>
        <v/>
      </c>
      <c r="W30" s="2388"/>
      <c r="X30" s="2388"/>
      <c r="Y30" s="2388"/>
      <c r="Z30" s="2388"/>
      <c r="AA30" s="2388"/>
      <c r="AB30" s="260"/>
      <c r="AC30" s="2388" t="str">
        <f>IF(TITLE_IST_PUB_CHANGE="",IF(TITLE_IST_PUB="","",TITLE_IST_PUB),TITLE_IST_PUB_CHANGE)</f>
        <v/>
      </c>
      <c r="AD30" s="2388"/>
      <c r="AE30" s="2388"/>
      <c r="AF30" s="2388"/>
      <c r="AG30" s="2388"/>
      <c r="AH30" s="2388"/>
      <c r="AI30" s="260"/>
      <c r="AJ30" s="260"/>
      <c r="AK30" s="214"/>
      <c r="AL30" s="301"/>
      <c r="AM30" s="301"/>
      <c r="AN30" s="301"/>
      <c r="AO30" s="301"/>
      <c r="AP30" s="301"/>
      <c r="AQ30" s="351">
        <v>0</v>
      </c>
    </row>
    <row r="31" spans="1:43" ht="14.25" hidden="1" customHeight="1">
      <c r="Q31" s="309"/>
      <c r="R31" s="309"/>
      <c r="S31" s="1063"/>
      <c r="T31" s="296"/>
      <c r="U31" s="296"/>
      <c r="V31" s="256"/>
      <c r="W31" s="256"/>
      <c r="X31" s="256"/>
      <c r="Y31" s="256"/>
      <c r="Z31" s="256"/>
      <c r="AA31" s="256"/>
      <c r="AB31" s="256"/>
      <c r="AC31" s="256"/>
      <c r="AD31" s="256"/>
      <c r="AE31" s="256"/>
      <c r="AF31" s="256"/>
      <c r="AG31" s="256"/>
      <c r="AH31" s="256"/>
      <c r="AI31" s="256"/>
      <c r="AJ31" s="442"/>
      <c r="AQ31" s="956">
        <v>0</v>
      </c>
    </row>
    <row r="32" spans="1:43" s="1609" customFormat="1" ht="18.75" hidden="1" customHeight="1">
      <c r="A32" s="1156"/>
      <c r="B32" s="1156"/>
      <c r="C32" s="1156"/>
      <c r="D32" s="1156"/>
      <c r="E32" s="1156"/>
      <c r="F32" s="1156"/>
      <c r="G32" s="1156"/>
      <c r="H32" s="1156"/>
      <c r="I32" s="1156"/>
      <c r="J32" s="1156"/>
      <c r="K32" s="1156"/>
      <c r="L32" s="1157"/>
      <c r="M32" s="1156"/>
      <c r="N32" s="1156"/>
      <c r="O32" s="1156"/>
      <c r="S32" s="2386" t="s">
        <v>509</v>
      </c>
      <c r="T32" s="2386"/>
      <c r="U32" s="1160"/>
      <c r="V32" s="2387" t="str">
        <f>IF(TITLE_DATE_PR_CHANGE="",IF(TITLE_DATE_PR="","",TITLE_DATE_PR),TITLE_DATE_PR_CHANGE)</f>
        <v/>
      </c>
      <c r="W32" s="2387"/>
      <c r="X32" s="2387"/>
      <c r="Y32" s="2387"/>
      <c r="Z32" s="2387"/>
      <c r="AA32" s="2387"/>
      <c r="AB32" s="260"/>
      <c r="AC32" s="2387" t="str">
        <f>IF(TITLE_DATE_PR_CHANGE="",IF(TITLE_DATE_PR="","",TITLE_DATE_PR),TITLE_DATE_PR_CHANGE)</f>
        <v/>
      </c>
      <c r="AD32" s="2387"/>
      <c r="AE32" s="2387"/>
      <c r="AF32" s="2387"/>
      <c r="AG32" s="2387"/>
      <c r="AH32" s="2387"/>
      <c r="AI32" s="260"/>
      <c r="AJ32" s="260"/>
      <c r="AK32" s="214"/>
      <c r="AL32" s="301"/>
      <c r="AM32" s="301"/>
      <c r="AN32" s="301"/>
      <c r="AO32" s="301"/>
      <c r="AP32" s="301"/>
      <c r="AQ32" s="351">
        <v>0</v>
      </c>
    </row>
    <row r="33" spans="1:43" s="1609" customFormat="1" ht="18.75" hidden="1" customHeight="1">
      <c r="A33" s="1156"/>
      <c r="B33" s="1156"/>
      <c r="C33" s="1156"/>
      <c r="D33" s="1156"/>
      <c r="E33" s="1156"/>
      <c r="F33" s="1156"/>
      <c r="G33" s="1156"/>
      <c r="H33" s="1156"/>
      <c r="I33" s="1156"/>
      <c r="J33" s="1156"/>
      <c r="K33" s="1156"/>
      <c r="L33" s="1157"/>
      <c r="M33" s="1156"/>
      <c r="N33" s="1156"/>
      <c r="O33" s="1156"/>
      <c r="S33" s="2386" t="s">
        <v>510</v>
      </c>
      <c r="T33" s="2386"/>
      <c r="U33" s="1160"/>
      <c r="V33" s="2388" t="str">
        <f>IF(TITLE_NUMBER_PR_CHANGE="",IF(TITLE_NUMBER_PR="","",TITLE_NUMBER_PR),TITLE_NUMBER_PR_CHANGE)</f>
        <v/>
      </c>
      <c r="W33" s="2388"/>
      <c r="X33" s="2388"/>
      <c r="Y33" s="2388"/>
      <c r="Z33" s="2388"/>
      <c r="AA33" s="2388"/>
      <c r="AB33" s="260"/>
      <c r="AC33" s="2388" t="str">
        <f>IF(TITLE_NUMBER_PR_CHANGE="",IF(TITLE_NUMBER_PR="","",TITLE_NUMBER_PR),TITLE_NUMBER_PR_CHANGE)</f>
        <v/>
      </c>
      <c r="AD33" s="2388"/>
      <c r="AE33" s="2388"/>
      <c r="AF33" s="2388"/>
      <c r="AG33" s="2388"/>
      <c r="AH33" s="2388"/>
      <c r="AI33" s="260"/>
      <c r="AJ33" s="260"/>
      <c r="AK33" s="214"/>
      <c r="AL33" s="301"/>
      <c r="AM33" s="301"/>
      <c r="AN33" s="301"/>
      <c r="AO33" s="301"/>
      <c r="AP33" s="301"/>
      <c r="AQ33" s="351">
        <v>0</v>
      </c>
    </row>
    <row r="34" spans="1:43" s="1609" customFormat="1" ht="1.1499999999999999" customHeight="1">
      <c r="A34" s="1156"/>
      <c r="B34" s="1156"/>
      <c r="C34" s="1156"/>
      <c r="D34" s="1156"/>
      <c r="E34" s="1156"/>
      <c r="F34" s="1156"/>
      <c r="G34" s="1156"/>
      <c r="H34" s="1156"/>
      <c r="I34" s="1156"/>
      <c r="J34" s="1156"/>
      <c r="K34" s="1156"/>
      <c r="L34" s="1157"/>
      <c r="M34" s="1156"/>
      <c r="N34" s="1156"/>
      <c r="O34" s="1156"/>
      <c r="S34" s="257"/>
      <c r="T34" s="257"/>
      <c r="U34" s="1276"/>
      <c r="V34" s="260"/>
      <c r="W34" s="260"/>
      <c r="X34" s="260"/>
      <c r="Y34" s="260"/>
      <c r="Z34" s="260"/>
      <c r="AA34" s="260"/>
      <c r="AB34" s="212" t="s">
        <v>511</v>
      </c>
      <c r="AC34" s="260"/>
      <c r="AD34" s="260"/>
      <c r="AE34" s="260"/>
      <c r="AF34" s="260"/>
      <c r="AG34" s="260"/>
      <c r="AH34" s="260"/>
      <c r="AI34" s="212" t="s">
        <v>511</v>
      </c>
      <c r="AL34" s="301"/>
      <c r="AM34" s="301"/>
      <c r="AN34" s="301"/>
      <c r="AO34" s="301"/>
      <c r="AP34" s="301"/>
      <c r="AQ34" s="351">
        <v>1</v>
      </c>
    </row>
    <row r="35" spans="1:43" ht="14.65" customHeight="1">
      <c r="Q35" s="309"/>
      <c r="R35" s="309"/>
      <c r="S35" s="1063"/>
      <c r="T35" s="296"/>
      <c r="U35" s="1032"/>
      <c r="V35" s="2407"/>
      <c r="W35" s="2407"/>
      <c r="X35" s="2407"/>
      <c r="Y35" s="2407"/>
      <c r="Z35" s="2407"/>
      <c r="AA35" s="2407"/>
      <c r="AB35" s="2407"/>
      <c r="AC35" s="2407"/>
      <c r="AD35" s="2407"/>
      <c r="AE35" s="2407"/>
      <c r="AF35" s="2407"/>
      <c r="AG35" s="2407"/>
      <c r="AH35" s="2407"/>
      <c r="AI35" s="2407"/>
      <c r="AQ35" s="956">
        <v>14</v>
      </c>
    </row>
    <row r="36" spans="1:43" ht="14.65" customHeight="1">
      <c r="Q36" s="309"/>
      <c r="R36" s="309"/>
      <c r="S36" s="2266" t="s">
        <v>384</v>
      </c>
      <c r="T36" s="2266"/>
      <c r="U36" s="2266"/>
      <c r="V36" s="2266"/>
      <c r="W36" s="2266"/>
      <c r="X36" s="2266"/>
      <c r="Y36" s="2266"/>
      <c r="Z36" s="2266"/>
      <c r="AA36" s="2266"/>
      <c r="AB36" s="2266"/>
      <c r="AC36" s="2266"/>
      <c r="AD36" s="2266"/>
      <c r="AE36" s="2266"/>
      <c r="AF36" s="2266"/>
      <c r="AG36" s="2266"/>
      <c r="AH36" s="2266"/>
      <c r="AI36" s="2266"/>
      <c r="AJ36" s="2266"/>
      <c r="AK36" s="2266" t="s">
        <v>385</v>
      </c>
      <c r="AQ36" s="956">
        <v>14</v>
      </c>
    </row>
    <row r="37" spans="1:43" ht="14.65" customHeight="1">
      <c r="Q37" s="309"/>
      <c r="R37" s="309"/>
      <c r="S37" s="2408" t="s">
        <v>75</v>
      </c>
      <c r="T37" s="2357" t="s">
        <v>512</v>
      </c>
      <c r="U37" s="235"/>
      <c r="V37" s="2409" t="s">
        <v>513</v>
      </c>
      <c r="W37" s="2410"/>
      <c r="X37" s="2410"/>
      <c r="Y37" s="2410"/>
      <c r="Z37" s="2410"/>
      <c r="AA37" s="2411"/>
      <c r="AB37" s="2412" t="s">
        <v>514</v>
      </c>
      <c r="AC37" s="2409" t="s">
        <v>513</v>
      </c>
      <c r="AD37" s="2410"/>
      <c r="AE37" s="2410"/>
      <c r="AF37" s="2410"/>
      <c r="AG37" s="2410"/>
      <c r="AH37" s="2411"/>
      <c r="AI37" s="2412" t="s">
        <v>515</v>
      </c>
      <c r="AJ37" s="2415" t="s">
        <v>516</v>
      </c>
      <c r="AK37" s="2266"/>
      <c r="AQ37" s="956">
        <v>14</v>
      </c>
    </row>
    <row r="38" spans="1:43" ht="35.65" customHeight="1">
      <c r="Q38" s="309"/>
      <c r="R38" s="309"/>
      <c r="S38" s="2408"/>
      <c r="T38" s="2357"/>
      <c r="U38" s="874"/>
      <c r="V38" s="1271" t="s">
        <v>573</v>
      </c>
      <c r="W38" s="2247" t="s">
        <v>519</v>
      </c>
      <c r="X38" s="2246"/>
      <c r="Y38" s="2247" t="s">
        <v>520</v>
      </c>
      <c r="Z38" s="2252"/>
      <c r="AA38" s="2246"/>
      <c r="AB38" s="2413"/>
      <c r="AC38" s="1271" t="s">
        <v>573</v>
      </c>
      <c r="AD38" s="2247" t="s">
        <v>519</v>
      </c>
      <c r="AE38" s="2246"/>
      <c r="AF38" s="2247" t="s">
        <v>520</v>
      </c>
      <c r="AG38" s="2252"/>
      <c r="AH38" s="2246"/>
      <c r="AI38" s="2413"/>
      <c r="AJ38" s="2416"/>
      <c r="AK38" s="2266"/>
      <c r="AQ38" s="956">
        <v>34</v>
      </c>
    </row>
    <row r="39" spans="1:43" ht="90.4" customHeight="1">
      <c r="A39" s="1158"/>
      <c r="B39" s="1158" t="s">
        <v>226</v>
      </c>
      <c r="C39" s="1158" t="s">
        <v>227</v>
      </c>
      <c r="D39" s="1158" t="s">
        <v>228</v>
      </c>
      <c r="E39" s="1152" t="s">
        <v>521</v>
      </c>
      <c r="F39" s="1152" t="s">
        <v>522</v>
      </c>
      <c r="G39" s="1152" t="s">
        <v>523</v>
      </c>
      <c r="H39" s="1152"/>
      <c r="I39" s="1152" t="s">
        <v>574</v>
      </c>
      <c r="J39" s="1152" t="s">
        <v>526</v>
      </c>
      <c r="K39" s="1152" t="s">
        <v>575</v>
      </c>
      <c r="L39" s="1152" t="s">
        <v>502</v>
      </c>
      <c r="Q39" s="309"/>
      <c r="R39" s="309"/>
      <c r="S39" s="2408"/>
      <c r="T39" s="2357"/>
      <c r="U39" s="236"/>
      <c r="V39" s="1271" t="s">
        <v>602</v>
      </c>
      <c r="W39" s="1010" t="s">
        <v>603</v>
      </c>
      <c r="X39" s="1010" t="s">
        <v>578</v>
      </c>
      <c r="Y39" s="1277" t="s">
        <v>530</v>
      </c>
      <c r="Z39" s="2362" t="s">
        <v>531</v>
      </c>
      <c r="AA39" s="2375"/>
      <c r="AB39" s="2414"/>
      <c r="AC39" s="1271" t="s">
        <v>602</v>
      </c>
      <c r="AD39" s="1010" t="s">
        <v>603</v>
      </c>
      <c r="AE39" s="1010" t="s">
        <v>578</v>
      </c>
      <c r="AF39" s="1277" t="s">
        <v>530</v>
      </c>
      <c r="AG39" s="2362" t="s">
        <v>531</v>
      </c>
      <c r="AH39" s="2375"/>
      <c r="AI39" s="2414"/>
      <c r="AJ39" s="2417"/>
      <c r="AK39" s="2266"/>
      <c r="AQ39" s="956">
        <v>86</v>
      </c>
    </row>
    <row r="40" spans="1:43" s="1429" customFormat="1" ht="11.25" hidden="1" customHeight="1">
      <c r="A40" s="1158"/>
      <c r="B40" s="1158"/>
      <c r="C40" s="1158"/>
      <c r="D40" s="1158"/>
      <c r="E40" s="1158"/>
      <c r="F40" s="1158"/>
      <c r="G40" s="1158"/>
      <c r="H40" s="1158"/>
      <c r="I40" s="1158"/>
      <c r="J40" s="1158"/>
      <c r="K40" s="1158"/>
      <c r="L40" s="1152"/>
      <c r="M40" s="1150"/>
      <c r="N40" s="1150"/>
      <c r="O40" s="1150"/>
      <c r="P40" s="1034"/>
      <c r="Q40" s="1035"/>
      <c r="R40" s="1042">
        <v>1</v>
      </c>
      <c r="S40" s="1065" t="s">
        <v>161</v>
      </c>
      <c r="T40" s="1043" t="s">
        <v>89</v>
      </c>
      <c r="U40" s="1033" t="str">
        <f ca="1">OFFSET(U40,0,-1)</f>
        <v>2</v>
      </c>
      <c r="V40" s="1270">
        <f ca="1">OFFSET(V40,0,-1)+1</f>
        <v>3</v>
      </c>
      <c r="W40" s="1270">
        <f ca="1">OFFSET(W40,0,-1)+1</f>
        <v>4</v>
      </c>
      <c r="X40" s="1270">
        <f ca="1">OFFSET(X40,0,-1)+1</f>
        <v>5</v>
      </c>
      <c r="Y40" s="1270">
        <f ca="1">OFFSET(Y40,0,-1)+1</f>
        <v>6</v>
      </c>
      <c r="Z40" s="2406">
        <f ca="1">OFFSET(Z40,0,-1)+1</f>
        <v>7</v>
      </c>
      <c r="AA40" s="2406"/>
      <c r="AB40" s="1270">
        <f ca="1">OFFSET(AB40,0,-2)+1</f>
        <v>8</v>
      </c>
      <c r="AC40" s="1270">
        <f ca="1">OFFSET(AC40,0,-1)+1</f>
        <v>9</v>
      </c>
      <c r="AD40" s="1270">
        <f ca="1">OFFSET(AD40,0,-1)+1</f>
        <v>10</v>
      </c>
      <c r="AE40" s="1270">
        <f ca="1">OFFSET(AE40,0,-1)+1</f>
        <v>11</v>
      </c>
      <c r="AF40" s="1270">
        <f ca="1">OFFSET(AF40,0,-1)+1</f>
        <v>12</v>
      </c>
      <c r="AG40" s="2406">
        <f ca="1">OFFSET(AG40,0,-1)+1</f>
        <v>13</v>
      </c>
      <c r="AH40" s="2406"/>
      <c r="AI40" s="1270">
        <f ca="1">OFFSET(AI40,0,-2)+1</f>
        <v>14</v>
      </c>
      <c r="AJ40" s="1033">
        <f ca="1">OFFSET(AJ40,0,-1)</f>
        <v>14</v>
      </c>
      <c r="AK40" s="1270">
        <f ca="1">OFFSET(AK40,0,-1)+1</f>
        <v>15</v>
      </c>
      <c r="AL40" s="444"/>
      <c r="AM40" s="444"/>
      <c r="AN40" s="444"/>
      <c r="AO40" s="444"/>
      <c r="AP40" s="444"/>
      <c r="AQ40" s="429">
        <v>0</v>
      </c>
    </row>
    <row r="41" spans="1:43" ht="24" customHeight="1">
      <c r="A41" s="1151" t="s">
        <v>350</v>
      </c>
      <c r="B41" s="1151"/>
      <c r="C41" s="1151"/>
      <c r="D41" s="1151"/>
      <c r="E41" s="2395">
        <v>1</v>
      </c>
      <c r="F41" s="1151"/>
      <c r="G41" s="1151"/>
      <c r="H41" s="1151"/>
      <c r="I41" s="1151"/>
      <c r="J41" s="1151"/>
      <c r="K41" s="1151"/>
      <c r="L41" s="1152"/>
      <c r="M41" s="1153"/>
      <c r="N41" s="1153"/>
      <c r="O41" s="1153"/>
      <c r="P41" s="294"/>
      <c r="Q41" s="293"/>
      <c r="R41" s="288"/>
      <c r="S41" s="1281">
        <f>INDEX(PT_DIFFERENTIATION_NUM_NTAR,MATCH(A41,PT_DIFFERENTIATION_NTAR_ID,0))</f>
        <v>0</v>
      </c>
      <c r="T41" s="232" t="s">
        <v>214</v>
      </c>
      <c r="U41" s="234"/>
      <c r="V41" s="2389"/>
      <c r="W41" s="2390"/>
      <c r="X41" s="2390"/>
      <c r="Y41" s="2390"/>
      <c r="Z41" s="2390"/>
      <c r="AA41" s="2390"/>
      <c r="AB41" s="2391"/>
      <c r="AC41" s="2389" t="str">
        <f>INDEX(PT_DIFFERENTIATION_NTAR,MATCH(A41,PT_DIFFERENTIATION_NTAR_ID,0))</f>
        <v/>
      </c>
      <c r="AD41" s="2390"/>
      <c r="AE41" s="2390"/>
      <c r="AF41" s="2390"/>
      <c r="AG41" s="2390"/>
      <c r="AH41" s="2390"/>
      <c r="AI41" s="2390"/>
      <c r="AJ41" s="2391"/>
      <c r="AK41" s="104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956">
        <v>23</v>
      </c>
    </row>
    <row r="42" spans="1:43" ht="24" customHeight="1">
      <c r="A42" s="1151" t="s">
        <v>350</v>
      </c>
      <c r="B42" s="1151" t="s">
        <v>351</v>
      </c>
      <c r="C42" s="1151"/>
      <c r="D42" s="1151"/>
      <c r="E42" s="2396"/>
      <c r="F42" s="2395">
        <v>1</v>
      </c>
      <c r="G42" s="1151"/>
      <c r="H42" s="1151"/>
      <c r="I42" s="1151"/>
      <c r="J42" s="1151"/>
      <c r="K42" s="1151"/>
      <c r="L42" s="1152"/>
      <c r="M42" s="1153"/>
      <c r="N42" s="1153"/>
      <c r="O42" s="1153"/>
      <c r="P42" s="1275"/>
      <c r="Q42" s="285"/>
      <c r="R42" s="286"/>
      <c r="S42" s="1281" t="str">
        <f>INDEX(PT_DIFFERENTIATION_NUM_TER,MATCH(B42,PT_DIFFERENTIATION_TER_ID,0))</f>
        <v>.</v>
      </c>
      <c r="T42" s="242" t="s">
        <v>481</v>
      </c>
      <c r="U42" s="234"/>
      <c r="V42" s="2389"/>
      <c r="W42" s="2390"/>
      <c r="X42" s="2390"/>
      <c r="Y42" s="2390"/>
      <c r="Z42" s="2390"/>
      <c r="AA42" s="2390"/>
      <c r="AB42" s="2391"/>
      <c r="AC42" s="2389" t="str">
        <f>INDEX(PT_DIFFERENTIATION_TER,MATCH(B42,PT_DIFFERENTIATION_TER_ID,0))</f>
        <v/>
      </c>
      <c r="AD42" s="2390"/>
      <c r="AE42" s="2390"/>
      <c r="AF42" s="2390"/>
      <c r="AG42" s="2390"/>
      <c r="AH42" s="2390"/>
      <c r="AI42" s="2390"/>
      <c r="AJ42" s="2391"/>
      <c r="AK42" s="1046" t="s">
        <v>482</v>
      </c>
      <c r="AM42" s="433"/>
      <c r="AN42" s="433" t="str">
        <f t="shared" si="1"/>
        <v>Территория действия тарифа</v>
      </c>
      <c r="AO42" s="433"/>
      <c r="AP42" s="433"/>
      <c r="AQ42" s="956">
        <v>23</v>
      </c>
    </row>
    <row r="43" spans="1:43" ht="24" customHeight="1">
      <c r="A43" s="1151" t="s">
        <v>350</v>
      </c>
      <c r="B43" s="1151" t="s">
        <v>351</v>
      </c>
      <c r="C43" s="1151" t="s">
        <v>352</v>
      </c>
      <c r="D43" s="1151"/>
      <c r="E43" s="2396"/>
      <c r="F43" s="2396"/>
      <c r="G43" s="2395">
        <v>1</v>
      </c>
      <c r="H43" s="1151"/>
      <c r="I43" s="1151"/>
      <c r="J43" s="1151"/>
      <c r="K43" s="1151"/>
      <c r="L43" s="1152"/>
      <c r="M43" s="1153"/>
      <c r="N43" s="1153"/>
      <c r="O43" s="1153"/>
      <c r="P43" s="287"/>
      <c r="Q43" s="285"/>
      <c r="R43" s="286"/>
      <c r="S43" s="1281" t="str">
        <f>INDEX(PT_DIFFERENTIATION_NUM_CS,MATCH(C43,PT_DIFFERENTIATION_CS_ID,0))</f>
        <v>..</v>
      </c>
      <c r="T43" s="243" t="s">
        <v>600</v>
      </c>
      <c r="U43" s="234"/>
      <c r="V43" s="2389"/>
      <c r="W43" s="2390"/>
      <c r="X43" s="2390"/>
      <c r="Y43" s="2390"/>
      <c r="Z43" s="2390"/>
      <c r="AA43" s="2390"/>
      <c r="AB43" s="2391"/>
      <c r="AC43" s="2389" t="str">
        <f>INDEX(PT_DIFFERENTIATION_CS,MATCH(C43,PT_DIFFERENTIATION_CS_ID,0))</f>
        <v/>
      </c>
      <c r="AD43" s="2390"/>
      <c r="AE43" s="2390"/>
      <c r="AF43" s="2390"/>
      <c r="AG43" s="2390"/>
      <c r="AH43" s="2390"/>
      <c r="AI43" s="2390"/>
      <c r="AJ43" s="2391"/>
      <c r="AK43" s="1046" t="s">
        <v>601</v>
      </c>
      <c r="AM43" s="433"/>
      <c r="AN43" s="433" t="str">
        <f t="shared" si="1"/>
        <v>Наименование централизованной системы водоотведения</v>
      </c>
      <c r="AO43" s="433"/>
      <c r="AP43" s="433"/>
      <c r="AQ43" s="956">
        <v>23</v>
      </c>
    </row>
    <row r="44" spans="1:43" ht="24" customHeight="1">
      <c r="A44" s="1151" t="s">
        <v>350</v>
      </c>
      <c r="B44" s="1151" t="s">
        <v>351</v>
      </c>
      <c r="C44" s="1151" t="s">
        <v>352</v>
      </c>
      <c r="D44" s="1151" t="s">
        <v>604</v>
      </c>
      <c r="E44" s="2396"/>
      <c r="F44" s="2396"/>
      <c r="G44" s="2396"/>
      <c r="H44" s="2396"/>
      <c r="I44" s="2397" t="str">
        <f>S43&amp;".1"</f>
        <v>...1</v>
      </c>
      <c r="J44" s="1151"/>
      <c r="K44" s="1151"/>
      <c r="L44" s="1152"/>
      <c r="P44" s="2399">
        <v>1</v>
      </c>
      <c r="Q44" s="1269"/>
      <c r="R44" s="289"/>
      <c r="S44" s="1281" t="str">
        <f>$I44</f>
        <v>...1</v>
      </c>
      <c r="T44" s="219" t="s">
        <v>567</v>
      </c>
      <c r="U44" s="234"/>
      <c r="V44" s="2463"/>
      <c r="W44" s="2464"/>
      <c r="X44" s="2464"/>
      <c r="Y44" s="2464"/>
      <c r="Z44" s="2464"/>
      <c r="AA44" s="2464"/>
      <c r="AB44" s="2465"/>
      <c r="AC44" s="2466"/>
      <c r="AD44" s="2467"/>
      <c r="AE44" s="2467"/>
      <c r="AF44" s="2467"/>
      <c r="AG44" s="2467"/>
      <c r="AH44" s="2467"/>
      <c r="AI44" s="2467"/>
      <c r="AJ44" s="2468"/>
      <c r="AK44" s="1046" t="s">
        <v>568</v>
      </c>
      <c r="AM44" s="433"/>
      <c r="AN44" s="433" t="str">
        <f t="shared" si="1"/>
        <v>Наименование признака дифференциации</v>
      </c>
      <c r="AO44" s="433"/>
      <c r="AP44" s="433"/>
      <c r="AQ44" s="956">
        <v>23</v>
      </c>
    </row>
    <row r="45" spans="1:43" ht="24" customHeight="1">
      <c r="A45" s="1151" t="s">
        <v>350</v>
      </c>
      <c r="B45" s="1151" t="s">
        <v>351</v>
      </c>
      <c r="C45" s="1151" t="s">
        <v>352</v>
      </c>
      <c r="D45" s="1151" t="s">
        <v>604</v>
      </c>
      <c r="E45" s="2396"/>
      <c r="F45" s="2396"/>
      <c r="G45" s="2396"/>
      <c r="H45" s="2396"/>
      <c r="I45" s="2398"/>
      <c r="J45" s="2397" t="str">
        <f>I44&amp;".1"</f>
        <v>...1.1</v>
      </c>
      <c r="K45" s="1151"/>
      <c r="L45" s="1152" t="s">
        <v>490</v>
      </c>
      <c r="P45" s="2399"/>
      <c r="Q45" s="2399">
        <v>1</v>
      </c>
      <c r="R45" s="290"/>
      <c r="S45" s="1281" t="str">
        <f>$J45</f>
        <v>...1.1</v>
      </c>
      <c r="T45" s="220" t="s">
        <v>491</v>
      </c>
      <c r="U45" s="234"/>
      <c r="V45" s="2383"/>
      <c r="W45" s="2384"/>
      <c r="X45" s="2384"/>
      <c r="Y45" s="2384"/>
      <c r="Z45" s="2384"/>
      <c r="AA45" s="2384"/>
      <c r="AB45" s="2385"/>
      <c r="AC45" s="2383"/>
      <c r="AD45" s="2384"/>
      <c r="AE45" s="2384"/>
      <c r="AF45" s="2384"/>
      <c r="AG45" s="2384"/>
      <c r="AH45" s="2384"/>
      <c r="AI45" s="2384"/>
      <c r="AJ45" s="2385"/>
      <c r="AK45" s="1095" t="s">
        <v>569</v>
      </c>
      <c r="AM45" s="433"/>
      <c r="AN45" s="433" t="str">
        <f t="shared" si="1"/>
        <v>Группа потребителей</v>
      </c>
      <c r="AO45" s="433"/>
      <c r="AP45" s="433"/>
      <c r="AQ45" s="956">
        <v>23</v>
      </c>
    </row>
    <row r="46" spans="1:43" ht="24" customHeight="1">
      <c r="A46" s="1151" t="s">
        <v>350</v>
      </c>
      <c r="B46" s="1151" t="s">
        <v>351</v>
      </c>
      <c r="C46" s="1151" t="s">
        <v>352</v>
      </c>
      <c r="D46" s="1151" t="s">
        <v>604</v>
      </c>
      <c r="E46" s="2396"/>
      <c r="F46" s="2396"/>
      <c r="G46" s="2396"/>
      <c r="H46" s="2396"/>
      <c r="I46" s="2398"/>
      <c r="J46" s="2398"/>
      <c r="K46" s="2397" t="str">
        <f>J45&amp;".1"</f>
        <v>...1.1.1</v>
      </c>
      <c r="L46" s="1152"/>
      <c r="P46" s="2399"/>
      <c r="Q46" s="2399"/>
      <c r="R46" s="290">
        <v>1</v>
      </c>
      <c r="S46" s="1281" t="str">
        <f>$K46</f>
        <v>...1.1.1</v>
      </c>
      <c r="T46" s="1225"/>
      <c r="U46" s="234"/>
      <c r="V46" s="1148"/>
      <c r="W46" s="1148"/>
      <c r="X46" s="1149"/>
      <c r="Y46" s="2393"/>
      <c r="Z46" s="2392" t="s">
        <v>52</v>
      </c>
      <c r="AA46" s="2393"/>
      <c r="AB46" s="2392" t="s">
        <v>52</v>
      </c>
      <c r="AC46" s="658"/>
      <c r="AD46" s="658"/>
      <c r="AE46" s="1045"/>
      <c r="AF46" s="2400"/>
      <c r="AG46" s="2276" t="s">
        <v>52</v>
      </c>
      <c r="AH46" s="2402"/>
      <c r="AI46" s="2276" t="s">
        <v>6</v>
      </c>
      <c r="AJ46" s="1226"/>
      <c r="AK46" s="24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956">
        <v>23</v>
      </c>
    </row>
    <row r="47" spans="1:43" ht="0" hidden="1" customHeight="1">
      <c r="A47" s="1151" t="s">
        <v>350</v>
      </c>
      <c r="B47" s="1151" t="s">
        <v>351</v>
      </c>
      <c r="C47" s="1151" t="s">
        <v>352</v>
      </c>
      <c r="D47" s="1151" t="s">
        <v>604</v>
      </c>
      <c r="E47" s="2396"/>
      <c r="F47" s="2396"/>
      <c r="G47" s="2396"/>
      <c r="H47" s="2396"/>
      <c r="I47" s="2398"/>
      <c r="J47" s="2398"/>
      <c r="K47" s="2397"/>
      <c r="L47" s="1152"/>
      <c r="P47" s="2399"/>
      <c r="Q47" s="2399"/>
      <c r="R47" s="290"/>
      <c r="S47" s="1278"/>
      <c r="T47" s="234"/>
      <c r="U47" s="234"/>
      <c r="V47" s="1148"/>
      <c r="W47" s="1148"/>
      <c r="X47" s="262" t="str">
        <f>Y46&amp;"-"&amp;AA46</f>
        <v>-</v>
      </c>
      <c r="Y47" s="2392"/>
      <c r="Z47" s="2392"/>
      <c r="AA47" s="2392"/>
      <c r="AB47" s="2392"/>
      <c r="AC47" s="259"/>
      <c r="AD47" s="259"/>
      <c r="AE47" s="262" t="str">
        <f>AF46&amp;"-"&amp;AH46</f>
        <v>-</v>
      </c>
      <c r="AF47" s="2401"/>
      <c r="AG47" s="2276"/>
      <c r="AH47" s="2403"/>
      <c r="AI47" s="2276"/>
      <c r="AJ47" s="1227"/>
      <c r="AK47" s="2469"/>
      <c r="AM47" s="433"/>
      <c r="AN47" s="433" t="str">
        <f t="shared" si="1"/>
        <v/>
      </c>
      <c r="AO47" s="433"/>
      <c r="AP47" s="433"/>
      <c r="AQ47" s="956">
        <v>0</v>
      </c>
    </row>
    <row r="48" spans="1:43" ht="21" customHeight="1">
      <c r="A48" s="1151" t="s">
        <v>350</v>
      </c>
      <c r="B48" s="1151" t="s">
        <v>351</v>
      </c>
      <c r="C48" s="1151" t="s">
        <v>352</v>
      </c>
      <c r="D48" s="1151" t="s">
        <v>604</v>
      </c>
      <c r="E48" s="2396"/>
      <c r="F48" s="2396"/>
      <c r="G48" s="2396"/>
      <c r="H48" s="2396"/>
      <c r="I48" s="2398"/>
      <c r="J48" s="2397"/>
      <c r="K48" s="1151"/>
      <c r="L48" s="1152"/>
      <c r="P48" s="2399"/>
      <c r="Q48" s="2399"/>
      <c r="R48" s="289"/>
      <c r="S48" s="1066"/>
      <c r="T48" s="221" t="s">
        <v>570</v>
      </c>
      <c r="U48" s="300"/>
      <c r="V48" s="300"/>
      <c r="W48" s="300"/>
      <c r="X48" s="300"/>
      <c r="Y48" s="300"/>
      <c r="Z48" s="300"/>
      <c r="AA48" s="300"/>
      <c r="AB48" s="300"/>
      <c r="AC48" s="300"/>
      <c r="AD48" s="300"/>
      <c r="AE48" s="300"/>
      <c r="AF48" s="300"/>
      <c r="AG48" s="300"/>
      <c r="AH48" s="300"/>
      <c r="AI48" s="300"/>
      <c r="AJ48" s="300"/>
      <c r="AK48" s="1046" t="s">
        <v>571</v>
      </c>
      <c r="AM48" s="433"/>
      <c r="AN48" s="433" t="str">
        <f t="shared" si="1"/>
        <v>Добавить значение признака дифференциации</v>
      </c>
      <c r="AO48" s="433"/>
      <c r="AP48" s="433"/>
      <c r="AQ48" s="956">
        <v>20</v>
      </c>
    </row>
    <row r="49" spans="1:43" ht="21.95" customHeight="1">
      <c r="A49" s="1151" t="s">
        <v>350</v>
      </c>
      <c r="B49" s="1151" t="s">
        <v>351</v>
      </c>
      <c r="C49" s="1151" t="s">
        <v>352</v>
      </c>
      <c r="D49" s="1151" t="s">
        <v>604</v>
      </c>
      <c r="E49" s="2396"/>
      <c r="F49" s="2396"/>
      <c r="G49" s="2396"/>
      <c r="H49" s="2396"/>
      <c r="I49" s="2397"/>
      <c r="J49" s="1151"/>
      <c r="K49" s="1151"/>
      <c r="L49" s="1152"/>
      <c r="P49" s="2399"/>
      <c r="Q49" s="1269"/>
      <c r="R49" s="289"/>
      <c r="S49" s="1066"/>
      <c r="T49" s="298" t="s">
        <v>496</v>
      </c>
      <c r="U49" s="300"/>
      <c r="V49" s="300"/>
      <c r="W49" s="300"/>
      <c r="X49" s="300"/>
      <c r="Y49" s="300"/>
      <c r="Z49" s="300"/>
      <c r="AA49" s="300"/>
      <c r="AB49" s="299"/>
      <c r="AC49" s="300"/>
      <c r="AD49" s="300"/>
      <c r="AE49" s="300"/>
      <c r="AF49" s="300"/>
      <c r="AG49" s="300"/>
      <c r="AH49" s="300"/>
      <c r="AI49" s="299"/>
      <c r="AJ49" s="300"/>
      <c r="AK49" s="1228"/>
      <c r="AM49" s="433"/>
      <c r="AN49" s="433" t="str">
        <f t="shared" si="1"/>
        <v>Добавить группу потребителей</v>
      </c>
      <c r="AO49" s="433"/>
      <c r="AP49" s="433"/>
      <c r="AQ49" s="956">
        <v>21</v>
      </c>
    </row>
    <row r="50" spans="1:43" ht="21.95" customHeight="1">
      <c r="A50" s="1151" t="s">
        <v>350</v>
      </c>
      <c r="B50" s="1151" t="s">
        <v>351</v>
      </c>
      <c r="C50" s="1151" t="s">
        <v>352</v>
      </c>
      <c r="D50" s="1151" t="s">
        <v>604</v>
      </c>
      <c r="E50" s="2396"/>
      <c r="F50" s="2396"/>
      <c r="G50" s="2396"/>
      <c r="H50" s="2395"/>
      <c r="I50" s="1151"/>
      <c r="J50" s="1151"/>
      <c r="K50" s="1151"/>
      <c r="L50" s="1152"/>
      <c r="M50" s="1153"/>
      <c r="N50" s="1153"/>
      <c r="O50" s="469"/>
      <c r="P50" s="293"/>
      <c r="Q50" s="308"/>
      <c r="R50" s="288"/>
      <c r="S50" s="1066"/>
      <c r="T50" s="305" t="s">
        <v>572</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956">
        <v>21</v>
      </c>
    </row>
    <row r="51" spans="1:43" s="1430" customFormat="1" ht="0" hidden="1" customHeight="1">
      <c r="A51" s="1131" t="s">
        <v>350</v>
      </c>
      <c r="B51" s="1131" t="s">
        <v>351</v>
      </c>
      <c r="C51" s="1102"/>
      <c r="D51" s="1102"/>
      <c r="E51" s="2396"/>
      <c r="F51" s="2395"/>
      <c r="G51" s="1102"/>
      <c r="H51" s="1102"/>
      <c r="I51" s="1102"/>
      <c r="J51" s="1102"/>
      <c r="K51" s="1102"/>
      <c r="L51" s="1282"/>
      <c r="M51" s="1109"/>
      <c r="N51" s="1109"/>
      <c r="P51" s="1104"/>
      <c r="Q51" s="1105"/>
      <c r="R51" s="1104"/>
      <c r="S51" s="1110"/>
      <c r="T51" s="1113" t="s">
        <v>499</v>
      </c>
      <c r="U51" s="1112"/>
      <c r="V51" s="1112"/>
      <c r="W51" s="1112"/>
      <c r="X51" s="1112"/>
      <c r="Y51" s="1112"/>
      <c r="Z51" s="1112"/>
      <c r="AA51" s="1112"/>
      <c r="AB51" s="1112"/>
      <c r="AC51" s="1112"/>
      <c r="AD51" s="1112"/>
      <c r="AE51" s="1112"/>
      <c r="AF51" s="1112"/>
      <c r="AG51" s="1112"/>
      <c r="AH51" s="1112"/>
      <c r="AI51" s="1112"/>
      <c r="AJ51" s="1112"/>
      <c r="AK51" s="1112"/>
      <c r="AM51" s="688"/>
      <c r="AN51" s="688" t="str">
        <f t="shared" si="1"/>
        <v>Добавить централизованную систему для дифференциации</v>
      </c>
      <c r="AO51" s="688"/>
      <c r="AP51" s="688"/>
      <c r="AQ51" s="451">
        <v>0</v>
      </c>
    </row>
    <row r="52" spans="1:43" s="1430" customFormat="1" ht="0" hidden="1" customHeight="1">
      <c r="A52" s="1131" t="s">
        <v>350</v>
      </c>
      <c r="B52" s="1131"/>
      <c r="C52" s="1131"/>
      <c r="D52" s="1131"/>
      <c r="E52" s="2395"/>
      <c r="F52" s="1131"/>
      <c r="G52" s="1131"/>
      <c r="H52" s="1131"/>
      <c r="I52" s="1131"/>
      <c r="J52" s="1131"/>
      <c r="K52" s="1131"/>
      <c r="L52" s="1134"/>
      <c r="M52" s="1109"/>
      <c r="N52" s="1109"/>
      <c r="O52" s="451"/>
      <c r="P52" s="313"/>
      <c r="Q52" s="1132"/>
      <c r="R52" s="313"/>
      <c r="S52" s="1110"/>
      <c r="T52" s="1113" t="s">
        <v>500</v>
      </c>
      <c r="U52" s="1112"/>
      <c r="V52" s="1112"/>
      <c r="W52" s="1112"/>
      <c r="X52" s="1112"/>
      <c r="Y52" s="1112"/>
      <c r="Z52" s="1112"/>
      <c r="AA52" s="1112"/>
      <c r="AB52" s="1112"/>
      <c r="AC52" s="1112"/>
      <c r="AD52" s="1112"/>
      <c r="AE52" s="1112"/>
      <c r="AF52" s="1112"/>
      <c r="AG52" s="1112"/>
      <c r="AH52" s="1112"/>
      <c r="AI52" s="1112"/>
      <c r="AJ52" s="1112"/>
      <c r="AK52" s="1112"/>
      <c r="AM52" s="433"/>
      <c r="AN52" s="433" t="str">
        <f t="shared" si="1"/>
        <v>Добавить территорию для дифференциации</v>
      </c>
      <c r="AO52" s="433"/>
      <c r="AP52" s="433"/>
      <c r="AQ52" s="444">
        <v>0</v>
      </c>
    </row>
    <row r="53" spans="1:43" s="1430" customFormat="1" ht="0" hidden="1" customHeight="1">
      <c r="A53" s="1102"/>
      <c r="B53" s="1102"/>
      <c r="C53" s="1102"/>
      <c r="D53" s="1102"/>
      <c r="E53" s="1131"/>
      <c r="F53" s="1102"/>
      <c r="G53" s="1102"/>
      <c r="H53" s="1102"/>
      <c r="I53" s="1102"/>
      <c r="J53" s="1102"/>
      <c r="K53" s="1102"/>
      <c r="L53" s="1282"/>
      <c r="M53" s="1109"/>
      <c r="N53" s="1109"/>
      <c r="P53" s="1104"/>
      <c r="Q53" s="1105"/>
      <c r="R53" s="1104"/>
      <c r="S53" s="1110"/>
      <c r="T53" s="1113" t="s">
        <v>532</v>
      </c>
      <c r="U53" s="1112"/>
      <c r="V53" s="1112"/>
      <c r="W53" s="1112"/>
      <c r="X53" s="1112"/>
      <c r="Y53" s="1112"/>
      <c r="Z53" s="1112"/>
      <c r="AA53" s="1112"/>
      <c r="AB53" s="1112"/>
      <c r="AC53" s="1112"/>
      <c r="AD53" s="1112"/>
      <c r="AE53" s="1112"/>
      <c r="AF53" s="1112"/>
      <c r="AG53" s="1112"/>
      <c r="AH53" s="1112"/>
      <c r="AI53" s="1112"/>
      <c r="AJ53" s="1112"/>
      <c r="AK53" s="1112"/>
      <c r="AM53" s="688"/>
      <c r="AN53" s="688" t="str">
        <f t="shared" si="1"/>
        <v>Добавить наименование тарифа</v>
      </c>
      <c r="AO53" s="688"/>
      <c r="AP53" s="688"/>
      <c r="AQ53" s="451">
        <v>0</v>
      </c>
    </row>
    <row r="54" spans="1:43" ht="11.45" customHeight="1">
      <c r="M54" s="961"/>
      <c r="N54" s="961"/>
      <c r="O54" s="469"/>
      <c r="P54" s="956"/>
      <c r="Q54" s="956"/>
      <c r="R54" s="956"/>
      <c r="S54" s="956"/>
      <c r="AL54" s="956"/>
      <c r="AM54" s="956"/>
      <c r="AN54" s="956"/>
      <c r="AO54" s="956"/>
      <c r="AP54" s="956"/>
      <c r="AQ54" s="956">
        <v>11</v>
      </c>
    </row>
    <row r="55" spans="1:43" ht="14.65" customHeight="1">
      <c r="O55" s="469"/>
      <c r="S55" s="1041"/>
      <c r="T55" s="2394"/>
      <c r="U55" s="2394"/>
      <c r="V55" s="2394"/>
      <c r="W55" s="2394"/>
      <c r="X55" s="2394"/>
      <c r="Y55" s="2394"/>
      <c r="Z55" s="2394"/>
      <c r="AA55" s="2394"/>
      <c r="AB55" s="2394"/>
      <c r="AC55" s="2394"/>
      <c r="AD55" s="2394"/>
      <c r="AE55" s="2394"/>
      <c r="AF55" s="2394"/>
      <c r="AG55" s="2394"/>
      <c r="AH55" s="2394"/>
      <c r="AI55" s="2394"/>
      <c r="AJ55" s="2394"/>
      <c r="AK55" s="2394"/>
      <c r="AQ55" s="956">
        <v>14</v>
      </c>
    </row>
    <row r="56" spans="1:43" ht="14.65" customHeight="1">
      <c r="O56" s="469"/>
      <c r="AQ56" s="956">
        <v>14</v>
      </c>
    </row>
    <row r="57" spans="1:43" ht="14.65" customHeight="1">
      <c r="O57" s="469"/>
      <c r="S57" s="1041"/>
      <c r="T57" s="2394"/>
      <c r="U57" s="2394"/>
      <c r="V57" s="2394"/>
      <c r="W57" s="2394"/>
      <c r="X57" s="2394"/>
      <c r="Y57" s="2394"/>
      <c r="Z57" s="2394"/>
      <c r="AA57" s="2394"/>
      <c r="AB57" s="2394"/>
      <c r="AC57" s="2394"/>
      <c r="AD57" s="2394"/>
      <c r="AE57" s="2394"/>
      <c r="AF57" s="2394"/>
      <c r="AG57" s="2394"/>
      <c r="AH57" s="2394"/>
      <c r="AI57" s="2394"/>
      <c r="AJ57" s="2394"/>
      <c r="AK57" s="2394"/>
      <c r="AQ57" s="956">
        <v>14</v>
      </c>
    </row>
    <row r="58" spans="1:43" ht="22.5" hidden="1" customHeight="1">
      <c r="A58" s="961" t="s">
        <v>69</v>
      </c>
      <c r="B58" s="961">
        <v>0</v>
      </c>
      <c r="C58" s="961">
        <v>0</v>
      </c>
      <c r="D58" s="961">
        <v>0</v>
      </c>
      <c r="E58" s="961">
        <v>0</v>
      </c>
      <c r="F58" s="961">
        <v>0</v>
      </c>
      <c r="G58" s="961">
        <v>0</v>
      </c>
      <c r="H58" s="961">
        <v>0</v>
      </c>
      <c r="I58" s="961">
        <v>0</v>
      </c>
      <c r="J58" s="961">
        <v>0</v>
      </c>
      <c r="K58" s="961">
        <v>0</v>
      </c>
      <c r="L58" s="1266">
        <v>0</v>
      </c>
      <c r="M58" s="1150">
        <v>0</v>
      </c>
      <c r="N58" s="1150">
        <v>0</v>
      </c>
      <c r="O58" s="1150">
        <v>0</v>
      </c>
      <c r="P58" s="1261">
        <v>3</v>
      </c>
      <c r="Q58" s="278">
        <v>3</v>
      </c>
      <c r="R58" s="278">
        <v>3</v>
      </c>
      <c r="S58" s="512">
        <v>12</v>
      </c>
      <c r="T58" s="956">
        <v>35</v>
      </c>
      <c r="U58" s="956">
        <v>0</v>
      </c>
      <c r="V58" s="956">
        <v>0</v>
      </c>
      <c r="W58" s="956">
        <v>0</v>
      </c>
      <c r="X58" s="956">
        <v>0</v>
      </c>
      <c r="Y58" s="956">
        <v>0</v>
      </c>
      <c r="Z58" s="956">
        <v>0</v>
      </c>
      <c r="AA58" s="956">
        <v>0</v>
      </c>
      <c r="AB58" s="956">
        <v>0</v>
      </c>
      <c r="AC58" s="956">
        <v>24</v>
      </c>
      <c r="AD58" s="956">
        <v>24</v>
      </c>
      <c r="AE58" s="956">
        <v>24</v>
      </c>
      <c r="AF58" s="956">
        <v>11</v>
      </c>
      <c r="AG58" s="956">
        <v>3</v>
      </c>
      <c r="AH58" s="956">
        <v>11</v>
      </c>
      <c r="AI58" s="956">
        <v>0</v>
      </c>
      <c r="AJ58" s="956">
        <v>4</v>
      </c>
      <c r="AK58" s="956">
        <v>115</v>
      </c>
      <c r="AL58" s="444">
        <v>10</v>
      </c>
      <c r="AM58" s="444">
        <v>10</v>
      </c>
      <c r="AN58" s="444">
        <v>10</v>
      </c>
      <c r="AO58" s="444">
        <v>10</v>
      </c>
      <c r="AP58" s="444">
        <v>10</v>
      </c>
      <c r="AQ58" s="956">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54" hidden="1"/>
    <col min="2" max="2" width="11" style="1154" hidden="1" customWidth="1"/>
    <col min="3" max="3" width="10.5703125" style="1154" hidden="1"/>
    <col min="4" max="4" width="11.85546875" style="1154" hidden="1" customWidth="1"/>
    <col min="5" max="5" width="10" style="1154" hidden="1" customWidth="1"/>
    <col min="6" max="6" width="8.7109375" style="1154" hidden="1" customWidth="1"/>
    <col min="7" max="7" width="7.5703125" style="1154" hidden="1" customWidth="1"/>
    <col min="8" max="8" width="11.42578125" style="1154" hidden="1" customWidth="1"/>
    <col min="9" max="9" width="14.140625" style="1154" hidden="1" customWidth="1"/>
    <col min="10" max="10" width="9.85546875" style="1154" hidden="1" customWidth="1"/>
    <col min="11" max="11" width="14.7109375" style="1154" hidden="1" customWidth="1"/>
    <col min="12" max="12" width="19.140625" style="1866" hidden="1" customWidth="1"/>
    <col min="13" max="14" width="12.28515625" style="1535" hidden="1" customWidth="1"/>
    <col min="15" max="15" width="23.42578125" style="1535" hidden="1" customWidth="1"/>
    <col min="16" max="16" width="3" style="1857" customWidth="1"/>
    <col min="17" max="18" width="3" style="278" customWidth="1"/>
    <col min="19" max="19" width="12" style="1858" customWidth="1"/>
    <col min="20" max="20" width="35" style="1423" customWidth="1"/>
    <col min="21" max="21" width="0.140625" style="1423" customWidth="1"/>
    <col min="22" max="24" width="24.7109375" style="1423" hidden="1" customWidth="1"/>
    <col min="25" max="25" width="11.7109375" style="1423" hidden="1" customWidth="1"/>
    <col min="26" max="26" width="3.7109375" style="1423" hidden="1" customWidth="1"/>
    <col min="27" max="27" width="11.7109375" style="1423" hidden="1" customWidth="1"/>
    <col min="28" max="28" width="8.5703125" style="1423" hidden="1" customWidth="1"/>
    <col min="29" max="29" width="24.7109375" style="1423" customWidth="1"/>
    <col min="30" max="31" width="24" style="1423" customWidth="1"/>
    <col min="32" max="32" width="11" style="1423" customWidth="1"/>
    <col min="33" max="33" width="3.7109375" style="1423" customWidth="1"/>
    <col min="34" max="34" width="11" style="1423" customWidth="1"/>
    <col min="35" max="35" width="8.5703125" style="1423" hidden="1" customWidth="1"/>
    <col min="36" max="36" width="4" style="1423" customWidth="1"/>
    <col min="37" max="37" width="115" style="1423" customWidth="1"/>
    <col min="38" max="42" width="10" style="1430" customWidth="1"/>
    <col min="43" max="43" width="10.5703125" style="1423" hidden="1"/>
  </cols>
  <sheetData>
    <row r="1" spans="1:43" ht="22.5" hidden="1" customHeight="1">
      <c r="X1" s="261"/>
      <c r="Y1" s="261"/>
      <c r="AE1" s="261"/>
      <c r="AF1" s="261"/>
      <c r="AQ1" s="956" t="s">
        <v>1</v>
      </c>
    </row>
    <row r="2" spans="1:43" ht="23.25" hidden="1" customHeight="1">
      <c r="A2" s="1151"/>
      <c r="B2" s="1151"/>
      <c r="C2" s="1151"/>
      <c r="D2" s="1151"/>
      <c r="E2" s="2395">
        <v>1</v>
      </c>
      <c r="F2" s="1151"/>
      <c r="G2" s="1151"/>
      <c r="H2" s="1151"/>
      <c r="I2" s="1151"/>
      <c r="J2" s="1151"/>
      <c r="K2" s="1151"/>
      <c r="L2" s="1152"/>
      <c r="M2" s="1153"/>
      <c r="N2" s="1153"/>
      <c r="O2" s="1153"/>
      <c r="P2" s="294"/>
      <c r="Q2" s="293"/>
      <c r="R2" s="288"/>
      <c r="S2" s="1281" t="e">
        <f>INDEX(PT_DIFFERENTIATION_NUM_NTAR,MATCH(A2,PT_DIFFERENTIATION_NTAR_ID,0))</f>
        <v>#N/A</v>
      </c>
      <c r="T2" s="232" t="s">
        <v>214</v>
      </c>
      <c r="U2" s="234"/>
      <c r="V2" s="2389"/>
      <c r="W2" s="2390"/>
      <c r="X2" s="2390"/>
      <c r="Y2" s="2390"/>
      <c r="Z2" s="2390"/>
      <c r="AA2" s="2390"/>
      <c r="AB2" s="2391"/>
      <c r="AC2" s="2389" t="e">
        <f>INDEX(PT_DIFFERENTIATION_NTAR,MATCH(A2,PT_DIFFERENTIATION_NTAR_ID,0))</f>
        <v>#N/A</v>
      </c>
      <c r="AD2" s="2390"/>
      <c r="AE2" s="2390"/>
      <c r="AF2" s="2390"/>
      <c r="AG2" s="2390"/>
      <c r="AH2" s="2390"/>
      <c r="AI2" s="2390"/>
      <c r="AJ2" s="2391"/>
      <c r="AK2" s="104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956">
        <v>0</v>
      </c>
    </row>
    <row r="3" spans="1:43" ht="23.25" hidden="1" customHeight="1">
      <c r="A3" s="1151"/>
      <c r="B3" s="1151"/>
      <c r="C3" s="1151"/>
      <c r="D3" s="1151"/>
      <c r="E3" s="2396"/>
      <c r="F3" s="2395">
        <v>1</v>
      </c>
      <c r="G3" s="1151"/>
      <c r="H3" s="1151"/>
      <c r="I3" s="1151"/>
      <c r="J3" s="1151"/>
      <c r="K3" s="1151"/>
      <c r="L3" s="1152"/>
      <c r="M3" s="1153"/>
      <c r="N3" s="1153"/>
      <c r="O3" s="1153"/>
      <c r="P3" s="1275"/>
      <c r="Q3" s="285"/>
      <c r="R3" s="286"/>
      <c r="S3" s="1281" t="e">
        <f>INDEX(PT_DIFFERENTIATION_NUM_TER,MATCH(B3,PT_DIFFERENTIATION_TER_ID,0))</f>
        <v>#N/A</v>
      </c>
      <c r="T3" s="242" t="s">
        <v>481</v>
      </c>
      <c r="U3" s="234"/>
      <c r="V3" s="2389"/>
      <c r="W3" s="2390"/>
      <c r="X3" s="2390"/>
      <c r="Y3" s="2390"/>
      <c r="Z3" s="2390"/>
      <c r="AA3" s="2390"/>
      <c r="AB3" s="2391"/>
      <c r="AC3" s="2389" t="e">
        <f>INDEX(PT_DIFFERENTIATION_TER,MATCH(B3,PT_DIFFERENTIATION_TER_ID,0))</f>
        <v>#N/A</v>
      </c>
      <c r="AD3" s="2390"/>
      <c r="AE3" s="2390"/>
      <c r="AF3" s="2390"/>
      <c r="AG3" s="2390"/>
      <c r="AH3" s="2390"/>
      <c r="AI3" s="2390"/>
      <c r="AJ3" s="2391"/>
      <c r="AK3" s="1046" t="s">
        <v>482</v>
      </c>
      <c r="AM3" s="433"/>
      <c r="AN3" s="433" t="str">
        <f t="shared" si="0"/>
        <v>Территория действия тарифа</v>
      </c>
      <c r="AO3" s="433"/>
      <c r="AP3" s="433"/>
      <c r="AQ3" s="956">
        <v>0</v>
      </c>
    </row>
    <row r="4" spans="1:43" ht="23.25" hidden="1" customHeight="1">
      <c r="A4" s="1151"/>
      <c r="B4" s="1151"/>
      <c r="C4" s="1151"/>
      <c r="D4" s="1151"/>
      <c r="E4" s="2396"/>
      <c r="F4" s="2396"/>
      <c r="G4" s="2395">
        <v>1</v>
      </c>
      <c r="H4" s="1151"/>
      <c r="I4" s="1151"/>
      <c r="J4" s="1151"/>
      <c r="K4" s="1151"/>
      <c r="L4" s="1152"/>
      <c r="M4" s="1153"/>
      <c r="N4" s="1153"/>
      <c r="O4" s="1153"/>
      <c r="P4" s="287"/>
      <c r="Q4" s="285"/>
      <c r="R4" s="286"/>
      <c r="S4" s="1281" t="e">
        <f>INDEX(PT_DIFFERENTIATION_NUM_CS,MATCH(C4,PT_DIFFERENTIATION_CS_ID,0))</f>
        <v>#N/A</v>
      </c>
      <c r="T4" s="243" t="s">
        <v>600</v>
      </c>
      <c r="U4" s="234"/>
      <c r="V4" s="2389"/>
      <c r="W4" s="2390"/>
      <c r="X4" s="2390"/>
      <c r="Y4" s="2390"/>
      <c r="Z4" s="2390"/>
      <c r="AA4" s="2390"/>
      <c r="AB4" s="2391"/>
      <c r="AC4" s="2389" t="e">
        <f>INDEX(PT_DIFFERENTIATION_CS,MATCH(C4,PT_DIFFERENTIATION_CS_ID,0))</f>
        <v>#N/A</v>
      </c>
      <c r="AD4" s="2390"/>
      <c r="AE4" s="2390"/>
      <c r="AF4" s="2390"/>
      <c r="AG4" s="2390"/>
      <c r="AH4" s="2390"/>
      <c r="AI4" s="2390"/>
      <c r="AJ4" s="2391"/>
      <c r="AK4" s="1046" t="s">
        <v>601</v>
      </c>
      <c r="AM4" s="433"/>
      <c r="AN4" s="433" t="str">
        <f t="shared" si="0"/>
        <v>Наименование централизованной системы водоотведения</v>
      </c>
      <c r="AO4" s="433"/>
      <c r="AP4" s="433"/>
      <c r="AQ4" s="956">
        <v>0</v>
      </c>
    </row>
    <row r="5" spans="1:43" ht="23.25" hidden="1" customHeight="1">
      <c r="A5" s="1151"/>
      <c r="B5" s="1151"/>
      <c r="C5" s="1151"/>
      <c r="D5" s="1151"/>
      <c r="E5" s="2396"/>
      <c r="F5" s="2396"/>
      <c r="G5" s="2396"/>
      <c r="H5" s="2396"/>
      <c r="I5" s="2397" t="e">
        <f>S4&amp;".1"</f>
        <v>#N/A</v>
      </c>
      <c r="J5" s="1151"/>
      <c r="K5" s="1151"/>
      <c r="L5" s="1152"/>
      <c r="P5" s="2399">
        <v>1</v>
      </c>
      <c r="Q5" s="1269"/>
      <c r="R5" s="289"/>
      <c r="S5" s="1281" t="e">
        <f>$I5</f>
        <v>#N/A</v>
      </c>
      <c r="T5" s="219" t="s">
        <v>567</v>
      </c>
      <c r="U5" s="234"/>
      <c r="V5" s="2463"/>
      <c r="W5" s="2464"/>
      <c r="X5" s="2464"/>
      <c r="Y5" s="2464"/>
      <c r="Z5" s="2464"/>
      <c r="AA5" s="2464"/>
      <c r="AB5" s="2465"/>
      <c r="AC5" s="2466"/>
      <c r="AD5" s="2467"/>
      <c r="AE5" s="2467"/>
      <c r="AF5" s="2467"/>
      <c r="AG5" s="2467"/>
      <c r="AH5" s="2467"/>
      <c r="AI5" s="2467"/>
      <c r="AJ5" s="2468"/>
      <c r="AK5" s="1046" t="s">
        <v>568</v>
      </c>
      <c r="AM5" s="433"/>
      <c r="AN5" s="433" t="str">
        <f t="shared" si="0"/>
        <v>Наименование признака дифференциации</v>
      </c>
      <c r="AO5" s="433"/>
      <c r="AP5" s="433"/>
      <c r="AQ5" s="956">
        <v>0</v>
      </c>
    </row>
    <row r="6" spans="1:43" ht="23.25" hidden="1" customHeight="1">
      <c r="A6" s="1151"/>
      <c r="B6" s="1151"/>
      <c r="C6" s="1151"/>
      <c r="D6" s="1151"/>
      <c r="E6" s="2396"/>
      <c r="F6" s="2396"/>
      <c r="G6" s="2396"/>
      <c r="H6" s="2396"/>
      <c r="I6" s="2398"/>
      <c r="J6" s="2397" t="e">
        <f>I5&amp;".1"</f>
        <v>#N/A</v>
      </c>
      <c r="K6" s="1151"/>
      <c r="L6" s="1152" t="s">
        <v>490</v>
      </c>
      <c r="P6" s="2399"/>
      <c r="Q6" s="2399">
        <v>1</v>
      </c>
      <c r="R6" s="290"/>
      <c r="S6" s="1281" t="e">
        <f>$J6</f>
        <v>#N/A</v>
      </c>
      <c r="T6" s="220" t="s">
        <v>491</v>
      </c>
      <c r="U6" s="234"/>
      <c r="V6" s="2383"/>
      <c r="W6" s="2384"/>
      <c r="X6" s="2384"/>
      <c r="Y6" s="2384"/>
      <c r="Z6" s="2384"/>
      <c r="AA6" s="2384"/>
      <c r="AB6" s="2385"/>
      <c r="AC6" s="2383"/>
      <c r="AD6" s="2384"/>
      <c r="AE6" s="2384"/>
      <c r="AF6" s="2384"/>
      <c r="AG6" s="2384"/>
      <c r="AH6" s="2384"/>
      <c r="AI6" s="2384"/>
      <c r="AJ6" s="2385"/>
      <c r="AK6" s="1095" t="s">
        <v>569</v>
      </c>
      <c r="AM6" s="433"/>
      <c r="AN6" s="433" t="str">
        <f t="shared" si="0"/>
        <v>Группа потребителей</v>
      </c>
      <c r="AO6" s="433"/>
      <c r="AP6" s="433"/>
      <c r="AQ6" s="956">
        <v>0</v>
      </c>
    </row>
    <row r="7" spans="1:43" ht="23.25" hidden="1" customHeight="1">
      <c r="A7" s="1151"/>
      <c r="B7" s="1151"/>
      <c r="C7" s="1151"/>
      <c r="D7" s="1151"/>
      <c r="E7" s="2396"/>
      <c r="F7" s="2396"/>
      <c r="G7" s="2396"/>
      <c r="H7" s="2396"/>
      <c r="I7" s="2398"/>
      <c r="J7" s="2398"/>
      <c r="K7" s="2397" t="e">
        <f>J6&amp;".1"</f>
        <v>#N/A</v>
      </c>
      <c r="L7" s="1152"/>
      <c r="P7" s="2399"/>
      <c r="Q7" s="2399"/>
      <c r="R7" s="290">
        <v>1</v>
      </c>
      <c r="S7" s="1281" t="e">
        <f>$K7</f>
        <v>#N/A</v>
      </c>
      <c r="T7" s="1225"/>
      <c r="U7" s="234"/>
      <c r="V7" s="658"/>
      <c r="W7" s="658"/>
      <c r="X7" s="1045"/>
      <c r="Y7" s="2400"/>
      <c r="Z7" s="2276" t="s">
        <v>52</v>
      </c>
      <c r="AA7" s="2400"/>
      <c r="AB7" s="2276" t="s">
        <v>52</v>
      </c>
      <c r="AC7" s="658"/>
      <c r="AD7" s="658"/>
      <c r="AE7" s="1045"/>
      <c r="AF7" s="2400"/>
      <c r="AG7" s="2276" t="s">
        <v>52</v>
      </c>
      <c r="AH7" s="2402"/>
      <c r="AI7" s="2276" t="s">
        <v>52</v>
      </c>
      <c r="AJ7" s="1226"/>
      <c r="AK7" s="24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956">
        <v>0</v>
      </c>
    </row>
    <row r="8" spans="1:43" ht="14.25" hidden="1" customHeight="1">
      <c r="A8" s="1151"/>
      <c r="B8" s="1151"/>
      <c r="C8" s="1151"/>
      <c r="D8" s="1151"/>
      <c r="E8" s="2396"/>
      <c r="F8" s="2396"/>
      <c r="G8" s="2396"/>
      <c r="H8" s="2396"/>
      <c r="I8" s="2398"/>
      <c r="J8" s="2398"/>
      <c r="K8" s="2397"/>
      <c r="L8" s="1152"/>
      <c r="P8" s="2399"/>
      <c r="Q8" s="2399"/>
      <c r="R8" s="290"/>
      <c r="S8" s="1278"/>
      <c r="T8" s="234"/>
      <c r="U8" s="234"/>
      <c r="V8" s="259"/>
      <c r="W8" s="259"/>
      <c r="X8" s="262" t="str">
        <f>Y7&amp;"-"&amp;AA7</f>
        <v>-</v>
      </c>
      <c r="Y8" s="2401"/>
      <c r="Z8" s="2276"/>
      <c r="AA8" s="2401"/>
      <c r="AB8" s="2276"/>
      <c r="AC8" s="259"/>
      <c r="AD8" s="259"/>
      <c r="AE8" s="262" t="str">
        <f>AF7&amp;"-"&amp;AH7</f>
        <v>-</v>
      </c>
      <c r="AF8" s="2401"/>
      <c r="AG8" s="2276"/>
      <c r="AH8" s="2403"/>
      <c r="AI8" s="2276"/>
      <c r="AJ8" s="1227"/>
      <c r="AK8" s="2469"/>
      <c r="AM8" s="433"/>
      <c r="AN8" s="433" t="str">
        <f t="shared" si="0"/>
        <v/>
      </c>
      <c r="AO8" s="433"/>
      <c r="AP8" s="433"/>
      <c r="AQ8" s="956">
        <v>0</v>
      </c>
    </row>
    <row r="9" spans="1:43" ht="21" hidden="1" customHeight="1">
      <c r="A9" s="1151"/>
      <c r="B9" s="1151"/>
      <c r="C9" s="1151"/>
      <c r="D9" s="1151"/>
      <c r="E9" s="2396"/>
      <c r="F9" s="2396"/>
      <c r="G9" s="2396"/>
      <c r="H9" s="2396"/>
      <c r="I9" s="2398"/>
      <c r="J9" s="2397"/>
      <c r="K9" s="1151"/>
      <c r="L9" s="1152"/>
      <c r="P9" s="2399"/>
      <c r="Q9" s="2399"/>
      <c r="R9" s="289"/>
      <c r="S9" s="1066"/>
      <c r="T9" s="221" t="s">
        <v>570</v>
      </c>
      <c r="U9" s="300"/>
      <c r="V9" s="300"/>
      <c r="W9" s="300"/>
      <c r="X9" s="300"/>
      <c r="Y9" s="300"/>
      <c r="Z9" s="300"/>
      <c r="AA9" s="300"/>
      <c r="AB9" s="300"/>
      <c r="AC9" s="300"/>
      <c r="AD9" s="300"/>
      <c r="AE9" s="300"/>
      <c r="AF9" s="300"/>
      <c r="AG9" s="300"/>
      <c r="AH9" s="300"/>
      <c r="AI9" s="300"/>
      <c r="AJ9" s="300"/>
      <c r="AK9" s="1046" t="s">
        <v>571</v>
      </c>
      <c r="AM9" s="433"/>
      <c r="AN9" s="433" t="str">
        <f t="shared" si="0"/>
        <v>Добавить значение признака дифференциации</v>
      </c>
      <c r="AO9" s="433"/>
      <c r="AP9" s="433"/>
      <c r="AQ9" s="956">
        <v>0</v>
      </c>
    </row>
    <row r="10" spans="1:43" ht="21" hidden="1" customHeight="1">
      <c r="A10" s="1151"/>
      <c r="B10" s="1151"/>
      <c r="C10" s="1151"/>
      <c r="D10" s="1151"/>
      <c r="E10" s="2396"/>
      <c r="F10" s="2396"/>
      <c r="G10" s="2396"/>
      <c r="H10" s="2396"/>
      <c r="I10" s="2397"/>
      <c r="J10" s="1151"/>
      <c r="K10" s="1151"/>
      <c r="L10" s="1152"/>
      <c r="P10" s="2399"/>
      <c r="Q10" s="1269"/>
      <c r="R10" s="289"/>
      <c r="S10" s="1066"/>
      <c r="T10" s="298" t="s">
        <v>496</v>
      </c>
      <c r="U10" s="300"/>
      <c r="V10" s="300"/>
      <c r="W10" s="300"/>
      <c r="X10" s="300"/>
      <c r="Y10" s="300"/>
      <c r="Z10" s="300"/>
      <c r="AA10" s="300"/>
      <c r="AB10" s="299"/>
      <c r="AC10" s="300"/>
      <c r="AD10" s="300"/>
      <c r="AE10" s="300"/>
      <c r="AF10" s="300"/>
      <c r="AG10" s="300"/>
      <c r="AH10" s="300"/>
      <c r="AI10" s="299"/>
      <c r="AJ10" s="300"/>
      <c r="AK10" s="1228"/>
      <c r="AM10" s="433"/>
      <c r="AN10" s="433" t="str">
        <f t="shared" si="0"/>
        <v>Добавить группу потребителей</v>
      </c>
      <c r="AO10" s="433"/>
      <c r="AP10" s="433"/>
      <c r="AQ10" s="956">
        <v>0</v>
      </c>
    </row>
    <row r="11" spans="1:43" ht="21" hidden="1" customHeight="1">
      <c r="A11" s="1151"/>
      <c r="B11" s="1151"/>
      <c r="C11" s="1151"/>
      <c r="D11" s="1151"/>
      <c r="E11" s="2396"/>
      <c r="F11" s="2396"/>
      <c r="G11" s="2396"/>
      <c r="H11" s="2395"/>
      <c r="I11" s="1151"/>
      <c r="J11" s="1151"/>
      <c r="K11" s="1151"/>
      <c r="L11" s="1152"/>
      <c r="M11" s="1153"/>
      <c r="N11" s="1153"/>
      <c r="O11" s="469"/>
      <c r="P11" s="293"/>
      <c r="Q11" s="308"/>
      <c r="R11" s="288"/>
      <c r="S11" s="1066"/>
      <c r="T11" s="305" t="s">
        <v>572</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956">
        <v>0</v>
      </c>
    </row>
    <row r="12" spans="1:43" s="1430" customFormat="1" ht="14.25" hidden="1" customHeight="1">
      <c r="A12" s="1131"/>
      <c r="B12" s="1131"/>
      <c r="C12" s="1102"/>
      <c r="D12" s="1102"/>
      <c r="E12" s="2396"/>
      <c r="F12" s="2395"/>
      <c r="G12" s="1102"/>
      <c r="H12" s="1102"/>
      <c r="I12" s="1102"/>
      <c r="J12" s="1102"/>
      <c r="K12" s="1102"/>
      <c r="L12" s="1282"/>
      <c r="M12" s="1109"/>
      <c r="N12" s="1109"/>
      <c r="P12" s="1104"/>
      <c r="Q12" s="1105"/>
      <c r="R12" s="1104"/>
      <c r="S12" s="1110"/>
      <c r="T12" s="1113" t="s">
        <v>499</v>
      </c>
      <c r="U12" s="1112"/>
      <c r="V12" s="1112"/>
      <c r="W12" s="1112"/>
      <c r="X12" s="1112"/>
      <c r="Y12" s="1112"/>
      <c r="Z12" s="1112"/>
      <c r="AA12" s="1112"/>
      <c r="AB12" s="1112"/>
      <c r="AC12" s="1112"/>
      <c r="AD12" s="1112"/>
      <c r="AE12" s="1112"/>
      <c r="AF12" s="1112"/>
      <c r="AG12" s="1112"/>
      <c r="AH12" s="1112"/>
      <c r="AI12" s="1112"/>
      <c r="AJ12" s="1112"/>
      <c r="AK12" s="1112"/>
      <c r="AM12" s="688"/>
      <c r="AN12" s="688" t="str">
        <f t="shared" si="0"/>
        <v>Добавить централизованную систему для дифференциации</v>
      </c>
      <c r="AO12" s="688"/>
      <c r="AP12" s="688"/>
      <c r="AQ12" s="451">
        <v>0</v>
      </c>
    </row>
    <row r="13" spans="1:43" s="1430" customFormat="1" ht="14.25" hidden="1" customHeight="1">
      <c r="A13" s="1131"/>
      <c r="B13" s="1131"/>
      <c r="C13" s="1131"/>
      <c r="D13" s="1131"/>
      <c r="E13" s="2395"/>
      <c r="F13" s="1131"/>
      <c r="G13" s="1131"/>
      <c r="H13" s="1131"/>
      <c r="I13" s="1131"/>
      <c r="J13" s="1131"/>
      <c r="K13" s="1131"/>
      <c r="L13" s="1134"/>
      <c r="M13" s="1109"/>
      <c r="N13" s="1109"/>
      <c r="O13" s="451"/>
      <c r="P13" s="313"/>
      <c r="Q13" s="1132"/>
      <c r="R13" s="313"/>
      <c r="S13" s="1110"/>
      <c r="T13" s="1113" t="s">
        <v>500</v>
      </c>
      <c r="U13" s="1112"/>
      <c r="V13" s="1112"/>
      <c r="W13" s="1112"/>
      <c r="X13" s="1112"/>
      <c r="Y13" s="1112"/>
      <c r="Z13" s="1112"/>
      <c r="AA13" s="1112"/>
      <c r="AB13" s="1112"/>
      <c r="AC13" s="1112"/>
      <c r="AD13" s="1112"/>
      <c r="AE13" s="1112"/>
      <c r="AF13" s="1112"/>
      <c r="AG13" s="1112"/>
      <c r="AH13" s="1112"/>
      <c r="AI13" s="1112"/>
      <c r="AJ13" s="1112"/>
      <c r="AK13" s="1112"/>
      <c r="AM13" s="433"/>
      <c r="AN13" s="433" t="str">
        <f t="shared" si="0"/>
        <v>Добавить территорию для дифференциации</v>
      </c>
      <c r="AO13" s="433"/>
      <c r="AP13" s="433"/>
      <c r="AQ13" s="444">
        <v>0</v>
      </c>
    </row>
    <row r="14" spans="1:43" ht="14.25" hidden="1" customHeight="1">
      <c r="AB14" s="261"/>
      <c r="AI14" s="261"/>
      <c r="AQ14" s="956">
        <v>0</v>
      </c>
    </row>
    <row r="15" spans="1:43" ht="14.25" hidden="1" customHeight="1">
      <c r="AC15" s="1148"/>
      <c r="AD15" s="1148"/>
      <c r="AE15" s="1149"/>
      <c r="AF15" s="2393"/>
      <c r="AG15" s="2392" t="s">
        <v>52</v>
      </c>
      <c r="AH15" s="2393"/>
      <c r="AI15" s="2392" t="s">
        <v>52</v>
      </c>
      <c r="AQ15" s="956">
        <v>0</v>
      </c>
    </row>
    <row r="16" spans="1:43" ht="14.25" hidden="1" customHeight="1">
      <c r="AC16" s="1148"/>
      <c r="AD16" s="1148"/>
      <c r="AE16" s="262" t="str">
        <f>AF15&amp;"-"&amp;AH15</f>
        <v>-</v>
      </c>
      <c r="AF16" s="2392"/>
      <c r="AG16" s="2392"/>
      <c r="AH16" s="2392"/>
      <c r="AI16" s="2392"/>
      <c r="AQ16" s="956">
        <v>0</v>
      </c>
    </row>
    <row r="17" spans="1:43" ht="14.25" hidden="1" customHeight="1">
      <c r="AI17" s="261"/>
      <c r="AQ17" s="956">
        <v>0</v>
      </c>
    </row>
    <row r="18" spans="1:43" s="1154" customFormat="1" ht="22.5" hidden="1" customHeight="1">
      <c r="L18" s="1266"/>
      <c r="M18" s="1150"/>
      <c r="N18" s="1150"/>
      <c r="O18" s="1155" t="s">
        <v>501</v>
      </c>
      <c r="P18" s="1150"/>
      <c r="Q18" s="1159"/>
      <c r="R18" s="1159"/>
      <c r="S18" s="640"/>
      <c r="Y18" s="1155"/>
      <c r="AA18" s="1155"/>
      <c r="AF18" s="1155"/>
      <c r="AH18" s="1155"/>
      <c r="AL18" s="444"/>
      <c r="AM18" s="444"/>
      <c r="AN18" s="444"/>
      <c r="AO18" s="444"/>
      <c r="AP18" s="444"/>
      <c r="AQ18" s="961">
        <v>0</v>
      </c>
    </row>
    <row r="19" spans="1:43" s="1154" customFormat="1" ht="14.25" hidden="1" customHeight="1">
      <c r="L19" s="1266"/>
      <c r="M19" s="1150"/>
      <c r="N19" s="1150"/>
      <c r="O19" s="1150"/>
      <c r="P19" s="1150"/>
      <c r="Q19" s="1159"/>
      <c r="R19" s="1159"/>
      <c r="S19" s="640"/>
      <c r="AL19" s="444"/>
      <c r="AM19" s="444"/>
      <c r="AN19" s="444"/>
      <c r="AO19" s="444"/>
      <c r="AP19" s="444"/>
      <c r="AQ19" s="961">
        <v>0</v>
      </c>
    </row>
    <row r="20" spans="1:43" s="1154" customFormat="1" ht="12" hidden="1" customHeight="1">
      <c r="L20" s="1266"/>
      <c r="M20" s="1150"/>
      <c r="N20" s="1150"/>
      <c r="O20" s="1152" t="s">
        <v>502</v>
      </c>
      <c r="P20" s="1150"/>
      <c r="Q20" s="1230"/>
      <c r="R20" s="1230"/>
      <c r="S20" s="640"/>
      <c r="T20" s="961" t="s">
        <v>503</v>
      </c>
      <c r="Z20" s="120" t="s">
        <v>504</v>
      </c>
      <c r="AB20" s="120" t="s">
        <v>505</v>
      </c>
      <c r="AC20" s="961" t="s">
        <v>503</v>
      </c>
      <c r="AG20" s="120" t="s">
        <v>506</v>
      </c>
      <c r="AI20" s="120" t="s">
        <v>505</v>
      </c>
      <c r="AQ20" s="961">
        <v>0</v>
      </c>
    </row>
    <row r="21" spans="1:43" ht="14.25" hidden="1" customHeight="1">
      <c r="O21" s="1152"/>
      <c r="AQ21" s="956">
        <v>0</v>
      </c>
    </row>
    <row r="22" spans="1:43" ht="14.25" hidden="1" customHeight="1">
      <c r="O22" s="1152"/>
      <c r="AQ22" s="956">
        <v>0</v>
      </c>
    </row>
    <row r="23" spans="1:43" ht="14.65" customHeight="1">
      <c r="Q23" s="309"/>
      <c r="R23" s="309"/>
      <c r="S23" s="1063"/>
      <c r="T23" s="296"/>
      <c r="U23" s="296"/>
      <c r="V23" s="442"/>
      <c r="W23" s="442"/>
      <c r="X23" s="442"/>
      <c r="Y23" s="442"/>
      <c r="Z23" s="442"/>
      <c r="AA23" s="442"/>
      <c r="AB23" s="442"/>
      <c r="AC23" s="442"/>
      <c r="AD23" s="442"/>
      <c r="AE23" s="442"/>
      <c r="AF23" s="442"/>
      <c r="AG23" s="442"/>
      <c r="AH23" s="442"/>
      <c r="AI23" s="442"/>
      <c r="AQ23" s="956">
        <v>14</v>
      </c>
    </row>
    <row r="24" spans="1:43" ht="14.65" customHeight="1">
      <c r="Q24" s="309"/>
      <c r="R24" s="309"/>
      <c r="S24" s="237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76"/>
      <c r="U24" s="2376"/>
      <c r="V24" s="2376"/>
      <c r="W24" s="2376"/>
      <c r="X24" s="2376"/>
      <c r="Y24" s="2376"/>
      <c r="Z24" s="2376"/>
      <c r="AA24" s="2376"/>
      <c r="AB24" s="2376"/>
      <c r="AC24" s="2376"/>
      <c r="AD24" s="2376"/>
      <c r="AE24" s="2376"/>
      <c r="AF24" s="2376"/>
      <c r="AG24" s="2376"/>
      <c r="AH24" s="2376"/>
      <c r="AI24" s="1031"/>
      <c r="AQ24" s="956">
        <v>14</v>
      </c>
    </row>
    <row r="25" spans="1:43" ht="14.65" customHeight="1">
      <c r="Q25" s="309"/>
      <c r="R25" s="309"/>
      <c r="S25" s="2349" t="str">
        <f>IF(org=0,"Не определено",org)</f>
        <v>ООО "Смоленскрегионтеплоэнерго"</v>
      </c>
      <c r="T25" s="2349"/>
      <c r="U25" s="2349"/>
      <c r="V25" s="2349"/>
      <c r="W25" s="2349"/>
      <c r="X25" s="2349"/>
      <c r="Y25" s="2349"/>
      <c r="Z25" s="2349"/>
      <c r="AA25" s="2349"/>
      <c r="AB25" s="2349"/>
      <c r="AC25" s="2349"/>
      <c r="AD25" s="2349"/>
      <c r="AE25" s="2349"/>
      <c r="AF25" s="2349"/>
      <c r="AG25" s="2349"/>
      <c r="AH25" s="2349"/>
      <c r="AI25" s="1031"/>
      <c r="AQ25" s="956">
        <v>14</v>
      </c>
    </row>
    <row r="26" spans="1:43" ht="14.25" hidden="1" customHeight="1">
      <c r="Q26" s="309"/>
      <c r="R26" s="309"/>
      <c r="S26" s="1063"/>
      <c r="T26" s="296"/>
      <c r="U26" s="296"/>
      <c r="V26" s="256"/>
      <c r="W26" s="256"/>
      <c r="X26" s="256"/>
      <c r="Y26" s="256"/>
      <c r="Z26" s="256"/>
      <c r="AA26" s="256"/>
      <c r="AB26" s="256"/>
      <c r="AC26" s="256"/>
      <c r="AD26" s="256"/>
      <c r="AE26" s="256"/>
      <c r="AF26" s="256"/>
      <c r="AG26" s="256"/>
      <c r="AH26" s="256"/>
      <c r="AI26" s="256"/>
      <c r="AJ26" s="442"/>
      <c r="AQ26" s="956">
        <v>0</v>
      </c>
    </row>
    <row r="27" spans="1:43" s="1609" customFormat="1" ht="25.5" hidden="1" customHeight="1">
      <c r="A27" s="1156"/>
      <c r="B27" s="1156"/>
      <c r="C27" s="1156"/>
      <c r="D27" s="1156"/>
      <c r="E27" s="1156"/>
      <c r="F27" s="1156"/>
      <c r="G27" s="1156"/>
      <c r="H27" s="1156"/>
      <c r="I27" s="1156"/>
      <c r="J27" s="1156"/>
      <c r="K27" s="1156"/>
      <c r="L27" s="1157"/>
      <c r="M27" s="1156"/>
      <c r="N27" s="1156"/>
      <c r="O27" s="1156"/>
      <c r="S27" s="2386" t="s">
        <v>28</v>
      </c>
      <c r="T27" s="2386"/>
      <c r="U27" s="1160"/>
      <c r="V27" s="2388" t="str">
        <f>IF(TITLE_NAME_OR_PR_CHANGE="",IF(TITLE_NAME_OR_PR="","",TITLE_NAME_OR_PR),TITLE_NAME_OR_PR_CHANGE)</f>
        <v/>
      </c>
      <c r="W27" s="2388"/>
      <c r="X27" s="2388"/>
      <c r="Y27" s="2388"/>
      <c r="Z27" s="2388"/>
      <c r="AA27" s="2388"/>
      <c r="AB27" s="260"/>
      <c r="AC27" s="2388" t="str">
        <f>IF(TITLE_NAME_OR_PR_CHANGE="",IF(TITLE_NAME_OR_PR="","",TITLE_NAME_OR_PR),TITLE_NAME_OR_PR_CHANGE)</f>
        <v/>
      </c>
      <c r="AD27" s="2388"/>
      <c r="AE27" s="2388"/>
      <c r="AF27" s="2388"/>
      <c r="AG27" s="2388"/>
      <c r="AH27" s="2388"/>
      <c r="AI27" s="260"/>
      <c r="AJ27" s="260"/>
      <c r="AK27" s="214"/>
      <c r="AL27" s="301"/>
      <c r="AM27" s="301"/>
      <c r="AN27" s="301"/>
      <c r="AO27" s="301"/>
      <c r="AP27" s="301"/>
      <c r="AQ27" s="351">
        <v>0</v>
      </c>
    </row>
    <row r="28" spans="1:43" s="1609" customFormat="1" ht="18.75" hidden="1" customHeight="1">
      <c r="A28" s="1156"/>
      <c r="B28" s="1156"/>
      <c r="C28" s="1156"/>
      <c r="D28" s="1156"/>
      <c r="E28" s="1156"/>
      <c r="F28" s="1156"/>
      <c r="G28" s="1156"/>
      <c r="H28" s="1156"/>
      <c r="I28" s="1156"/>
      <c r="J28" s="1156"/>
      <c r="K28" s="1156"/>
      <c r="L28" s="1157"/>
      <c r="M28" s="1156"/>
      <c r="N28" s="1156"/>
      <c r="O28" s="1156"/>
      <c r="S28" s="2386" t="s">
        <v>507</v>
      </c>
      <c r="T28" s="2386"/>
      <c r="U28" s="1160"/>
      <c r="V28" s="2387" t="str">
        <f>IF(TITLE_DATE_PR_CHANGE="",IF(TITLE_DATE_PR="","",TITLE_DATE_PR),TITLE_DATE_PR_CHANGE)</f>
        <v/>
      </c>
      <c r="W28" s="2387"/>
      <c r="X28" s="2387"/>
      <c r="Y28" s="2387"/>
      <c r="Z28" s="2387"/>
      <c r="AA28" s="2387"/>
      <c r="AB28" s="260"/>
      <c r="AC28" s="2387" t="str">
        <f>IF(TITLE_DATE_PR_CHANGE="",IF(TITLE_DATE_PR="","",TITLE_DATE_PR),TITLE_DATE_PR_CHANGE)</f>
        <v/>
      </c>
      <c r="AD28" s="2387"/>
      <c r="AE28" s="2387"/>
      <c r="AF28" s="2387"/>
      <c r="AG28" s="2387"/>
      <c r="AH28" s="2387"/>
      <c r="AI28" s="260"/>
      <c r="AJ28" s="260"/>
      <c r="AK28" s="214"/>
      <c r="AL28" s="301"/>
      <c r="AM28" s="301"/>
      <c r="AN28" s="301"/>
      <c r="AO28" s="301"/>
      <c r="AP28" s="301"/>
      <c r="AQ28" s="351">
        <v>0</v>
      </c>
    </row>
    <row r="29" spans="1:43" s="1609" customFormat="1" ht="18.75" hidden="1" customHeight="1">
      <c r="A29" s="1156"/>
      <c r="B29" s="1156"/>
      <c r="C29" s="1156"/>
      <c r="D29" s="1156"/>
      <c r="E29" s="1156"/>
      <c r="F29" s="1156"/>
      <c r="G29" s="1156"/>
      <c r="H29" s="1156"/>
      <c r="I29" s="1156"/>
      <c r="J29" s="1156"/>
      <c r="K29" s="1156"/>
      <c r="L29" s="1157"/>
      <c r="M29" s="1156"/>
      <c r="N29" s="1156"/>
      <c r="O29" s="1156"/>
      <c r="S29" s="2386" t="s">
        <v>508</v>
      </c>
      <c r="T29" s="2386"/>
      <c r="U29" s="1160"/>
      <c r="V29" s="2388" t="str">
        <f>IF(TITLE_NUMBER_PR_CHANGE="",IF(TITLE_NUMBER_PR="","",TITLE_NUMBER_PR),TITLE_NUMBER_PR_CHANGE)</f>
        <v/>
      </c>
      <c r="W29" s="2388"/>
      <c r="X29" s="2388"/>
      <c r="Y29" s="2388"/>
      <c r="Z29" s="2388"/>
      <c r="AA29" s="2388"/>
      <c r="AB29" s="260"/>
      <c r="AC29" s="2388" t="str">
        <f>IF(TITLE_NUMBER_PR_CHANGE="",IF(TITLE_NUMBER_PR="","",TITLE_NUMBER_PR),TITLE_NUMBER_PR_CHANGE)</f>
        <v/>
      </c>
      <c r="AD29" s="2388"/>
      <c r="AE29" s="2388"/>
      <c r="AF29" s="2388"/>
      <c r="AG29" s="2388"/>
      <c r="AH29" s="2388"/>
      <c r="AI29" s="260"/>
      <c r="AJ29" s="260"/>
      <c r="AK29" s="214"/>
      <c r="AL29" s="301"/>
      <c r="AM29" s="301"/>
      <c r="AN29" s="301"/>
      <c r="AO29" s="301"/>
      <c r="AP29" s="301"/>
      <c r="AQ29" s="351">
        <v>0</v>
      </c>
    </row>
    <row r="30" spans="1:43" s="1609" customFormat="1" ht="18.75" hidden="1" customHeight="1">
      <c r="A30" s="1156"/>
      <c r="B30" s="1156"/>
      <c r="C30" s="1156"/>
      <c r="D30" s="1156"/>
      <c r="E30" s="1156"/>
      <c r="F30" s="1156"/>
      <c r="G30" s="1156"/>
      <c r="H30" s="1156"/>
      <c r="I30" s="1156"/>
      <c r="J30" s="1156"/>
      <c r="K30" s="1156"/>
      <c r="L30" s="1157"/>
      <c r="M30" s="1156"/>
      <c r="N30" s="1156"/>
      <c r="O30" s="1156"/>
      <c r="S30" s="2386" t="s">
        <v>29</v>
      </c>
      <c r="T30" s="2386"/>
      <c r="U30" s="1160"/>
      <c r="V30" s="2388" t="str">
        <f>IF(TITLE_IST_PUB_CHANGE="",IF(TITLE_IST_PUB="","",TITLE_IST_PUB),TITLE_IST_PUB_CHANGE)</f>
        <v/>
      </c>
      <c r="W30" s="2388"/>
      <c r="X30" s="2388"/>
      <c r="Y30" s="2388"/>
      <c r="Z30" s="2388"/>
      <c r="AA30" s="2388"/>
      <c r="AB30" s="260"/>
      <c r="AC30" s="2388" t="str">
        <f>IF(TITLE_IST_PUB_CHANGE="",IF(TITLE_IST_PUB="","",TITLE_IST_PUB),TITLE_IST_PUB_CHANGE)</f>
        <v/>
      </c>
      <c r="AD30" s="2388"/>
      <c r="AE30" s="2388"/>
      <c r="AF30" s="2388"/>
      <c r="AG30" s="2388"/>
      <c r="AH30" s="2388"/>
      <c r="AI30" s="260"/>
      <c r="AJ30" s="260"/>
      <c r="AK30" s="214"/>
      <c r="AL30" s="301"/>
      <c r="AM30" s="301"/>
      <c r="AN30" s="301"/>
      <c r="AO30" s="301"/>
      <c r="AP30" s="301"/>
      <c r="AQ30" s="351">
        <v>0</v>
      </c>
    </row>
    <row r="31" spans="1:43" ht="14.25" hidden="1" customHeight="1">
      <c r="Q31" s="309"/>
      <c r="R31" s="309"/>
      <c r="S31" s="1063"/>
      <c r="T31" s="296"/>
      <c r="U31" s="296"/>
      <c r="V31" s="256"/>
      <c r="W31" s="256"/>
      <c r="X31" s="256"/>
      <c r="Y31" s="256"/>
      <c r="Z31" s="256"/>
      <c r="AA31" s="256"/>
      <c r="AB31" s="256"/>
      <c r="AC31" s="256"/>
      <c r="AD31" s="256"/>
      <c r="AE31" s="256"/>
      <c r="AF31" s="256"/>
      <c r="AG31" s="256"/>
      <c r="AH31" s="256"/>
      <c r="AI31" s="256"/>
      <c r="AJ31" s="442"/>
      <c r="AQ31" s="956">
        <v>0</v>
      </c>
    </row>
    <row r="32" spans="1:43" s="1609" customFormat="1" ht="18.75" hidden="1" customHeight="1">
      <c r="A32" s="1156"/>
      <c r="B32" s="1156"/>
      <c r="C32" s="1156"/>
      <c r="D32" s="1156"/>
      <c r="E32" s="1156"/>
      <c r="F32" s="1156"/>
      <c r="G32" s="1156"/>
      <c r="H32" s="1156"/>
      <c r="I32" s="1156"/>
      <c r="J32" s="1156"/>
      <c r="K32" s="1156"/>
      <c r="L32" s="1157"/>
      <c r="M32" s="1156"/>
      <c r="N32" s="1156"/>
      <c r="O32" s="1156"/>
      <c r="S32" s="2386" t="s">
        <v>509</v>
      </c>
      <c r="T32" s="2386"/>
      <c r="U32" s="1160"/>
      <c r="V32" s="2387" t="str">
        <f>IF(TITLE_DATE_PR_CHANGE="",IF(TITLE_DATE_PR="","",TITLE_DATE_PR),TITLE_DATE_PR_CHANGE)</f>
        <v/>
      </c>
      <c r="W32" s="2387"/>
      <c r="X32" s="2387"/>
      <c r="Y32" s="2387"/>
      <c r="Z32" s="2387"/>
      <c r="AA32" s="2387"/>
      <c r="AB32" s="260"/>
      <c r="AC32" s="2387" t="str">
        <f>IF(TITLE_DATE_PR_CHANGE="",IF(TITLE_DATE_PR="","",TITLE_DATE_PR),TITLE_DATE_PR_CHANGE)</f>
        <v/>
      </c>
      <c r="AD32" s="2387"/>
      <c r="AE32" s="2387"/>
      <c r="AF32" s="2387"/>
      <c r="AG32" s="2387"/>
      <c r="AH32" s="2387"/>
      <c r="AI32" s="260"/>
      <c r="AJ32" s="260"/>
      <c r="AK32" s="214"/>
      <c r="AL32" s="301"/>
      <c r="AM32" s="301"/>
      <c r="AN32" s="301"/>
      <c r="AO32" s="301"/>
      <c r="AP32" s="301"/>
      <c r="AQ32" s="351">
        <v>0</v>
      </c>
    </row>
    <row r="33" spans="1:43" s="1609" customFormat="1" ht="18.75" hidden="1" customHeight="1">
      <c r="A33" s="1156"/>
      <c r="B33" s="1156"/>
      <c r="C33" s="1156"/>
      <c r="D33" s="1156"/>
      <c r="E33" s="1156"/>
      <c r="F33" s="1156"/>
      <c r="G33" s="1156"/>
      <c r="H33" s="1156"/>
      <c r="I33" s="1156"/>
      <c r="J33" s="1156"/>
      <c r="K33" s="1156"/>
      <c r="L33" s="1157"/>
      <c r="M33" s="1156"/>
      <c r="N33" s="1156"/>
      <c r="O33" s="1156"/>
      <c r="S33" s="2386" t="s">
        <v>510</v>
      </c>
      <c r="T33" s="2386"/>
      <c r="U33" s="1160"/>
      <c r="V33" s="2388" t="str">
        <f>IF(TITLE_NUMBER_PR_CHANGE="",IF(TITLE_NUMBER_PR="","",TITLE_NUMBER_PR),TITLE_NUMBER_PR_CHANGE)</f>
        <v/>
      </c>
      <c r="W33" s="2388"/>
      <c r="X33" s="2388"/>
      <c r="Y33" s="2388"/>
      <c r="Z33" s="2388"/>
      <c r="AA33" s="2388"/>
      <c r="AB33" s="260"/>
      <c r="AC33" s="2388" t="str">
        <f>IF(TITLE_NUMBER_PR_CHANGE="",IF(TITLE_NUMBER_PR="","",TITLE_NUMBER_PR),TITLE_NUMBER_PR_CHANGE)</f>
        <v/>
      </c>
      <c r="AD33" s="2388"/>
      <c r="AE33" s="2388"/>
      <c r="AF33" s="2388"/>
      <c r="AG33" s="2388"/>
      <c r="AH33" s="2388"/>
      <c r="AI33" s="260"/>
      <c r="AJ33" s="260"/>
      <c r="AK33" s="214"/>
      <c r="AL33" s="301"/>
      <c r="AM33" s="301"/>
      <c r="AN33" s="301"/>
      <c r="AO33" s="301"/>
      <c r="AP33" s="301"/>
      <c r="AQ33" s="351">
        <v>0</v>
      </c>
    </row>
    <row r="34" spans="1:43" s="1609" customFormat="1" ht="1.1499999999999999" customHeight="1">
      <c r="A34" s="1156"/>
      <c r="B34" s="1156"/>
      <c r="C34" s="1156"/>
      <c r="D34" s="1156"/>
      <c r="E34" s="1156"/>
      <c r="F34" s="1156"/>
      <c r="G34" s="1156"/>
      <c r="H34" s="1156"/>
      <c r="I34" s="1156"/>
      <c r="J34" s="1156"/>
      <c r="K34" s="1156"/>
      <c r="L34" s="1157"/>
      <c r="M34" s="1156"/>
      <c r="N34" s="1156"/>
      <c r="O34" s="1156"/>
      <c r="S34" s="257"/>
      <c r="T34" s="257"/>
      <c r="U34" s="1276"/>
      <c r="V34" s="260"/>
      <c r="W34" s="260"/>
      <c r="X34" s="260"/>
      <c r="Y34" s="260"/>
      <c r="Z34" s="260"/>
      <c r="AA34" s="260"/>
      <c r="AB34" s="212" t="s">
        <v>511</v>
      </c>
      <c r="AC34" s="260"/>
      <c r="AD34" s="260"/>
      <c r="AE34" s="260"/>
      <c r="AF34" s="260"/>
      <c r="AG34" s="260"/>
      <c r="AH34" s="260"/>
      <c r="AI34" s="212" t="s">
        <v>511</v>
      </c>
      <c r="AL34" s="301"/>
      <c r="AM34" s="301"/>
      <c r="AN34" s="301"/>
      <c r="AO34" s="301"/>
      <c r="AP34" s="301"/>
      <c r="AQ34" s="351">
        <v>1</v>
      </c>
    </row>
    <row r="35" spans="1:43" ht="14.65" customHeight="1">
      <c r="Q35" s="309"/>
      <c r="R35" s="309"/>
      <c r="S35" s="1063"/>
      <c r="T35" s="296"/>
      <c r="U35" s="1032"/>
      <c r="V35" s="2407"/>
      <c r="W35" s="2407"/>
      <c r="X35" s="2407"/>
      <c r="Y35" s="2407"/>
      <c r="Z35" s="2407"/>
      <c r="AA35" s="2407"/>
      <c r="AB35" s="2407"/>
      <c r="AC35" s="2407"/>
      <c r="AD35" s="2407"/>
      <c r="AE35" s="2407"/>
      <c r="AF35" s="2407"/>
      <c r="AG35" s="2407"/>
      <c r="AH35" s="2407"/>
      <c r="AI35" s="2407"/>
      <c r="AQ35" s="956">
        <v>14</v>
      </c>
    </row>
    <row r="36" spans="1:43" ht="14.65" customHeight="1">
      <c r="Q36" s="309"/>
      <c r="R36" s="309"/>
      <c r="S36" s="2266" t="s">
        <v>384</v>
      </c>
      <c r="T36" s="2266"/>
      <c r="U36" s="2266"/>
      <c r="V36" s="2266"/>
      <c r="W36" s="2266"/>
      <c r="X36" s="2266"/>
      <c r="Y36" s="2266"/>
      <c r="Z36" s="2266"/>
      <c r="AA36" s="2266"/>
      <c r="AB36" s="2266"/>
      <c r="AC36" s="2266"/>
      <c r="AD36" s="2266"/>
      <c r="AE36" s="2266"/>
      <c r="AF36" s="2266"/>
      <c r="AG36" s="2266"/>
      <c r="AH36" s="2266"/>
      <c r="AI36" s="2266"/>
      <c r="AJ36" s="2266"/>
      <c r="AK36" s="2266" t="s">
        <v>385</v>
      </c>
      <c r="AQ36" s="956">
        <v>14</v>
      </c>
    </row>
    <row r="37" spans="1:43" ht="14.65" customHeight="1">
      <c r="Q37" s="309"/>
      <c r="R37" s="309"/>
      <c r="S37" s="2408" t="s">
        <v>75</v>
      </c>
      <c r="T37" s="2357" t="s">
        <v>512</v>
      </c>
      <c r="U37" s="235"/>
      <c r="V37" s="2409" t="s">
        <v>513</v>
      </c>
      <c r="W37" s="2410"/>
      <c r="X37" s="2410"/>
      <c r="Y37" s="2410"/>
      <c r="Z37" s="2410"/>
      <c r="AA37" s="2411"/>
      <c r="AB37" s="2412" t="s">
        <v>514</v>
      </c>
      <c r="AC37" s="2409" t="s">
        <v>513</v>
      </c>
      <c r="AD37" s="2410"/>
      <c r="AE37" s="2410"/>
      <c r="AF37" s="2410"/>
      <c r="AG37" s="2410"/>
      <c r="AH37" s="2411"/>
      <c r="AI37" s="2412" t="s">
        <v>515</v>
      </c>
      <c r="AJ37" s="2415" t="s">
        <v>516</v>
      </c>
      <c r="AK37" s="2266"/>
      <c r="AQ37" s="956">
        <v>14</v>
      </c>
    </row>
    <row r="38" spans="1:43" ht="35.65" customHeight="1">
      <c r="Q38" s="309"/>
      <c r="R38" s="309"/>
      <c r="S38" s="2408"/>
      <c r="T38" s="2357"/>
      <c r="U38" s="874"/>
      <c r="V38" s="1271" t="s">
        <v>573</v>
      </c>
      <c r="W38" s="2247" t="s">
        <v>519</v>
      </c>
      <c r="X38" s="2246"/>
      <c r="Y38" s="2247" t="s">
        <v>520</v>
      </c>
      <c r="Z38" s="2252"/>
      <c r="AA38" s="2246"/>
      <c r="AB38" s="2413"/>
      <c r="AC38" s="1271" t="s">
        <v>573</v>
      </c>
      <c r="AD38" s="2247" t="s">
        <v>519</v>
      </c>
      <c r="AE38" s="2246"/>
      <c r="AF38" s="2247" t="s">
        <v>520</v>
      </c>
      <c r="AG38" s="2252"/>
      <c r="AH38" s="2246"/>
      <c r="AI38" s="2413"/>
      <c r="AJ38" s="2416"/>
      <c r="AK38" s="2266"/>
      <c r="AQ38" s="956">
        <v>34</v>
      </c>
    </row>
    <row r="39" spans="1:43" ht="90.4" customHeight="1">
      <c r="A39" s="1158"/>
      <c r="B39" s="1158" t="s">
        <v>226</v>
      </c>
      <c r="C39" s="1158" t="s">
        <v>227</v>
      </c>
      <c r="D39" s="1158" t="s">
        <v>228</v>
      </c>
      <c r="E39" s="1152" t="s">
        <v>521</v>
      </c>
      <c r="F39" s="1152" t="s">
        <v>522</v>
      </c>
      <c r="G39" s="1152" t="s">
        <v>523</v>
      </c>
      <c r="H39" s="1152"/>
      <c r="I39" s="1152" t="s">
        <v>574</v>
      </c>
      <c r="J39" s="1152" t="s">
        <v>526</v>
      </c>
      <c r="K39" s="1152" t="s">
        <v>575</v>
      </c>
      <c r="L39" s="1152" t="s">
        <v>502</v>
      </c>
      <c r="Q39" s="309"/>
      <c r="R39" s="309"/>
      <c r="S39" s="2408"/>
      <c r="T39" s="2357"/>
      <c r="U39" s="236"/>
      <c r="V39" s="1271" t="s">
        <v>602</v>
      </c>
      <c r="W39" s="1010" t="s">
        <v>603</v>
      </c>
      <c r="X39" s="1010" t="s">
        <v>578</v>
      </c>
      <c r="Y39" s="1277" t="s">
        <v>530</v>
      </c>
      <c r="Z39" s="2362" t="s">
        <v>531</v>
      </c>
      <c r="AA39" s="2375"/>
      <c r="AB39" s="2414"/>
      <c r="AC39" s="1271" t="s">
        <v>602</v>
      </c>
      <c r="AD39" s="1010" t="s">
        <v>603</v>
      </c>
      <c r="AE39" s="1010" t="s">
        <v>578</v>
      </c>
      <c r="AF39" s="1277" t="s">
        <v>530</v>
      </c>
      <c r="AG39" s="2362" t="s">
        <v>531</v>
      </c>
      <c r="AH39" s="2375"/>
      <c r="AI39" s="2414"/>
      <c r="AJ39" s="2417"/>
      <c r="AK39" s="2266"/>
      <c r="AQ39" s="956">
        <v>86</v>
      </c>
    </row>
    <row r="40" spans="1:43" s="1429" customFormat="1" ht="0" hidden="1" customHeight="1">
      <c r="A40" s="1158"/>
      <c r="B40" s="1158"/>
      <c r="C40" s="1158"/>
      <c r="D40" s="1158"/>
      <c r="E40" s="1158"/>
      <c r="F40" s="1158"/>
      <c r="G40" s="1158"/>
      <c r="H40" s="1158"/>
      <c r="I40" s="1158"/>
      <c r="J40" s="1158"/>
      <c r="K40" s="1158"/>
      <c r="L40" s="1152"/>
      <c r="M40" s="1150"/>
      <c r="N40" s="1150"/>
      <c r="O40" s="1150"/>
      <c r="P40" s="1034"/>
      <c r="Q40" s="1035"/>
      <c r="R40" s="1042">
        <v>1</v>
      </c>
      <c r="S40" s="1065" t="s">
        <v>161</v>
      </c>
      <c r="T40" s="1043" t="s">
        <v>89</v>
      </c>
      <c r="U40" s="1033" t="str">
        <f ca="1">OFFSET(U40,0,-1)</f>
        <v>2</v>
      </c>
      <c r="V40" s="1270">
        <f ca="1">OFFSET(V40,0,-1)+1</f>
        <v>3</v>
      </c>
      <c r="W40" s="1270">
        <f ca="1">OFFSET(W40,0,-1)+1</f>
        <v>4</v>
      </c>
      <c r="X40" s="1270">
        <f ca="1">OFFSET(X40,0,-1)+1</f>
        <v>5</v>
      </c>
      <c r="Y40" s="1270">
        <f ca="1">OFFSET(Y40,0,-1)+1</f>
        <v>6</v>
      </c>
      <c r="Z40" s="2406">
        <f ca="1">OFFSET(Z40,0,-1)+1</f>
        <v>7</v>
      </c>
      <c r="AA40" s="2406"/>
      <c r="AB40" s="1270">
        <f ca="1">OFFSET(AB40,0,-2)+1</f>
        <v>8</v>
      </c>
      <c r="AC40" s="1270">
        <f ca="1">OFFSET(AC40,0,-1)+1</f>
        <v>9</v>
      </c>
      <c r="AD40" s="1270">
        <f ca="1">OFFSET(AD40,0,-1)+1</f>
        <v>10</v>
      </c>
      <c r="AE40" s="1270">
        <f ca="1">OFFSET(AE40,0,-1)+1</f>
        <v>11</v>
      </c>
      <c r="AF40" s="1270">
        <f ca="1">OFFSET(AF40,0,-1)+1</f>
        <v>12</v>
      </c>
      <c r="AG40" s="2406">
        <f ca="1">OFFSET(AG40,0,-1)+1</f>
        <v>13</v>
      </c>
      <c r="AH40" s="2406"/>
      <c r="AI40" s="1270">
        <f ca="1">OFFSET(AI40,0,-2)+1</f>
        <v>14</v>
      </c>
      <c r="AJ40" s="1033">
        <f ca="1">OFFSET(AJ40,0,-1)</f>
        <v>14</v>
      </c>
      <c r="AK40" s="1270">
        <f ca="1">OFFSET(AK40,0,-1)+1</f>
        <v>15</v>
      </c>
      <c r="AL40" s="444"/>
      <c r="AM40" s="444"/>
      <c r="AN40" s="444"/>
      <c r="AO40" s="444"/>
      <c r="AP40" s="444"/>
      <c r="AQ40" s="429">
        <v>0</v>
      </c>
    </row>
    <row r="41" spans="1:43" ht="24" customHeight="1">
      <c r="A41" s="1151" t="s">
        <v>355</v>
      </c>
      <c r="B41" s="1151"/>
      <c r="C41" s="1151"/>
      <c r="D41" s="1151"/>
      <c r="E41" s="2395">
        <v>1</v>
      </c>
      <c r="F41" s="1151"/>
      <c r="G41" s="1151"/>
      <c r="H41" s="1151"/>
      <c r="I41" s="1151"/>
      <c r="J41" s="1151"/>
      <c r="K41" s="1151"/>
      <c r="L41" s="1152"/>
      <c r="M41" s="1153"/>
      <c r="N41" s="1153"/>
      <c r="O41" s="1153"/>
      <c r="P41" s="294"/>
      <c r="Q41" s="293"/>
      <c r="R41" s="288"/>
      <c r="S41" s="1281">
        <f>INDEX(PT_DIFFERENTIATION_NUM_NTAR,MATCH(A41,PT_DIFFERENTIATION_NTAR_ID,0))</f>
        <v>0</v>
      </c>
      <c r="T41" s="232" t="s">
        <v>214</v>
      </c>
      <c r="U41" s="234"/>
      <c r="V41" s="2389"/>
      <c r="W41" s="2390"/>
      <c r="X41" s="2390"/>
      <c r="Y41" s="2390"/>
      <c r="Z41" s="2390"/>
      <c r="AA41" s="2390"/>
      <c r="AB41" s="2391"/>
      <c r="AC41" s="2389" t="str">
        <f>INDEX(PT_DIFFERENTIATION_NTAR,MATCH(A41,PT_DIFFERENTIATION_NTAR_ID,0))</f>
        <v/>
      </c>
      <c r="AD41" s="2390"/>
      <c r="AE41" s="2390"/>
      <c r="AF41" s="2390"/>
      <c r="AG41" s="2390"/>
      <c r="AH41" s="2390"/>
      <c r="AI41" s="2390"/>
      <c r="AJ41" s="2391"/>
      <c r="AK41" s="104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956">
        <v>23</v>
      </c>
    </row>
    <row r="42" spans="1:43" ht="24" customHeight="1">
      <c r="A42" s="1151" t="s">
        <v>355</v>
      </c>
      <c r="B42" s="1151" t="s">
        <v>356</v>
      </c>
      <c r="C42" s="1151"/>
      <c r="D42" s="1151"/>
      <c r="E42" s="2396"/>
      <c r="F42" s="2395">
        <v>1</v>
      </c>
      <c r="G42" s="1151"/>
      <c r="H42" s="1151"/>
      <c r="I42" s="1151"/>
      <c r="J42" s="1151"/>
      <c r="K42" s="1151"/>
      <c r="L42" s="1152"/>
      <c r="M42" s="1153"/>
      <c r="N42" s="1153"/>
      <c r="O42" s="1153"/>
      <c r="P42" s="1275"/>
      <c r="Q42" s="285"/>
      <c r="R42" s="286"/>
      <c r="S42" s="1281" t="str">
        <f>INDEX(PT_DIFFERENTIATION_NUM_TER,MATCH(B42,PT_DIFFERENTIATION_TER_ID,0))</f>
        <v>.</v>
      </c>
      <c r="T42" s="242" t="s">
        <v>481</v>
      </c>
      <c r="U42" s="234"/>
      <c r="V42" s="2389"/>
      <c r="W42" s="2390"/>
      <c r="X42" s="2390"/>
      <c r="Y42" s="2390"/>
      <c r="Z42" s="2390"/>
      <c r="AA42" s="2390"/>
      <c r="AB42" s="2391"/>
      <c r="AC42" s="2389" t="str">
        <f>INDEX(PT_DIFFERENTIATION_TER,MATCH(B42,PT_DIFFERENTIATION_TER_ID,0))</f>
        <v/>
      </c>
      <c r="AD42" s="2390"/>
      <c r="AE42" s="2390"/>
      <c r="AF42" s="2390"/>
      <c r="AG42" s="2390"/>
      <c r="AH42" s="2390"/>
      <c r="AI42" s="2390"/>
      <c r="AJ42" s="2391"/>
      <c r="AK42" s="1046" t="s">
        <v>482</v>
      </c>
      <c r="AM42" s="433"/>
      <c r="AN42" s="433" t="str">
        <f t="shared" si="1"/>
        <v>Территория действия тарифа</v>
      </c>
      <c r="AO42" s="433"/>
      <c r="AP42" s="433"/>
      <c r="AQ42" s="956">
        <v>23</v>
      </c>
    </row>
    <row r="43" spans="1:43" ht="24" customHeight="1">
      <c r="A43" s="1151" t="s">
        <v>355</v>
      </c>
      <c r="B43" s="1151" t="s">
        <v>356</v>
      </c>
      <c r="C43" s="1151" t="s">
        <v>357</v>
      </c>
      <c r="D43" s="1151"/>
      <c r="E43" s="2396"/>
      <c r="F43" s="2396"/>
      <c r="G43" s="2395">
        <v>1</v>
      </c>
      <c r="H43" s="1151"/>
      <c r="I43" s="1151"/>
      <c r="J43" s="1151"/>
      <c r="K43" s="1151"/>
      <c r="L43" s="1152"/>
      <c r="M43" s="1153"/>
      <c r="N43" s="1153"/>
      <c r="O43" s="1153"/>
      <c r="P43" s="287"/>
      <c r="Q43" s="285"/>
      <c r="R43" s="286"/>
      <c r="S43" s="1281" t="str">
        <f>INDEX(PT_DIFFERENTIATION_NUM_CS,MATCH(C43,PT_DIFFERENTIATION_CS_ID,0))</f>
        <v>..</v>
      </c>
      <c r="T43" s="243" t="s">
        <v>600</v>
      </c>
      <c r="U43" s="234"/>
      <c r="V43" s="2389"/>
      <c r="W43" s="2390"/>
      <c r="X43" s="2390"/>
      <c r="Y43" s="2390"/>
      <c r="Z43" s="2390"/>
      <c r="AA43" s="2390"/>
      <c r="AB43" s="2391"/>
      <c r="AC43" s="2389" t="str">
        <f>INDEX(PT_DIFFERENTIATION_CS,MATCH(C43,PT_DIFFERENTIATION_CS_ID,0))</f>
        <v/>
      </c>
      <c r="AD43" s="2390"/>
      <c r="AE43" s="2390"/>
      <c r="AF43" s="2390"/>
      <c r="AG43" s="2390"/>
      <c r="AH43" s="2390"/>
      <c r="AI43" s="2390"/>
      <c r="AJ43" s="2391"/>
      <c r="AK43" s="1046" t="s">
        <v>601</v>
      </c>
      <c r="AM43" s="433"/>
      <c r="AN43" s="433" t="str">
        <f t="shared" si="1"/>
        <v>Наименование централизованной системы водоотведения</v>
      </c>
      <c r="AO43" s="433"/>
      <c r="AP43" s="433"/>
      <c r="AQ43" s="956">
        <v>23</v>
      </c>
    </row>
    <row r="44" spans="1:43" ht="24" customHeight="1">
      <c r="A44" s="1151" t="s">
        <v>355</v>
      </c>
      <c r="B44" s="1151" t="s">
        <v>356</v>
      </c>
      <c r="C44" s="1151" t="s">
        <v>357</v>
      </c>
      <c r="D44" s="1151" t="s">
        <v>605</v>
      </c>
      <c r="E44" s="2396"/>
      <c r="F44" s="2396"/>
      <c r="G44" s="2396"/>
      <c r="H44" s="2396"/>
      <c r="I44" s="2397" t="str">
        <f>S43&amp;".1"</f>
        <v>...1</v>
      </c>
      <c r="J44" s="1151"/>
      <c r="K44" s="1151"/>
      <c r="L44" s="1152"/>
      <c r="P44" s="2399">
        <v>1</v>
      </c>
      <c r="Q44" s="1269"/>
      <c r="R44" s="289"/>
      <c r="S44" s="1281" t="str">
        <f>$I44</f>
        <v>...1</v>
      </c>
      <c r="T44" s="219" t="s">
        <v>567</v>
      </c>
      <c r="U44" s="234"/>
      <c r="V44" s="2463"/>
      <c r="W44" s="2464"/>
      <c r="X44" s="2464"/>
      <c r="Y44" s="2464"/>
      <c r="Z44" s="2464"/>
      <c r="AA44" s="2464"/>
      <c r="AB44" s="2465"/>
      <c r="AC44" s="2466"/>
      <c r="AD44" s="2467"/>
      <c r="AE44" s="2467"/>
      <c r="AF44" s="2467"/>
      <c r="AG44" s="2467"/>
      <c r="AH44" s="2467"/>
      <c r="AI44" s="2467"/>
      <c r="AJ44" s="2468"/>
      <c r="AK44" s="1046" t="s">
        <v>568</v>
      </c>
      <c r="AM44" s="433"/>
      <c r="AN44" s="433" t="str">
        <f t="shared" si="1"/>
        <v>Наименование признака дифференциации</v>
      </c>
      <c r="AO44" s="433"/>
      <c r="AP44" s="433"/>
      <c r="AQ44" s="956">
        <v>23</v>
      </c>
    </row>
    <row r="45" spans="1:43" ht="24" customHeight="1">
      <c r="A45" s="1151" t="s">
        <v>355</v>
      </c>
      <c r="B45" s="1151" t="s">
        <v>356</v>
      </c>
      <c r="C45" s="1151" t="s">
        <v>357</v>
      </c>
      <c r="D45" s="1151" t="s">
        <v>605</v>
      </c>
      <c r="E45" s="2396"/>
      <c r="F45" s="2396"/>
      <c r="G45" s="2396"/>
      <c r="H45" s="2396"/>
      <c r="I45" s="2398"/>
      <c r="J45" s="2397" t="str">
        <f>I44&amp;".1"</f>
        <v>...1.1</v>
      </c>
      <c r="K45" s="1151"/>
      <c r="L45" s="1152" t="s">
        <v>490</v>
      </c>
      <c r="P45" s="2399"/>
      <c r="Q45" s="2399">
        <v>1</v>
      </c>
      <c r="R45" s="290"/>
      <c r="S45" s="1281" t="str">
        <f>$J45</f>
        <v>...1.1</v>
      </c>
      <c r="T45" s="220" t="s">
        <v>491</v>
      </c>
      <c r="U45" s="234"/>
      <c r="V45" s="2383"/>
      <c r="W45" s="2384"/>
      <c r="X45" s="2384"/>
      <c r="Y45" s="2384"/>
      <c r="Z45" s="2384"/>
      <c r="AA45" s="2384"/>
      <c r="AB45" s="2385"/>
      <c r="AC45" s="2383"/>
      <c r="AD45" s="2384"/>
      <c r="AE45" s="2384"/>
      <c r="AF45" s="2384"/>
      <c r="AG45" s="2384"/>
      <c r="AH45" s="2384"/>
      <c r="AI45" s="2384"/>
      <c r="AJ45" s="2385"/>
      <c r="AK45" s="1095" t="s">
        <v>569</v>
      </c>
      <c r="AM45" s="433"/>
      <c r="AN45" s="433" t="str">
        <f t="shared" si="1"/>
        <v>Группа потребителей</v>
      </c>
      <c r="AO45" s="433"/>
      <c r="AP45" s="433"/>
      <c r="AQ45" s="956">
        <v>23</v>
      </c>
    </row>
    <row r="46" spans="1:43" ht="24" customHeight="1">
      <c r="A46" s="1151" t="s">
        <v>355</v>
      </c>
      <c r="B46" s="1151" t="s">
        <v>356</v>
      </c>
      <c r="C46" s="1151" t="s">
        <v>357</v>
      </c>
      <c r="D46" s="1151" t="s">
        <v>605</v>
      </c>
      <c r="E46" s="2396"/>
      <c r="F46" s="2396"/>
      <c r="G46" s="2396"/>
      <c r="H46" s="2396"/>
      <c r="I46" s="2398"/>
      <c r="J46" s="2398"/>
      <c r="K46" s="2397" t="str">
        <f>J45&amp;".1"</f>
        <v>...1.1.1</v>
      </c>
      <c r="L46" s="1152"/>
      <c r="P46" s="2399"/>
      <c r="Q46" s="2399"/>
      <c r="R46" s="290">
        <v>1</v>
      </c>
      <c r="S46" s="1281" t="str">
        <f>$K46</f>
        <v>...1.1.1</v>
      </c>
      <c r="T46" s="1225"/>
      <c r="U46" s="234"/>
      <c r="V46" s="1148"/>
      <c r="W46" s="1148"/>
      <c r="X46" s="1149"/>
      <c r="Y46" s="2393"/>
      <c r="Z46" s="2392" t="s">
        <v>52</v>
      </c>
      <c r="AA46" s="2393"/>
      <c r="AB46" s="2392" t="s">
        <v>52</v>
      </c>
      <c r="AC46" s="658"/>
      <c r="AD46" s="658"/>
      <c r="AE46" s="1045"/>
      <c r="AF46" s="2400"/>
      <c r="AG46" s="2276" t="s">
        <v>52</v>
      </c>
      <c r="AH46" s="2402"/>
      <c r="AI46" s="2276" t="s">
        <v>6</v>
      </c>
      <c r="AJ46" s="1226"/>
      <c r="AK46" s="24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956">
        <v>23</v>
      </c>
    </row>
    <row r="47" spans="1:43" ht="0" hidden="1" customHeight="1">
      <c r="A47" s="1151" t="s">
        <v>355</v>
      </c>
      <c r="B47" s="1151" t="s">
        <v>356</v>
      </c>
      <c r="C47" s="1151" t="s">
        <v>357</v>
      </c>
      <c r="D47" s="1151" t="s">
        <v>605</v>
      </c>
      <c r="E47" s="2396"/>
      <c r="F47" s="2396"/>
      <c r="G47" s="2396"/>
      <c r="H47" s="2396"/>
      <c r="I47" s="2398"/>
      <c r="J47" s="2398"/>
      <c r="K47" s="2397"/>
      <c r="L47" s="1152"/>
      <c r="P47" s="2399"/>
      <c r="Q47" s="2399"/>
      <c r="R47" s="290"/>
      <c r="S47" s="1278"/>
      <c r="T47" s="234"/>
      <c r="U47" s="234"/>
      <c r="V47" s="1148"/>
      <c r="W47" s="1148"/>
      <c r="X47" s="262" t="str">
        <f>Y46&amp;"-"&amp;AA46</f>
        <v>-</v>
      </c>
      <c r="Y47" s="2392"/>
      <c r="Z47" s="2392"/>
      <c r="AA47" s="2392"/>
      <c r="AB47" s="2392"/>
      <c r="AC47" s="259"/>
      <c r="AD47" s="259"/>
      <c r="AE47" s="262" t="str">
        <f>AF46&amp;"-"&amp;AH46</f>
        <v>-</v>
      </c>
      <c r="AF47" s="2401"/>
      <c r="AG47" s="2276"/>
      <c r="AH47" s="2403"/>
      <c r="AI47" s="2276"/>
      <c r="AJ47" s="1227"/>
      <c r="AK47" s="2469"/>
      <c r="AM47" s="433"/>
      <c r="AN47" s="433" t="str">
        <f t="shared" si="1"/>
        <v/>
      </c>
      <c r="AO47" s="433"/>
      <c r="AP47" s="433"/>
      <c r="AQ47" s="956">
        <v>0</v>
      </c>
    </row>
    <row r="48" spans="1:43" ht="21" customHeight="1">
      <c r="A48" s="1151" t="s">
        <v>355</v>
      </c>
      <c r="B48" s="1151" t="s">
        <v>356</v>
      </c>
      <c r="C48" s="1151" t="s">
        <v>357</v>
      </c>
      <c r="D48" s="1151" t="s">
        <v>605</v>
      </c>
      <c r="E48" s="2396"/>
      <c r="F48" s="2396"/>
      <c r="G48" s="2396"/>
      <c r="H48" s="2396"/>
      <c r="I48" s="2398"/>
      <c r="J48" s="2397"/>
      <c r="K48" s="1151"/>
      <c r="L48" s="1152"/>
      <c r="P48" s="2399"/>
      <c r="Q48" s="2399"/>
      <c r="R48" s="289"/>
      <c r="S48" s="1066"/>
      <c r="T48" s="221" t="s">
        <v>570</v>
      </c>
      <c r="U48" s="300"/>
      <c r="V48" s="300"/>
      <c r="W48" s="300"/>
      <c r="X48" s="300"/>
      <c r="Y48" s="300"/>
      <c r="Z48" s="300"/>
      <c r="AA48" s="300"/>
      <c r="AB48" s="300"/>
      <c r="AC48" s="300"/>
      <c r="AD48" s="300"/>
      <c r="AE48" s="300"/>
      <c r="AF48" s="300"/>
      <c r="AG48" s="300"/>
      <c r="AH48" s="300"/>
      <c r="AI48" s="300"/>
      <c r="AJ48" s="300"/>
      <c r="AK48" s="1046" t="s">
        <v>571</v>
      </c>
      <c r="AM48" s="433"/>
      <c r="AN48" s="433" t="str">
        <f t="shared" si="1"/>
        <v>Добавить значение признака дифференциации</v>
      </c>
      <c r="AO48" s="433"/>
      <c r="AP48" s="433"/>
      <c r="AQ48" s="956">
        <v>20</v>
      </c>
    </row>
    <row r="49" spans="1:43" ht="21.95" customHeight="1">
      <c r="A49" s="1151" t="s">
        <v>355</v>
      </c>
      <c r="B49" s="1151" t="s">
        <v>356</v>
      </c>
      <c r="C49" s="1151" t="s">
        <v>357</v>
      </c>
      <c r="D49" s="1151" t="s">
        <v>605</v>
      </c>
      <c r="E49" s="2396"/>
      <c r="F49" s="2396"/>
      <c r="G49" s="2396"/>
      <c r="H49" s="2396"/>
      <c r="I49" s="2397"/>
      <c r="J49" s="1151"/>
      <c r="K49" s="1151"/>
      <c r="L49" s="1152"/>
      <c r="P49" s="2399"/>
      <c r="Q49" s="1269"/>
      <c r="R49" s="289"/>
      <c r="S49" s="1066"/>
      <c r="T49" s="298" t="s">
        <v>496</v>
      </c>
      <c r="U49" s="300"/>
      <c r="V49" s="300"/>
      <c r="W49" s="300"/>
      <c r="X49" s="300"/>
      <c r="Y49" s="300"/>
      <c r="Z49" s="300"/>
      <c r="AA49" s="300"/>
      <c r="AB49" s="299"/>
      <c r="AC49" s="300"/>
      <c r="AD49" s="300"/>
      <c r="AE49" s="300"/>
      <c r="AF49" s="300"/>
      <c r="AG49" s="300"/>
      <c r="AH49" s="300"/>
      <c r="AI49" s="299"/>
      <c r="AJ49" s="300"/>
      <c r="AK49" s="1228"/>
      <c r="AM49" s="433"/>
      <c r="AN49" s="433" t="str">
        <f t="shared" si="1"/>
        <v>Добавить группу потребителей</v>
      </c>
      <c r="AO49" s="433"/>
      <c r="AP49" s="433"/>
      <c r="AQ49" s="956">
        <v>21</v>
      </c>
    </row>
    <row r="50" spans="1:43" ht="21.95" customHeight="1">
      <c r="A50" s="1151" t="s">
        <v>355</v>
      </c>
      <c r="B50" s="1151" t="s">
        <v>356</v>
      </c>
      <c r="C50" s="1151" t="s">
        <v>357</v>
      </c>
      <c r="D50" s="1151" t="s">
        <v>605</v>
      </c>
      <c r="E50" s="2396"/>
      <c r="F50" s="2396"/>
      <c r="G50" s="2396"/>
      <c r="H50" s="2395"/>
      <c r="I50" s="1151"/>
      <c r="J50" s="1151"/>
      <c r="K50" s="1151"/>
      <c r="L50" s="1152"/>
      <c r="M50" s="1153"/>
      <c r="N50" s="1153"/>
      <c r="O50" s="469"/>
      <c r="P50" s="293"/>
      <c r="Q50" s="308"/>
      <c r="R50" s="288"/>
      <c r="S50" s="1066"/>
      <c r="T50" s="305" t="s">
        <v>572</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956">
        <v>21</v>
      </c>
    </row>
    <row r="51" spans="1:43" s="1430" customFormat="1" ht="0" hidden="1" customHeight="1">
      <c r="A51" s="1131" t="s">
        <v>355</v>
      </c>
      <c r="B51" s="1131" t="s">
        <v>356</v>
      </c>
      <c r="C51" s="1102"/>
      <c r="D51" s="1102"/>
      <c r="E51" s="2396"/>
      <c r="F51" s="2395"/>
      <c r="G51" s="1102"/>
      <c r="H51" s="1102"/>
      <c r="I51" s="1102"/>
      <c r="J51" s="1102"/>
      <c r="K51" s="1102"/>
      <c r="L51" s="1282"/>
      <c r="M51" s="1109"/>
      <c r="N51" s="1109"/>
      <c r="P51" s="1104"/>
      <c r="Q51" s="1105"/>
      <c r="R51" s="1104"/>
      <c r="S51" s="1110"/>
      <c r="T51" s="1113" t="s">
        <v>499</v>
      </c>
      <c r="U51" s="1112"/>
      <c r="V51" s="1112"/>
      <c r="W51" s="1112"/>
      <c r="X51" s="1112"/>
      <c r="Y51" s="1112"/>
      <c r="Z51" s="1112"/>
      <c r="AA51" s="1112"/>
      <c r="AB51" s="1112"/>
      <c r="AC51" s="1112"/>
      <c r="AD51" s="1112"/>
      <c r="AE51" s="1112"/>
      <c r="AF51" s="1112"/>
      <c r="AG51" s="1112"/>
      <c r="AH51" s="1112"/>
      <c r="AI51" s="1112"/>
      <c r="AJ51" s="1112"/>
      <c r="AK51" s="1112"/>
      <c r="AM51" s="688"/>
      <c r="AN51" s="688" t="str">
        <f t="shared" si="1"/>
        <v>Добавить централизованную систему для дифференциации</v>
      </c>
      <c r="AO51" s="688"/>
      <c r="AP51" s="688"/>
      <c r="AQ51" s="451">
        <v>0</v>
      </c>
    </row>
    <row r="52" spans="1:43" s="1430" customFormat="1" ht="0" hidden="1" customHeight="1">
      <c r="A52" s="1131" t="s">
        <v>355</v>
      </c>
      <c r="B52" s="1131"/>
      <c r="C52" s="1131"/>
      <c r="D52" s="1131"/>
      <c r="E52" s="2395"/>
      <c r="F52" s="1131"/>
      <c r="G52" s="1131"/>
      <c r="H52" s="1131"/>
      <c r="I52" s="1131"/>
      <c r="J52" s="1131"/>
      <c r="K52" s="1131"/>
      <c r="L52" s="1134"/>
      <c r="M52" s="1109"/>
      <c r="N52" s="1109"/>
      <c r="O52" s="451"/>
      <c r="P52" s="313"/>
      <c r="Q52" s="1132"/>
      <c r="R52" s="313"/>
      <c r="S52" s="1110"/>
      <c r="T52" s="1113" t="s">
        <v>500</v>
      </c>
      <c r="U52" s="1112"/>
      <c r="V52" s="1112"/>
      <c r="W52" s="1112"/>
      <c r="X52" s="1112"/>
      <c r="Y52" s="1112"/>
      <c r="Z52" s="1112"/>
      <c r="AA52" s="1112"/>
      <c r="AB52" s="1112"/>
      <c r="AC52" s="1112"/>
      <c r="AD52" s="1112"/>
      <c r="AE52" s="1112"/>
      <c r="AF52" s="1112"/>
      <c r="AG52" s="1112"/>
      <c r="AH52" s="1112"/>
      <c r="AI52" s="1112"/>
      <c r="AJ52" s="1112"/>
      <c r="AK52" s="1112"/>
      <c r="AM52" s="433"/>
      <c r="AN52" s="433" t="str">
        <f t="shared" si="1"/>
        <v>Добавить территорию для дифференциации</v>
      </c>
      <c r="AO52" s="433"/>
      <c r="AP52" s="433"/>
      <c r="AQ52" s="444">
        <v>0</v>
      </c>
    </row>
    <row r="53" spans="1:43" s="1430" customFormat="1" ht="0" hidden="1" customHeight="1">
      <c r="A53" s="1102"/>
      <c r="B53" s="1102"/>
      <c r="C53" s="1102"/>
      <c r="D53" s="1102"/>
      <c r="E53" s="1131"/>
      <c r="F53" s="1102"/>
      <c r="G53" s="1102"/>
      <c r="H53" s="1102"/>
      <c r="I53" s="1102"/>
      <c r="J53" s="1102"/>
      <c r="K53" s="1102"/>
      <c r="L53" s="1282"/>
      <c r="M53" s="1109"/>
      <c r="N53" s="1109"/>
      <c r="P53" s="1104"/>
      <c r="Q53" s="1105"/>
      <c r="R53" s="1104"/>
      <c r="S53" s="1110"/>
      <c r="T53" s="1113" t="s">
        <v>532</v>
      </c>
      <c r="U53" s="1112"/>
      <c r="V53" s="1112"/>
      <c r="W53" s="1112"/>
      <c r="X53" s="1112"/>
      <c r="Y53" s="1112"/>
      <c r="Z53" s="1112"/>
      <c r="AA53" s="1112"/>
      <c r="AB53" s="1112"/>
      <c r="AC53" s="1112"/>
      <c r="AD53" s="1112"/>
      <c r="AE53" s="1112"/>
      <c r="AF53" s="1112"/>
      <c r="AG53" s="1112"/>
      <c r="AH53" s="1112"/>
      <c r="AI53" s="1112"/>
      <c r="AJ53" s="1112"/>
      <c r="AK53" s="1112"/>
      <c r="AM53" s="688"/>
      <c r="AN53" s="688" t="str">
        <f t="shared" si="1"/>
        <v>Добавить наименование тарифа</v>
      </c>
      <c r="AO53" s="688"/>
      <c r="AP53" s="688"/>
      <c r="AQ53" s="451">
        <v>0</v>
      </c>
    </row>
    <row r="54" spans="1:43" ht="11.45" customHeight="1">
      <c r="M54" s="961"/>
      <c r="N54" s="961"/>
      <c r="O54" s="469"/>
      <c r="P54" s="956"/>
      <c r="Q54" s="956"/>
      <c r="R54" s="956"/>
      <c r="S54" s="956"/>
      <c r="AL54" s="956"/>
      <c r="AM54" s="956"/>
      <c r="AN54" s="956"/>
      <c r="AO54" s="956"/>
      <c r="AP54" s="956"/>
      <c r="AQ54" s="956">
        <v>11</v>
      </c>
    </row>
    <row r="55" spans="1:43" ht="14.65" customHeight="1">
      <c r="O55" s="469"/>
      <c r="S55" s="1041"/>
      <c r="T55" s="2394"/>
      <c r="U55" s="2394"/>
      <c r="V55" s="2394"/>
      <c r="W55" s="2394"/>
      <c r="X55" s="2394"/>
      <c r="Y55" s="2394"/>
      <c r="Z55" s="2394"/>
      <c r="AA55" s="2394"/>
      <c r="AB55" s="2394"/>
      <c r="AC55" s="2394"/>
      <c r="AD55" s="2394"/>
      <c r="AE55" s="2394"/>
      <c r="AF55" s="2394"/>
      <c r="AG55" s="2394"/>
      <c r="AH55" s="2394"/>
      <c r="AI55" s="2394"/>
      <c r="AJ55" s="2394"/>
      <c r="AK55" s="2394"/>
      <c r="AQ55" s="956">
        <v>14</v>
      </c>
    </row>
    <row r="56" spans="1:43" ht="14.65" customHeight="1">
      <c r="O56" s="469"/>
      <c r="AQ56" s="956">
        <v>14</v>
      </c>
    </row>
    <row r="57" spans="1:43" ht="14.65" customHeight="1">
      <c r="O57" s="469"/>
      <c r="S57" s="1041"/>
      <c r="T57" s="2394"/>
      <c r="U57" s="2394"/>
      <c r="V57" s="2394"/>
      <c r="W57" s="2394"/>
      <c r="X57" s="2394"/>
      <c r="Y57" s="2394"/>
      <c r="Z57" s="2394"/>
      <c r="AA57" s="2394"/>
      <c r="AB57" s="2394"/>
      <c r="AC57" s="2394"/>
      <c r="AD57" s="2394"/>
      <c r="AE57" s="2394"/>
      <c r="AF57" s="2394"/>
      <c r="AG57" s="2394"/>
      <c r="AH57" s="2394"/>
      <c r="AI57" s="2394"/>
      <c r="AJ57" s="2394"/>
      <c r="AK57" s="2394"/>
      <c r="AQ57" s="956">
        <v>14</v>
      </c>
    </row>
    <row r="58" spans="1:43" ht="22.5" hidden="1" customHeight="1">
      <c r="A58" s="961" t="s">
        <v>69</v>
      </c>
      <c r="B58" s="961">
        <v>0</v>
      </c>
      <c r="C58" s="961">
        <v>0</v>
      </c>
      <c r="D58" s="961">
        <v>0</v>
      </c>
      <c r="E58" s="961">
        <v>0</v>
      </c>
      <c r="F58" s="961">
        <v>0</v>
      </c>
      <c r="G58" s="961">
        <v>0</v>
      </c>
      <c r="H58" s="961">
        <v>0</v>
      </c>
      <c r="I58" s="961">
        <v>0</v>
      </c>
      <c r="J58" s="961">
        <v>0</v>
      </c>
      <c r="K58" s="961">
        <v>0</v>
      </c>
      <c r="L58" s="1266">
        <v>0</v>
      </c>
      <c r="M58" s="1150">
        <v>0</v>
      </c>
      <c r="N58" s="1150">
        <v>0</v>
      </c>
      <c r="O58" s="1150">
        <v>0</v>
      </c>
      <c r="P58" s="1261">
        <v>3</v>
      </c>
      <c r="Q58" s="278">
        <v>3</v>
      </c>
      <c r="R58" s="278">
        <v>3</v>
      </c>
      <c r="S58" s="512">
        <v>12</v>
      </c>
      <c r="T58" s="956">
        <v>35</v>
      </c>
      <c r="U58" s="956">
        <v>0</v>
      </c>
      <c r="V58" s="956">
        <v>0</v>
      </c>
      <c r="W58" s="956">
        <v>0</v>
      </c>
      <c r="X58" s="956">
        <v>0</v>
      </c>
      <c r="Y58" s="956">
        <v>0</v>
      </c>
      <c r="Z58" s="956">
        <v>0</v>
      </c>
      <c r="AA58" s="956">
        <v>0</v>
      </c>
      <c r="AB58" s="956">
        <v>0</v>
      </c>
      <c r="AC58" s="956">
        <v>24</v>
      </c>
      <c r="AD58" s="956">
        <v>24</v>
      </c>
      <c r="AE58" s="956">
        <v>24</v>
      </c>
      <c r="AF58" s="956">
        <v>11</v>
      </c>
      <c r="AG58" s="956">
        <v>3</v>
      </c>
      <c r="AH58" s="956">
        <v>11</v>
      </c>
      <c r="AI58" s="956">
        <v>0</v>
      </c>
      <c r="AJ58" s="956">
        <v>4</v>
      </c>
      <c r="AK58" s="956">
        <v>115</v>
      </c>
      <c r="AL58" s="444">
        <v>10</v>
      </c>
      <c r="AM58" s="444">
        <v>10</v>
      </c>
      <c r="AN58" s="444">
        <v>10</v>
      </c>
      <c r="AO58" s="444">
        <v>10</v>
      </c>
      <c r="AP58" s="444">
        <v>10</v>
      </c>
      <c r="AQ58" s="956">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154" hidden="1" customWidth="1"/>
    <col min="2" max="2" width="11" style="1154" hidden="1" customWidth="1"/>
    <col min="3" max="3" width="10.5703125" style="1154" hidden="1"/>
    <col min="4" max="4" width="12.85546875" style="1154" hidden="1" customWidth="1"/>
    <col min="5" max="5" width="10" style="1154" hidden="1" customWidth="1"/>
    <col min="6" max="6" width="8.7109375" style="1154" hidden="1" customWidth="1"/>
    <col min="7" max="7" width="7.5703125" style="1154" hidden="1" customWidth="1"/>
    <col min="8" max="8" width="11.42578125" style="1154" hidden="1" customWidth="1"/>
    <col min="9" max="9" width="12" style="1154" hidden="1" customWidth="1"/>
    <col min="10" max="10" width="9.85546875" style="1154" hidden="1" customWidth="1"/>
    <col min="11" max="11" width="11.42578125" style="1154" hidden="1" customWidth="1"/>
    <col min="12" max="12" width="19.140625" style="1866" hidden="1" customWidth="1"/>
    <col min="13" max="14" width="12.28515625" style="1535" hidden="1" customWidth="1"/>
    <col min="15" max="15" width="23.42578125" style="1535" hidden="1" customWidth="1"/>
    <col min="16" max="16" width="3.7109375" style="1535" hidden="1" customWidth="1"/>
    <col min="17" max="17" width="3.7109375" style="1159" hidden="1" customWidth="1"/>
    <col min="18" max="18" width="3" style="278" customWidth="1"/>
    <col min="19" max="19" width="12" style="1858" customWidth="1"/>
    <col min="20" max="20" width="31" style="1423" customWidth="1"/>
    <col min="21" max="21" width="0.140625" style="1423" customWidth="1"/>
    <col min="22" max="25" width="21.7109375" style="1423" hidden="1" customWidth="1"/>
    <col min="26" max="26" width="11.7109375" style="1423" hidden="1" customWidth="1"/>
    <col min="27" max="27" width="3.7109375" style="1423" hidden="1" customWidth="1"/>
    <col min="28" max="28" width="11.7109375" style="1423" hidden="1" customWidth="1"/>
    <col min="29" max="29" width="8.5703125" style="1423" hidden="1" customWidth="1"/>
    <col min="30" max="30" width="3.7109375" style="1423" customWidth="1"/>
    <col min="31" max="32" width="3" style="1423" customWidth="1"/>
    <col min="33" max="33" width="24" style="1423" customWidth="1"/>
    <col min="34" max="34" width="3.7109375" style="1423" customWidth="1"/>
    <col min="35" max="36" width="3" style="1423" customWidth="1"/>
    <col min="37" max="37" width="24" style="1423" customWidth="1"/>
    <col min="38" max="38" width="3.7109375" style="1423" customWidth="1"/>
    <col min="39" max="40" width="3" style="1423" customWidth="1"/>
    <col min="41" max="41" width="18" style="1423" customWidth="1"/>
    <col min="42" max="42" width="3.7109375" style="1423" customWidth="1"/>
    <col min="43" max="44" width="3" style="1423" customWidth="1"/>
    <col min="45" max="45" width="18" style="1423" customWidth="1"/>
    <col min="46" max="49" width="21" style="1423" customWidth="1"/>
    <col min="50" max="50" width="11" style="1423" customWidth="1"/>
    <col min="51" max="51" width="3.7109375" style="1423" customWidth="1"/>
    <col min="52" max="52" width="11" style="1423" customWidth="1"/>
    <col min="53" max="53" width="8.5703125" style="1423" hidden="1" customWidth="1"/>
    <col min="54" max="54" width="4" style="1423" customWidth="1"/>
    <col min="55" max="55" width="115" style="1423" customWidth="1"/>
    <col min="56" max="60" width="10" style="1430" customWidth="1"/>
    <col min="61" max="61" width="10.5703125" style="1423" hidden="1"/>
  </cols>
  <sheetData>
    <row r="1" spans="1:61" ht="22.5" hidden="1" customHeight="1">
      <c r="W1" s="261"/>
      <c r="Y1" s="261"/>
      <c r="Z1" s="261"/>
      <c r="AW1" s="261"/>
      <c r="AX1" s="261"/>
      <c r="BI1" s="956" t="s">
        <v>1</v>
      </c>
    </row>
    <row r="2" spans="1:61" ht="21" hidden="1" customHeight="1">
      <c r="A2" s="1151"/>
      <c r="B2" s="1151"/>
      <c r="C2" s="1151"/>
      <c r="D2" s="1151"/>
      <c r="E2" s="2395">
        <v>1</v>
      </c>
      <c r="F2" s="1151"/>
      <c r="G2" s="1151"/>
      <c r="H2" s="1151"/>
      <c r="I2" s="1151"/>
      <c r="J2" s="1151"/>
      <c r="K2" s="1151"/>
      <c r="L2" s="1152"/>
      <c r="M2" s="1153"/>
      <c r="N2" s="1153"/>
      <c r="O2" s="1153"/>
      <c r="P2" s="1197"/>
      <c r="Q2" s="772"/>
      <c r="R2" s="288"/>
      <c r="S2" s="1281" t="e">
        <f>INDEX(PT_DIFFERENTIATION_NUM_NTAR,MATCH(A2,PT_DIFFERENTIATION_NTAR_ID,0))</f>
        <v>#N/A</v>
      </c>
      <c r="T2" s="232" t="s">
        <v>214</v>
      </c>
      <c r="U2" s="234"/>
      <c r="V2" s="2390"/>
      <c r="W2" s="2390"/>
      <c r="X2" s="2390"/>
      <c r="Y2" s="2390"/>
      <c r="Z2" s="2390"/>
      <c r="AA2" s="2390"/>
      <c r="AB2" s="2390"/>
      <c r="AC2" s="2391"/>
      <c r="AD2" s="2389" t="e">
        <f>INDEX(PT_DIFFERENTIATION_NTAR,MATCH(A2,PT_DIFFERENTIATION_NTAR_ID,0))</f>
        <v>#N/A</v>
      </c>
      <c r="AE2" s="2390"/>
      <c r="AF2" s="2390"/>
      <c r="AG2" s="2390"/>
      <c r="AH2" s="2390"/>
      <c r="AI2" s="2390"/>
      <c r="AJ2" s="2390"/>
      <c r="AK2" s="2390"/>
      <c r="AL2" s="2390"/>
      <c r="AM2" s="2390"/>
      <c r="AN2" s="2390"/>
      <c r="AO2" s="2390"/>
      <c r="AP2" s="2390"/>
      <c r="AQ2" s="2390"/>
      <c r="AR2" s="2390"/>
      <c r="AS2" s="2390"/>
      <c r="AT2" s="2390"/>
      <c r="AU2" s="2390"/>
      <c r="AV2" s="2390"/>
      <c r="AW2" s="2390"/>
      <c r="AX2" s="2390"/>
      <c r="AY2" s="2390"/>
      <c r="AZ2" s="2390"/>
      <c r="BA2" s="2390"/>
      <c r="BB2" s="2391"/>
      <c r="BC2" s="104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3"/>
      <c r="BF2" s="433" t="str">
        <f t="shared" ref="BF2:BF8" si="0">IF(T2="","",T2)</f>
        <v>Наименование тарифа</v>
      </c>
      <c r="BG2" s="433"/>
      <c r="BH2" s="433"/>
      <c r="BI2" s="956">
        <v>0</v>
      </c>
    </row>
    <row r="3" spans="1:61" ht="21" hidden="1" customHeight="1">
      <c r="A3" s="1151"/>
      <c r="B3" s="1151"/>
      <c r="C3" s="1151"/>
      <c r="D3" s="1151"/>
      <c r="E3" s="2396"/>
      <c r="F3" s="2395">
        <v>1</v>
      </c>
      <c r="G3" s="1151"/>
      <c r="H3" s="1151"/>
      <c r="I3" s="1151"/>
      <c r="J3" s="1151"/>
      <c r="K3" s="1151"/>
      <c r="L3" s="1152"/>
      <c r="M3" s="1153"/>
      <c r="N3" s="1153"/>
      <c r="O3" s="1153"/>
      <c r="P3" s="1198"/>
      <c r="Q3" s="1199"/>
      <c r="R3" s="286"/>
      <c r="S3" s="1281" t="e">
        <f>INDEX(PT_DIFFERENTIATION_NUM_TER,MATCH(B3,PT_DIFFERENTIATION_TER_ID,0))</f>
        <v>#N/A</v>
      </c>
      <c r="T3" s="242" t="s">
        <v>481</v>
      </c>
      <c r="U3" s="234"/>
      <c r="V3" s="2390"/>
      <c r="W3" s="2390"/>
      <c r="X3" s="2390"/>
      <c r="Y3" s="2390"/>
      <c r="Z3" s="2390"/>
      <c r="AA3" s="2390"/>
      <c r="AB3" s="2390"/>
      <c r="AC3" s="2391"/>
      <c r="AD3" s="2389" t="e">
        <f>INDEX(PT_DIFFERENTIATION_TER,MATCH(B3,PT_DIFFERENTIATION_TER_ID,0))</f>
        <v>#N/A</v>
      </c>
      <c r="AE3" s="2390"/>
      <c r="AF3" s="2390"/>
      <c r="AG3" s="2390"/>
      <c r="AH3" s="2390"/>
      <c r="AI3" s="2390"/>
      <c r="AJ3" s="2390"/>
      <c r="AK3" s="2390"/>
      <c r="AL3" s="2390"/>
      <c r="AM3" s="2390"/>
      <c r="AN3" s="2390"/>
      <c r="AO3" s="2390"/>
      <c r="AP3" s="2390"/>
      <c r="AQ3" s="2390"/>
      <c r="AR3" s="2390"/>
      <c r="AS3" s="2390"/>
      <c r="AT3" s="2390"/>
      <c r="AU3" s="2390"/>
      <c r="AV3" s="2390"/>
      <c r="AW3" s="2390"/>
      <c r="AX3" s="2390"/>
      <c r="AY3" s="2390"/>
      <c r="AZ3" s="2390"/>
      <c r="BA3" s="2390"/>
      <c r="BB3" s="2391"/>
      <c r="BC3" s="1046" t="s">
        <v>482</v>
      </c>
      <c r="BE3" s="433"/>
      <c r="BF3" s="433" t="str">
        <f t="shared" si="0"/>
        <v>Территория действия тарифа</v>
      </c>
      <c r="BG3" s="433"/>
      <c r="BH3" s="433"/>
      <c r="BI3" s="956">
        <v>0</v>
      </c>
    </row>
    <row r="4" spans="1:61" ht="33.75" hidden="1" customHeight="1">
      <c r="A4" s="1151"/>
      <c r="B4" s="1151"/>
      <c r="C4" s="1151"/>
      <c r="D4" s="1151"/>
      <c r="E4" s="2396"/>
      <c r="F4" s="2396"/>
      <c r="G4" s="2395">
        <v>1</v>
      </c>
      <c r="H4" s="1151"/>
      <c r="I4" s="1151"/>
      <c r="J4" s="1151"/>
      <c r="K4" s="1151"/>
      <c r="L4" s="1152"/>
      <c r="M4" s="1153"/>
      <c r="N4" s="1153"/>
      <c r="O4" s="1153"/>
      <c r="P4" s="1200"/>
      <c r="Q4" s="1199"/>
      <c r="R4" s="286"/>
      <c r="S4" s="1281" t="e">
        <f>INDEX(PT_DIFFERENTIATION_NUM_CS,MATCH(C4,PT_DIFFERENTIATION_CS_ID,0))</f>
        <v>#N/A</v>
      </c>
      <c r="T4" s="243" t="s">
        <v>600</v>
      </c>
      <c r="U4" s="234"/>
      <c r="V4" s="2390"/>
      <c r="W4" s="2390"/>
      <c r="X4" s="2390"/>
      <c r="Y4" s="2390"/>
      <c r="Z4" s="2390"/>
      <c r="AA4" s="2390"/>
      <c r="AB4" s="2390"/>
      <c r="AC4" s="2391"/>
      <c r="AD4" s="2389" t="e">
        <f>INDEX(PT_DIFFERENTIATION_CS,MATCH(C4,PT_DIFFERENTIATION_CS_ID,0))</f>
        <v>#N/A</v>
      </c>
      <c r="AE4" s="2390"/>
      <c r="AF4" s="2390"/>
      <c r="AG4" s="2390"/>
      <c r="AH4" s="2390"/>
      <c r="AI4" s="2390"/>
      <c r="AJ4" s="2390"/>
      <c r="AK4" s="2390"/>
      <c r="AL4" s="2390"/>
      <c r="AM4" s="2390"/>
      <c r="AN4" s="2390"/>
      <c r="AO4" s="2390"/>
      <c r="AP4" s="2390"/>
      <c r="AQ4" s="2390"/>
      <c r="AR4" s="2390"/>
      <c r="AS4" s="2390"/>
      <c r="AT4" s="2390"/>
      <c r="AU4" s="2390"/>
      <c r="AV4" s="2390"/>
      <c r="AW4" s="2390"/>
      <c r="AX4" s="2390"/>
      <c r="AY4" s="2390"/>
      <c r="AZ4" s="2390"/>
      <c r="BA4" s="2390"/>
      <c r="BB4" s="2391"/>
      <c r="BC4" s="1046" t="s">
        <v>601</v>
      </c>
      <c r="BE4" s="433"/>
      <c r="BF4" s="433" t="str">
        <f t="shared" si="0"/>
        <v>Наименование централизованной системы водоотведения</v>
      </c>
      <c r="BG4" s="433"/>
      <c r="BH4" s="433"/>
      <c r="BI4" s="956">
        <v>0</v>
      </c>
    </row>
    <row r="5" spans="1:61" s="1430" customFormat="1" ht="14.25" hidden="1" customHeight="1">
      <c r="A5" s="1131"/>
      <c r="B5" s="1131"/>
      <c r="C5" s="1131"/>
      <c r="D5" s="1131"/>
      <c r="E5" s="2396"/>
      <c r="F5" s="2396"/>
      <c r="G5" s="2396"/>
      <c r="H5" s="2395">
        <v>1</v>
      </c>
      <c r="I5" s="1131"/>
      <c r="J5" s="1131"/>
      <c r="K5" s="1131"/>
      <c r="L5" s="1134"/>
      <c r="M5" s="1103"/>
      <c r="N5" s="1103"/>
      <c r="O5" s="1103"/>
      <c r="P5" s="1285"/>
      <c r="Q5" s="1286"/>
      <c r="R5" s="290"/>
      <c r="S5" s="881"/>
      <c r="T5" s="1287"/>
      <c r="U5" s="1172"/>
      <c r="V5" s="2427"/>
      <c r="W5" s="2427"/>
      <c r="X5" s="2427"/>
      <c r="Y5" s="2427"/>
      <c r="Z5" s="2427"/>
      <c r="AA5" s="2427"/>
      <c r="AB5" s="2427"/>
      <c r="AC5" s="2428"/>
      <c r="AD5" s="2426"/>
      <c r="AE5" s="2427"/>
      <c r="AF5" s="2427"/>
      <c r="AG5" s="2427"/>
      <c r="AH5" s="2427"/>
      <c r="AI5" s="2427"/>
      <c r="AJ5" s="2427"/>
      <c r="AK5" s="2427"/>
      <c r="AL5" s="2427"/>
      <c r="AM5" s="2427"/>
      <c r="AN5" s="2427"/>
      <c r="AO5" s="2427"/>
      <c r="AP5" s="2427"/>
      <c r="AQ5" s="2427"/>
      <c r="AR5" s="2427"/>
      <c r="AS5" s="2427"/>
      <c r="AT5" s="2427"/>
      <c r="AU5" s="2427"/>
      <c r="AV5" s="2427"/>
      <c r="AW5" s="2427"/>
      <c r="AX5" s="2427"/>
      <c r="AY5" s="2427"/>
      <c r="AZ5" s="2427"/>
      <c r="BA5" s="2427"/>
      <c r="BB5" s="2428"/>
      <c r="BC5" s="1173" t="s">
        <v>486</v>
      </c>
      <c r="BE5" s="433"/>
      <c r="BF5" s="433" t="str">
        <f t="shared" si="0"/>
        <v/>
      </c>
      <c r="BG5" s="433"/>
      <c r="BH5" s="433"/>
      <c r="BI5" s="444">
        <v>0</v>
      </c>
    </row>
    <row r="6" spans="1:61" s="1430" customFormat="1" ht="14.25" hidden="1" customHeight="1">
      <c r="A6" s="1131"/>
      <c r="B6" s="1131"/>
      <c r="C6" s="1131"/>
      <c r="D6" s="1131"/>
      <c r="E6" s="2396"/>
      <c r="F6" s="2396"/>
      <c r="G6" s="2396"/>
      <c r="H6" s="2396"/>
      <c r="I6" s="2397" t="str">
        <f>S5&amp;".1"</f>
        <v>.1</v>
      </c>
      <c r="J6" s="1131"/>
      <c r="K6" s="1131"/>
      <c r="L6" s="1134" t="s">
        <v>487</v>
      </c>
      <c r="M6" s="443"/>
      <c r="N6" s="443"/>
      <c r="O6" s="443"/>
      <c r="P6" s="2399">
        <v>1</v>
      </c>
      <c r="Q6" s="1269"/>
      <c r="R6" s="289"/>
      <c r="S6" s="881"/>
      <c r="T6" s="1171"/>
      <c r="U6" s="1172"/>
      <c r="V6" s="2427"/>
      <c r="W6" s="2427"/>
      <c r="X6" s="2427"/>
      <c r="Y6" s="2427"/>
      <c r="Z6" s="2427"/>
      <c r="AA6" s="2427"/>
      <c r="AB6" s="2427"/>
      <c r="AC6" s="2428"/>
      <c r="AD6" s="2426"/>
      <c r="AE6" s="2427"/>
      <c r="AF6" s="2427"/>
      <c r="AG6" s="2427"/>
      <c r="AH6" s="2427"/>
      <c r="AI6" s="2427"/>
      <c r="AJ6" s="2427"/>
      <c r="AK6" s="2427"/>
      <c r="AL6" s="2427"/>
      <c r="AM6" s="2427"/>
      <c r="AN6" s="2427"/>
      <c r="AO6" s="2427"/>
      <c r="AP6" s="2427"/>
      <c r="AQ6" s="2427"/>
      <c r="AR6" s="2427"/>
      <c r="AS6" s="2427"/>
      <c r="AT6" s="2427"/>
      <c r="AU6" s="2427"/>
      <c r="AV6" s="2427"/>
      <c r="AW6" s="2427"/>
      <c r="AX6" s="2427"/>
      <c r="AY6" s="2427"/>
      <c r="AZ6" s="2427"/>
      <c r="BA6" s="2427"/>
      <c r="BB6" s="2428"/>
      <c r="BC6" s="1173"/>
      <c r="BE6" s="433"/>
      <c r="BF6" s="433" t="str">
        <f t="shared" si="0"/>
        <v/>
      </c>
      <c r="BG6" s="433"/>
      <c r="BH6" s="433"/>
      <c r="BI6" s="444">
        <v>0</v>
      </c>
    </row>
    <row r="7" spans="1:61" s="1430" customFormat="1" ht="14.25" hidden="1" customHeight="1">
      <c r="A7" s="1131"/>
      <c r="B7" s="1131"/>
      <c r="C7" s="1131"/>
      <c r="D7" s="1131"/>
      <c r="E7" s="2396"/>
      <c r="F7" s="2396"/>
      <c r="G7" s="2396"/>
      <c r="H7" s="2396"/>
      <c r="I7" s="2398"/>
      <c r="J7" s="2397" t="str">
        <f>S5&amp;".1"</f>
        <v>.1</v>
      </c>
      <c r="K7" s="1131"/>
      <c r="L7" s="1134"/>
      <c r="M7" s="443"/>
      <c r="N7" s="443"/>
      <c r="O7" s="443"/>
      <c r="P7" s="2399"/>
      <c r="Q7" s="2399">
        <v>1</v>
      </c>
      <c r="R7" s="290"/>
      <c r="S7" s="881"/>
      <c r="T7" s="1187"/>
      <c r="U7" s="1172"/>
      <c r="V7" s="2427"/>
      <c r="W7" s="2427"/>
      <c r="X7" s="2427"/>
      <c r="Y7" s="2427"/>
      <c r="Z7" s="2427"/>
      <c r="AA7" s="2427"/>
      <c r="AB7" s="2427"/>
      <c r="AC7" s="2428"/>
      <c r="AD7" s="2426"/>
      <c r="AE7" s="2427"/>
      <c r="AF7" s="2427"/>
      <c r="AG7" s="2427"/>
      <c r="AH7" s="2427"/>
      <c r="AI7" s="2427"/>
      <c r="AJ7" s="2427"/>
      <c r="AK7" s="2427"/>
      <c r="AL7" s="2427"/>
      <c r="AM7" s="2427"/>
      <c r="AN7" s="2427"/>
      <c r="AO7" s="2427"/>
      <c r="AP7" s="2427"/>
      <c r="AQ7" s="2427"/>
      <c r="AR7" s="2427"/>
      <c r="AS7" s="2427"/>
      <c r="AT7" s="2427"/>
      <c r="AU7" s="2427"/>
      <c r="AV7" s="2427"/>
      <c r="AW7" s="2427"/>
      <c r="AX7" s="2427"/>
      <c r="AY7" s="2427"/>
      <c r="AZ7" s="2427"/>
      <c r="BA7" s="2427"/>
      <c r="BB7" s="2428"/>
      <c r="BC7" s="1173"/>
      <c r="BE7" s="433"/>
      <c r="BF7" s="433" t="str">
        <f t="shared" si="0"/>
        <v/>
      </c>
      <c r="BG7" s="433"/>
      <c r="BH7" s="433"/>
      <c r="BI7" s="444">
        <v>0</v>
      </c>
    </row>
    <row r="8" spans="1:61" ht="11.25" hidden="1" customHeight="1">
      <c r="A8" s="1151"/>
      <c r="B8" s="1151"/>
      <c r="C8" s="1151"/>
      <c r="D8" s="1151"/>
      <c r="E8" s="2396"/>
      <c r="F8" s="2396"/>
      <c r="G8" s="2396"/>
      <c r="H8" s="2396"/>
      <c r="I8" s="2398"/>
      <c r="J8" s="2398"/>
      <c r="K8" s="2397" t="e">
        <f>S4&amp;".1"</f>
        <v>#N/A</v>
      </c>
      <c r="L8" s="1152"/>
      <c r="P8" s="2399"/>
      <c r="Q8" s="2399"/>
      <c r="R8" s="2455">
        <v>1</v>
      </c>
      <c r="S8" s="2452" t="e">
        <f>$K8</f>
        <v>#N/A</v>
      </c>
      <c r="T8" s="2472"/>
      <c r="U8" s="234"/>
      <c r="V8" s="658"/>
      <c r="W8" s="1045"/>
      <c r="X8" s="658"/>
      <c r="Y8" s="1045"/>
      <c r="Z8" s="1493"/>
      <c r="AA8" s="1257" t="s">
        <v>52</v>
      </c>
      <c r="AB8" s="1493"/>
      <c r="AC8" s="1257" t="s">
        <v>52</v>
      </c>
      <c r="AD8" s="2340" t="s">
        <v>52</v>
      </c>
      <c r="AE8" s="2448"/>
      <c r="AF8" s="2353">
        <v>1</v>
      </c>
      <c r="AG8" s="2471"/>
      <c r="AH8" s="2276" t="s">
        <v>52</v>
      </c>
      <c r="AI8" s="2448"/>
      <c r="AJ8" s="2353">
        <v>1</v>
      </c>
      <c r="AK8" s="2462" t="s">
        <v>9</v>
      </c>
      <c r="AL8" s="2276" t="s">
        <v>52</v>
      </c>
      <c r="AM8" s="2328"/>
      <c r="AN8" s="2353">
        <v>1</v>
      </c>
      <c r="AO8" s="2475"/>
      <c r="AP8" s="2476" t="s">
        <v>52</v>
      </c>
      <c r="AQ8" s="245"/>
      <c r="AR8" s="1274">
        <v>1</v>
      </c>
      <c r="AS8" s="1280" t="s">
        <v>9</v>
      </c>
      <c r="AT8" s="658"/>
      <c r="AU8" s="1045"/>
      <c r="AV8" s="658"/>
      <c r="AW8" s="1045"/>
      <c r="AX8" s="1493"/>
      <c r="AY8" s="1257" t="s">
        <v>52</v>
      </c>
      <c r="AZ8" s="1493"/>
      <c r="BA8" s="1257" t="s">
        <v>52</v>
      </c>
      <c r="BB8" s="1136"/>
      <c r="BC8" s="2418" t="s">
        <v>585</v>
      </c>
      <c r="BE8" s="433"/>
      <c r="BF8" s="433" t="str">
        <f t="shared" si="0"/>
        <v/>
      </c>
      <c r="BG8" s="433"/>
      <c r="BH8" s="433"/>
      <c r="BI8" s="956">
        <v>0</v>
      </c>
    </row>
    <row r="9" spans="1:61" ht="11.25" hidden="1" customHeight="1">
      <c r="A9" s="1151"/>
      <c r="B9" s="1151"/>
      <c r="C9" s="1151"/>
      <c r="D9" s="1151"/>
      <c r="E9" s="2396"/>
      <c r="F9" s="2396"/>
      <c r="G9" s="2396"/>
      <c r="H9" s="2396"/>
      <c r="I9" s="2398"/>
      <c r="J9" s="2398"/>
      <c r="K9" s="2397"/>
      <c r="L9" s="1152"/>
      <c r="P9" s="2399"/>
      <c r="Q9" s="2399"/>
      <c r="R9" s="2455"/>
      <c r="S9" s="2453"/>
      <c r="T9" s="2473"/>
      <c r="U9" s="234"/>
      <c r="V9" s="1181"/>
      <c r="W9" s="1284"/>
      <c r="X9" s="1181"/>
      <c r="Y9" s="1284"/>
      <c r="Z9" s="1181"/>
      <c r="AA9" s="1181"/>
      <c r="AB9" s="1181"/>
      <c r="AC9" s="1181"/>
      <c r="AD9" s="2341"/>
      <c r="AE9" s="2448"/>
      <c r="AF9" s="2353"/>
      <c r="AG9" s="2471"/>
      <c r="AH9" s="2276"/>
      <c r="AI9" s="2448"/>
      <c r="AJ9" s="2353"/>
      <c r="AK9" s="2462"/>
      <c r="AL9" s="2276"/>
      <c r="AM9" s="2333"/>
      <c r="AN9" s="2353"/>
      <c r="AO9" s="2475"/>
      <c r="AP9" s="2477"/>
      <c r="AQ9" s="250"/>
      <c r="AR9" s="349"/>
      <c r="AS9" s="349" t="s">
        <v>586</v>
      </c>
      <c r="AT9" s="1181"/>
      <c r="AU9" s="1284"/>
      <c r="AV9" s="1181"/>
      <c r="AW9" s="1284"/>
      <c r="AX9" s="1181"/>
      <c r="AY9" s="1181"/>
      <c r="AZ9" s="1181"/>
      <c r="BA9" s="1181"/>
      <c r="BB9" s="1185"/>
      <c r="BC9" s="2419"/>
      <c r="BE9" s="433"/>
      <c r="BF9" s="433"/>
      <c r="BG9" s="433"/>
      <c r="BH9" s="433"/>
      <c r="BI9" s="956">
        <v>0</v>
      </c>
    </row>
    <row r="10" spans="1:61" ht="11.25" hidden="1" customHeight="1">
      <c r="A10" s="1151"/>
      <c r="B10" s="1151"/>
      <c r="C10" s="1151"/>
      <c r="D10" s="1151"/>
      <c r="E10" s="2396"/>
      <c r="F10" s="2396"/>
      <c r="G10" s="2396"/>
      <c r="H10" s="2396"/>
      <c r="I10" s="2398"/>
      <c r="J10" s="2398"/>
      <c r="K10" s="2397"/>
      <c r="L10" s="1152"/>
      <c r="P10" s="2399"/>
      <c r="Q10" s="2399"/>
      <c r="R10" s="2455"/>
      <c r="S10" s="2453"/>
      <c r="T10" s="2473"/>
      <c r="U10" s="234"/>
      <c r="V10" s="1181"/>
      <c r="W10" s="1284"/>
      <c r="X10" s="1181"/>
      <c r="Y10" s="1284"/>
      <c r="Z10" s="1181"/>
      <c r="AA10" s="1181"/>
      <c r="AB10" s="1181"/>
      <c r="AC10" s="1181"/>
      <c r="AD10" s="2341"/>
      <c r="AE10" s="2448"/>
      <c r="AF10" s="2353"/>
      <c r="AG10" s="2471"/>
      <c r="AH10" s="2276"/>
      <c r="AI10" s="2448"/>
      <c r="AJ10" s="2353"/>
      <c r="AK10" s="2462"/>
      <c r="AL10" s="2276"/>
      <c r="AM10" s="250"/>
      <c r="AN10" s="1288"/>
      <c r="AO10" s="1288" t="s">
        <v>606</v>
      </c>
      <c r="AP10" s="349"/>
      <c r="AQ10" s="349"/>
      <c r="AR10" s="349"/>
      <c r="AS10" s="1181"/>
      <c r="AT10" s="1181"/>
      <c r="AU10" s="1284"/>
      <c r="AV10" s="1181"/>
      <c r="AW10" s="1284"/>
      <c r="AX10" s="1181"/>
      <c r="AY10" s="1181"/>
      <c r="AZ10" s="1181"/>
      <c r="BA10" s="1181"/>
      <c r="BB10" s="1185"/>
      <c r="BC10" s="2419"/>
      <c r="BE10" s="433"/>
      <c r="BF10" s="433"/>
      <c r="BG10" s="433"/>
      <c r="BH10" s="433"/>
      <c r="BI10" s="956">
        <v>0</v>
      </c>
    </row>
    <row r="11" spans="1:61" ht="11.25" hidden="1" customHeight="1">
      <c r="A11" s="1151"/>
      <c r="B11" s="1151"/>
      <c r="C11" s="1151"/>
      <c r="D11" s="1151"/>
      <c r="E11" s="2396"/>
      <c r="F11" s="2396"/>
      <c r="G11" s="2396"/>
      <c r="H11" s="2396"/>
      <c r="I11" s="2398"/>
      <c r="J11" s="2398"/>
      <c r="K11" s="2397"/>
      <c r="L11" s="1152"/>
      <c r="P11" s="2399"/>
      <c r="Q11" s="2399"/>
      <c r="R11" s="2455"/>
      <c r="S11" s="2453"/>
      <c r="T11" s="2473"/>
      <c r="U11" s="234"/>
      <c r="V11" s="1181"/>
      <c r="W11" s="1284"/>
      <c r="X11" s="1181"/>
      <c r="Y11" s="1284"/>
      <c r="Z11" s="1181"/>
      <c r="AA11" s="1181"/>
      <c r="AB11" s="1181"/>
      <c r="AC11" s="1181"/>
      <c r="AD11" s="2341"/>
      <c r="AE11" s="2448"/>
      <c r="AF11" s="2353"/>
      <c r="AG11" s="2471"/>
      <c r="AH11" s="2276"/>
      <c r="AI11" s="228"/>
      <c r="AJ11" s="348"/>
      <c r="AK11" s="247" t="s">
        <v>607</v>
      </c>
      <c r="AL11" s="1181"/>
      <c r="AM11" s="1181"/>
      <c r="AN11" s="1181"/>
      <c r="AO11" s="1181"/>
      <c r="AP11" s="1181"/>
      <c r="AQ11" s="1181"/>
      <c r="AR11" s="1181"/>
      <c r="AS11" s="1181"/>
      <c r="AT11" s="1181"/>
      <c r="AU11" s="1284"/>
      <c r="AV11" s="1181"/>
      <c r="AW11" s="1284"/>
      <c r="AX11" s="1181"/>
      <c r="AY11" s="1181"/>
      <c r="AZ11" s="1181"/>
      <c r="BA11" s="1181"/>
      <c r="BB11" s="1185"/>
      <c r="BC11" s="2419"/>
      <c r="BE11" s="433"/>
      <c r="BF11" s="433"/>
      <c r="BG11" s="433"/>
      <c r="BH11" s="433"/>
      <c r="BI11" s="956">
        <v>0</v>
      </c>
    </row>
    <row r="12" spans="1:61" ht="11.25" hidden="1" customHeight="1">
      <c r="A12" s="1151"/>
      <c r="B12" s="1151"/>
      <c r="C12" s="1151"/>
      <c r="D12" s="1151"/>
      <c r="E12" s="2396"/>
      <c r="F12" s="2396"/>
      <c r="G12" s="2396"/>
      <c r="H12" s="2396"/>
      <c r="I12" s="2398"/>
      <c r="J12" s="2398"/>
      <c r="K12" s="2397"/>
      <c r="L12" s="1152"/>
      <c r="P12" s="2399"/>
      <c r="Q12" s="2399"/>
      <c r="R12" s="2455"/>
      <c r="S12" s="2454"/>
      <c r="T12" s="2474"/>
      <c r="U12" s="234"/>
      <c r="V12" s="1181"/>
      <c r="W12" s="1182" t="str">
        <f>Z8&amp;"-"&amp;AB8</f>
        <v>-</v>
      </c>
      <c r="X12" s="1181"/>
      <c r="Y12" s="1182" t="str">
        <f>AB8&amp;"-"&amp;AD8</f>
        <v>-да</v>
      </c>
      <c r="Z12" s="1181"/>
      <c r="AA12" s="1181"/>
      <c r="AB12" s="1181"/>
      <c r="AC12" s="1181"/>
      <c r="AD12" s="2282"/>
      <c r="AE12" s="246"/>
      <c r="AF12" s="248"/>
      <c r="AG12" s="349" t="s">
        <v>589</v>
      </c>
      <c r="AH12" s="1181"/>
      <c r="AI12" s="1181"/>
      <c r="AJ12" s="1181"/>
      <c r="AK12" s="1181"/>
      <c r="AL12" s="1181"/>
      <c r="AM12" s="1181"/>
      <c r="AN12" s="1181"/>
      <c r="AO12" s="1181"/>
      <c r="AP12" s="1181"/>
      <c r="AQ12" s="1181"/>
      <c r="AR12" s="1181"/>
      <c r="AS12" s="1181"/>
      <c r="AT12" s="1181"/>
      <c r="AU12" s="1182" t="str">
        <f>AX8&amp;"-"&amp;AZ8</f>
        <v>-</v>
      </c>
      <c r="AV12" s="1181"/>
      <c r="AW12" s="1182" t="str">
        <f>AZ8&amp;"-"&amp;BB8</f>
        <v>-</v>
      </c>
      <c r="AX12" s="1181"/>
      <c r="AY12" s="1181"/>
      <c r="AZ12" s="1181"/>
      <c r="BA12" s="1181"/>
      <c r="BB12" s="1184" t="str">
        <f>BE8&amp;"-"&amp;BG8</f>
        <v>-</v>
      </c>
      <c r="BC12" s="2419"/>
      <c r="BE12" s="433"/>
      <c r="BF12" s="433" t="str">
        <f t="shared" ref="BF12:BF18" si="1">IF(T12="","",T12)</f>
        <v/>
      </c>
      <c r="BG12" s="433"/>
      <c r="BH12" s="433"/>
      <c r="BI12" s="956">
        <v>0</v>
      </c>
    </row>
    <row r="13" spans="1:61" ht="11.25" hidden="1" customHeight="1">
      <c r="A13" s="1151"/>
      <c r="B13" s="1151"/>
      <c r="C13" s="1151"/>
      <c r="D13" s="1151"/>
      <c r="E13" s="2396"/>
      <c r="F13" s="2396"/>
      <c r="G13" s="2396"/>
      <c r="H13" s="2396"/>
      <c r="I13" s="2398"/>
      <c r="J13" s="2397"/>
      <c r="K13" s="1151"/>
      <c r="L13" s="1152"/>
      <c r="P13" s="2399"/>
      <c r="Q13" s="2399"/>
      <c r="R13" s="289"/>
      <c r="S13" s="1066"/>
      <c r="T13" s="221" t="s">
        <v>552</v>
      </c>
      <c r="U13" s="300"/>
      <c r="V13" s="300"/>
      <c r="W13" s="300"/>
      <c r="X13" s="300"/>
      <c r="Y13" s="300"/>
      <c r="Z13" s="300"/>
      <c r="AA13" s="300"/>
      <c r="AB13" s="300"/>
      <c r="AC13" s="300"/>
      <c r="AD13" s="1293"/>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258"/>
      <c r="BC13" s="2420"/>
      <c r="BE13" s="433"/>
      <c r="BF13" s="433" t="str">
        <f t="shared" si="1"/>
        <v>Добавить строку</v>
      </c>
      <c r="BG13" s="433"/>
      <c r="BH13" s="433"/>
      <c r="BI13" s="956">
        <v>0</v>
      </c>
    </row>
    <row r="14" spans="1:61" s="1430" customFormat="1" ht="14.25" hidden="1" customHeight="1">
      <c r="A14" s="1131"/>
      <c r="B14" s="1131"/>
      <c r="C14" s="1131"/>
      <c r="D14" s="1131"/>
      <c r="E14" s="2396"/>
      <c r="F14" s="2396"/>
      <c r="G14" s="2396"/>
      <c r="H14" s="2396"/>
      <c r="I14" s="2397"/>
      <c r="J14" s="1131"/>
      <c r="K14" s="1131"/>
      <c r="L14" s="1134"/>
      <c r="M14" s="443"/>
      <c r="N14" s="443"/>
      <c r="O14" s="443"/>
      <c r="P14" s="2399"/>
      <c r="Q14" s="1269"/>
      <c r="R14" s="289"/>
      <c r="S14" s="1174"/>
      <c r="T14" s="1175"/>
      <c r="U14" s="1176"/>
      <c r="V14" s="1176"/>
      <c r="W14" s="1176"/>
      <c r="X14" s="1176"/>
      <c r="Y14" s="1176"/>
      <c r="Z14" s="1176"/>
      <c r="AA14" s="1176"/>
      <c r="AB14" s="1176"/>
      <c r="AC14" s="1176"/>
      <c r="AD14" s="1176"/>
      <c r="AE14" s="1176"/>
      <c r="AF14" s="1176"/>
      <c r="AG14" s="1176"/>
      <c r="AH14" s="1176"/>
      <c r="AI14" s="1176"/>
      <c r="AJ14" s="1176"/>
      <c r="AK14" s="1176"/>
      <c r="AL14" s="1176"/>
      <c r="AM14" s="1176"/>
      <c r="AN14" s="1176"/>
      <c r="AO14" s="1176"/>
      <c r="AP14" s="1176"/>
      <c r="AQ14" s="1176"/>
      <c r="AR14" s="1176"/>
      <c r="AS14" s="1176"/>
      <c r="AT14" s="1176"/>
      <c r="AU14" s="1176"/>
      <c r="AV14" s="1176"/>
      <c r="AW14" s="1176"/>
      <c r="AX14" s="1176"/>
      <c r="AY14" s="1176"/>
      <c r="AZ14" s="1176"/>
      <c r="BA14" s="1176"/>
      <c r="BB14" s="1176"/>
      <c r="BC14" s="1177"/>
      <c r="BE14" s="433"/>
      <c r="BF14" s="433" t="str">
        <f t="shared" si="1"/>
        <v/>
      </c>
      <c r="BG14" s="433"/>
      <c r="BH14" s="433"/>
      <c r="BI14" s="444">
        <v>0</v>
      </c>
    </row>
    <row r="15" spans="1:61" s="1430" customFormat="1" ht="14.25" hidden="1" customHeight="1">
      <c r="A15" s="1131"/>
      <c r="B15" s="1131"/>
      <c r="C15" s="1131"/>
      <c r="D15" s="1131"/>
      <c r="E15" s="2396"/>
      <c r="F15" s="2396"/>
      <c r="G15" s="2396"/>
      <c r="H15" s="2395"/>
      <c r="I15" s="1131"/>
      <c r="J15" s="1131"/>
      <c r="K15" s="1131"/>
      <c r="L15" s="1134"/>
      <c r="M15" s="1103"/>
      <c r="N15" s="1103"/>
      <c r="O15" s="451"/>
      <c r="P15" s="313"/>
      <c r="Q15" s="1132"/>
      <c r="R15" s="1189"/>
      <c r="S15" s="1174"/>
      <c r="T15" s="1175"/>
      <c r="U15" s="1176"/>
      <c r="V15" s="1176"/>
      <c r="W15" s="1176"/>
      <c r="X15" s="1176"/>
      <c r="Y15" s="1176"/>
      <c r="Z15" s="1176"/>
      <c r="AA15" s="1176"/>
      <c r="AB15" s="1176"/>
      <c r="AC15" s="1176"/>
      <c r="AD15" s="1176"/>
      <c r="AE15" s="1176"/>
      <c r="AF15" s="1176"/>
      <c r="AG15" s="1176"/>
      <c r="AH15" s="1176"/>
      <c r="AI15" s="1176"/>
      <c r="AJ15" s="1176"/>
      <c r="AK15" s="1176"/>
      <c r="AL15" s="1176"/>
      <c r="AM15" s="1176"/>
      <c r="AN15" s="1176"/>
      <c r="AO15" s="1176"/>
      <c r="AP15" s="1176"/>
      <c r="AQ15" s="1176"/>
      <c r="AR15" s="1176"/>
      <c r="AS15" s="1176"/>
      <c r="AT15" s="1176"/>
      <c r="AU15" s="1176"/>
      <c r="AV15" s="1176"/>
      <c r="AW15" s="1176"/>
      <c r="AX15" s="1176"/>
      <c r="AY15" s="1176"/>
      <c r="AZ15" s="1176"/>
      <c r="BA15" s="1176"/>
      <c r="BB15" s="1176"/>
      <c r="BC15" s="1177"/>
      <c r="BE15" s="433"/>
      <c r="BF15" s="433" t="str">
        <f t="shared" si="1"/>
        <v/>
      </c>
      <c r="BG15" s="433"/>
      <c r="BH15" s="433"/>
      <c r="BI15" s="444">
        <v>0</v>
      </c>
    </row>
    <row r="16" spans="1:61" s="1430" customFormat="1" ht="14.25" hidden="1" customHeight="1">
      <c r="A16" s="1131"/>
      <c r="B16" s="1131"/>
      <c r="C16" s="1131"/>
      <c r="D16" s="1102"/>
      <c r="E16" s="2396"/>
      <c r="F16" s="2396"/>
      <c r="G16" s="2395"/>
      <c r="H16" s="1102"/>
      <c r="I16" s="1102"/>
      <c r="J16" s="1102"/>
      <c r="K16" s="1102"/>
      <c r="L16" s="1282"/>
      <c r="M16" s="1103"/>
      <c r="N16" s="1103"/>
      <c r="P16" s="1104"/>
      <c r="Q16" s="1105"/>
      <c r="R16" s="1104"/>
      <c r="S16" s="1110"/>
      <c r="T16" s="1113"/>
      <c r="U16" s="1112"/>
      <c r="V16" s="1112"/>
      <c r="W16" s="1112"/>
      <c r="X16" s="1112"/>
      <c r="Y16" s="1112"/>
      <c r="Z16" s="1112"/>
      <c r="AA16" s="1112"/>
      <c r="AB16" s="1112"/>
      <c r="AC16" s="1112"/>
      <c r="AD16" s="1112"/>
      <c r="AE16" s="1112"/>
      <c r="AF16" s="1112"/>
      <c r="AG16" s="1112"/>
      <c r="AH16" s="1112"/>
      <c r="AI16" s="1112"/>
      <c r="AJ16" s="1112"/>
      <c r="AK16" s="1112"/>
      <c r="AL16" s="1112"/>
      <c r="AM16" s="1112"/>
      <c r="AN16" s="1112"/>
      <c r="AO16" s="1112"/>
      <c r="AP16" s="1112"/>
      <c r="AQ16" s="1112"/>
      <c r="AR16" s="1112"/>
      <c r="AS16" s="1112"/>
      <c r="AT16" s="1112"/>
      <c r="AU16" s="1112"/>
      <c r="AV16" s="1112"/>
      <c r="AW16" s="1112"/>
      <c r="AX16" s="1112"/>
      <c r="AY16" s="1112"/>
      <c r="AZ16" s="1112"/>
      <c r="BA16" s="1112"/>
      <c r="BB16" s="1112"/>
      <c r="BC16" s="1112"/>
      <c r="BE16" s="688"/>
      <c r="BF16" s="688" t="str">
        <f t="shared" si="1"/>
        <v/>
      </c>
      <c r="BG16" s="688"/>
      <c r="BH16" s="688"/>
      <c r="BI16" s="451">
        <v>0</v>
      </c>
    </row>
    <row r="17" spans="1:61" s="1430" customFormat="1" ht="14.25" hidden="1" customHeight="1">
      <c r="A17" s="1131"/>
      <c r="B17" s="1131"/>
      <c r="C17" s="1102"/>
      <c r="D17" s="1102"/>
      <c r="E17" s="2396"/>
      <c r="F17" s="2395"/>
      <c r="G17" s="1102"/>
      <c r="H17" s="1102"/>
      <c r="I17" s="1102"/>
      <c r="J17" s="1102"/>
      <c r="K17" s="1102"/>
      <c r="L17" s="1282"/>
      <c r="M17" s="1109"/>
      <c r="N17" s="1109"/>
      <c r="P17" s="1104"/>
      <c r="Q17" s="1105"/>
      <c r="R17" s="1104"/>
      <c r="S17" s="1110"/>
      <c r="T17" s="1113" t="s">
        <v>499</v>
      </c>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112"/>
      <c r="AS17" s="1112"/>
      <c r="AT17" s="1112"/>
      <c r="AU17" s="1112"/>
      <c r="AV17" s="1112"/>
      <c r="AW17" s="1112"/>
      <c r="AX17" s="1112"/>
      <c r="AY17" s="1112"/>
      <c r="AZ17" s="1112"/>
      <c r="BA17" s="1112"/>
      <c r="BB17" s="1112"/>
      <c r="BC17" s="1112"/>
      <c r="BE17" s="688"/>
      <c r="BF17" s="688" t="str">
        <f t="shared" si="1"/>
        <v>Добавить централизованную систему для дифференциации</v>
      </c>
      <c r="BG17" s="688"/>
      <c r="BH17" s="688"/>
      <c r="BI17" s="451">
        <v>0</v>
      </c>
    </row>
    <row r="18" spans="1:61" s="1430" customFormat="1" ht="14.25" hidden="1" customHeight="1">
      <c r="A18" s="1131"/>
      <c r="B18" s="1131"/>
      <c r="C18" s="1131"/>
      <c r="D18" s="1131"/>
      <c r="E18" s="2395"/>
      <c r="F18" s="1131"/>
      <c r="G18" s="1131"/>
      <c r="H18" s="1131"/>
      <c r="I18" s="1131"/>
      <c r="J18" s="1131"/>
      <c r="K18" s="1131"/>
      <c r="L18" s="1134"/>
      <c r="M18" s="1109"/>
      <c r="N18" s="1109"/>
      <c r="O18" s="451"/>
      <c r="P18" s="313"/>
      <c r="Q18" s="1132"/>
      <c r="R18" s="313"/>
      <c r="S18" s="1110"/>
      <c r="T18" s="1113" t="s">
        <v>500</v>
      </c>
      <c r="U18" s="1112"/>
      <c r="V18" s="1112"/>
      <c r="W18" s="1112"/>
      <c r="X18" s="1112"/>
      <c r="Y18" s="1112"/>
      <c r="Z18" s="1112"/>
      <c r="AA18" s="1112"/>
      <c r="AB18" s="1112"/>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E18" s="433"/>
      <c r="BF18" s="433" t="str">
        <f t="shared" si="1"/>
        <v>Добавить территорию для дифференциации</v>
      </c>
      <c r="BG18" s="433"/>
      <c r="BH18" s="433"/>
      <c r="BI18" s="444">
        <v>0</v>
      </c>
    </row>
    <row r="19" spans="1:61" ht="14.25" hidden="1" customHeight="1">
      <c r="AC19" s="261"/>
      <c r="BA19" s="261"/>
      <c r="BI19" s="956">
        <v>0</v>
      </c>
    </row>
    <row r="20" spans="1:61" ht="14.25" hidden="1" customHeight="1">
      <c r="AD20" s="1112" t="s">
        <v>6</v>
      </c>
      <c r="AE20" s="1289"/>
      <c r="AF20" s="480">
        <v>1</v>
      </c>
      <c r="AG20" s="1290"/>
      <c r="AH20" s="1112" t="s">
        <v>6</v>
      </c>
      <c r="AI20" s="1289"/>
      <c r="AJ20" s="480">
        <v>1</v>
      </c>
      <c r="AK20" s="1290"/>
      <c r="AL20" s="1112" t="s">
        <v>6</v>
      </c>
      <c r="AM20" s="1291"/>
      <c r="AN20" s="480">
        <v>1</v>
      </c>
      <c r="AO20" s="1292"/>
      <c r="AP20" s="1112" t="s">
        <v>6</v>
      </c>
      <c r="AQ20" s="1291"/>
      <c r="AR20" s="480">
        <v>1</v>
      </c>
      <c r="AS20" s="1292"/>
      <c r="AT20" s="259"/>
      <c r="AU20" s="317"/>
      <c r="AV20" s="259"/>
      <c r="AW20" s="317"/>
      <c r="AX20" s="1495"/>
      <c r="AY20" s="1273" t="s">
        <v>52</v>
      </c>
      <c r="AZ20" s="1495"/>
      <c r="BA20" s="1273" t="s">
        <v>52</v>
      </c>
      <c r="BI20" s="956">
        <v>0</v>
      </c>
    </row>
    <row r="21" spans="1:61" ht="14.25" hidden="1" customHeight="1">
      <c r="BD21" s="429"/>
      <c r="BE21" s="429"/>
      <c r="BF21" s="429"/>
      <c r="BG21" s="429"/>
      <c r="BH21" s="429"/>
      <c r="BI21" s="956">
        <v>0</v>
      </c>
    </row>
    <row r="22" spans="1:61" ht="14.25" hidden="1" customHeight="1">
      <c r="O22" s="1155" t="s">
        <v>501</v>
      </c>
      <c r="Z22" s="1133"/>
      <c r="AB22" s="1133"/>
      <c r="AC22" s="261"/>
      <c r="AX22" s="1133"/>
      <c r="AZ22" s="1133"/>
      <c r="BA22" s="261"/>
      <c r="BD22" s="429"/>
      <c r="BE22" s="429"/>
      <c r="BF22" s="429"/>
      <c r="BG22" s="429"/>
      <c r="BH22" s="429"/>
      <c r="BI22" s="956">
        <v>0</v>
      </c>
    </row>
    <row r="23" spans="1:61" ht="14.25" hidden="1" customHeight="1">
      <c r="AC23" s="261"/>
      <c r="BA23" s="261"/>
      <c r="BD23" s="429"/>
      <c r="BE23" s="429"/>
      <c r="BF23" s="429"/>
      <c r="BG23" s="429"/>
      <c r="BH23" s="429"/>
      <c r="BI23" s="956">
        <v>0</v>
      </c>
    </row>
    <row r="24" spans="1:61" s="1297" customFormat="1" ht="14.25" hidden="1" customHeight="1">
      <c r="M24" s="1296"/>
      <c r="N24" s="1296"/>
      <c r="O24" s="1297" t="s">
        <v>502</v>
      </c>
      <c r="P24" s="1296"/>
      <c r="Q24" s="1298"/>
      <c r="R24" s="1298"/>
      <c r="AA24" s="1295" t="s">
        <v>504</v>
      </c>
      <c r="AC24" s="1295" t="s">
        <v>505</v>
      </c>
      <c r="AD24" s="1295" t="s">
        <v>553</v>
      </c>
      <c r="AH24" s="1295" t="s">
        <v>553</v>
      </c>
      <c r="AK24" s="1295" t="s">
        <v>590</v>
      </c>
      <c r="AL24" s="1295" t="s">
        <v>553</v>
      </c>
      <c r="AP24" s="1295" t="s">
        <v>553</v>
      </c>
      <c r="AY24" s="1295" t="s">
        <v>504</v>
      </c>
      <c r="BA24" s="1295" t="s">
        <v>505</v>
      </c>
      <c r="BD24" s="1299"/>
      <c r="BE24" s="1299"/>
      <c r="BF24" s="1299"/>
      <c r="BG24" s="1299"/>
      <c r="BH24" s="1299"/>
      <c r="BI24" s="1295">
        <v>0</v>
      </c>
    </row>
    <row r="25" spans="1:61" ht="14.25" hidden="1" customHeight="1">
      <c r="O25" s="1152"/>
      <c r="BD25" s="429"/>
      <c r="BE25" s="429"/>
      <c r="BF25" s="429"/>
      <c r="BG25" s="429"/>
      <c r="BH25" s="429"/>
      <c r="BI25" s="956">
        <v>0</v>
      </c>
    </row>
    <row r="26" spans="1:61" ht="14.25" hidden="1" customHeight="1">
      <c r="O26" s="1152"/>
      <c r="BD26" s="429"/>
      <c r="BE26" s="429"/>
      <c r="BF26" s="429"/>
      <c r="BG26" s="429"/>
      <c r="BH26" s="429"/>
      <c r="BI26" s="956">
        <v>0</v>
      </c>
    </row>
    <row r="27" spans="1:61" ht="14.65" customHeight="1">
      <c r="Q27" s="225"/>
      <c r="R27" s="309"/>
      <c r="S27" s="1063"/>
      <c r="T27" s="296"/>
      <c r="U27" s="296"/>
      <c r="V27" s="442"/>
      <c r="W27" s="442"/>
      <c r="X27" s="442"/>
      <c r="Y27" s="442"/>
      <c r="Z27" s="442"/>
      <c r="AA27" s="442"/>
      <c r="AB27" s="442"/>
      <c r="AC27" s="442"/>
      <c r="AD27" s="442"/>
      <c r="AE27" s="442"/>
      <c r="AF27" s="442"/>
      <c r="AG27" s="442"/>
      <c r="AH27" s="442"/>
      <c r="AI27" s="442"/>
      <c r="AJ27" s="442"/>
      <c r="AK27" s="442"/>
      <c r="AL27" s="442"/>
      <c r="AM27" s="442"/>
      <c r="AN27" s="442"/>
      <c r="AO27" s="442"/>
      <c r="AP27" s="442"/>
      <c r="AQ27" s="442"/>
      <c r="AR27" s="442"/>
      <c r="AS27" s="442"/>
      <c r="AT27" s="442"/>
      <c r="AU27" s="442"/>
      <c r="AV27" s="442"/>
      <c r="AW27" s="442"/>
      <c r="AX27" s="442"/>
      <c r="AY27" s="442"/>
      <c r="AZ27" s="442"/>
      <c r="BA27" s="442"/>
      <c r="BI27" s="956">
        <v>14</v>
      </c>
    </row>
    <row r="28" spans="1:61" ht="14.65" customHeight="1">
      <c r="Q28" s="225"/>
      <c r="R28" s="309"/>
      <c r="S28" s="237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76"/>
      <c r="U28" s="2376"/>
      <c r="V28" s="2376"/>
      <c r="W28" s="2376"/>
      <c r="X28" s="2376"/>
      <c r="Y28" s="2376"/>
      <c r="Z28" s="2376"/>
      <c r="AA28" s="2376"/>
      <c r="AB28" s="2376"/>
      <c r="AC28" s="2376"/>
      <c r="AD28" s="2376"/>
      <c r="AE28" s="2376"/>
      <c r="AF28" s="2376"/>
      <c r="AG28" s="2376"/>
      <c r="AH28" s="2376"/>
      <c r="AI28" s="2376"/>
      <c r="AJ28" s="2376"/>
      <c r="AK28" s="2376"/>
      <c r="AL28" s="2376"/>
      <c r="AM28" s="2376"/>
      <c r="AN28" s="2376"/>
      <c r="AO28" s="2376"/>
      <c r="AP28" s="2376"/>
      <c r="AQ28" s="2376"/>
      <c r="AR28" s="2376"/>
      <c r="AS28" s="2376"/>
      <c r="AT28" s="2376"/>
      <c r="AU28" s="2376"/>
      <c r="AV28" s="2376"/>
      <c r="AW28" s="2376"/>
      <c r="AX28" s="2376"/>
      <c r="AY28" s="2376"/>
      <c r="AZ28" s="2376"/>
      <c r="BA28" s="1031"/>
      <c r="BI28" s="956">
        <v>14</v>
      </c>
    </row>
    <row r="29" spans="1:61" ht="14.65" customHeight="1">
      <c r="Q29" s="225"/>
      <c r="R29" s="309"/>
      <c r="S29" s="2349" t="str">
        <f>IF(org=0,"Не определено",org)</f>
        <v>ООО "Смоленскрегионтеплоэнерго"</v>
      </c>
      <c r="T29" s="2349"/>
      <c r="U29" s="2349"/>
      <c r="V29" s="2349"/>
      <c r="W29" s="2349"/>
      <c r="X29" s="2349"/>
      <c r="Y29" s="2349"/>
      <c r="Z29" s="2349"/>
      <c r="AA29" s="2349"/>
      <c r="AB29" s="2349"/>
      <c r="AC29" s="2349"/>
      <c r="AD29" s="2349"/>
      <c r="AE29" s="2349"/>
      <c r="AF29" s="2349"/>
      <c r="AG29" s="2349"/>
      <c r="AH29" s="2349"/>
      <c r="AI29" s="2349"/>
      <c r="AJ29" s="2349"/>
      <c r="AK29" s="2349"/>
      <c r="AL29" s="2349"/>
      <c r="AM29" s="2349"/>
      <c r="AN29" s="2349"/>
      <c r="AO29" s="2349"/>
      <c r="AP29" s="2349"/>
      <c r="AQ29" s="2349"/>
      <c r="AR29" s="2349"/>
      <c r="AS29" s="2349"/>
      <c r="AT29" s="2349"/>
      <c r="AU29" s="2349"/>
      <c r="AV29" s="2349"/>
      <c r="AW29" s="2349"/>
      <c r="AX29" s="2349"/>
      <c r="AY29" s="2349"/>
      <c r="AZ29" s="2349"/>
      <c r="BA29" s="1031"/>
      <c r="BI29" s="956">
        <v>14</v>
      </c>
    </row>
    <row r="30" spans="1:61" ht="14.25" hidden="1" customHeight="1">
      <c r="Q30" s="225"/>
      <c r="R30" s="309"/>
      <c r="S30" s="1063"/>
      <c r="T30" s="296"/>
      <c r="U30" s="29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442"/>
      <c r="BI30" s="956">
        <v>0</v>
      </c>
    </row>
    <row r="31" spans="1:61" s="1609" customFormat="1" ht="25.5" hidden="1" customHeight="1">
      <c r="A31" s="1156"/>
      <c r="B31" s="1156"/>
      <c r="C31" s="1156"/>
      <c r="D31" s="1156"/>
      <c r="E31" s="1156"/>
      <c r="F31" s="1156"/>
      <c r="G31" s="1156"/>
      <c r="H31" s="1156"/>
      <c r="I31" s="1156"/>
      <c r="J31" s="1156"/>
      <c r="K31" s="1156"/>
      <c r="L31" s="1157"/>
      <c r="M31" s="1156"/>
      <c r="N31" s="1156"/>
      <c r="O31" s="1156"/>
      <c r="P31" s="1156"/>
      <c r="Q31" s="1156"/>
      <c r="S31" s="2386" t="s">
        <v>28</v>
      </c>
      <c r="T31" s="2386"/>
      <c r="U31" s="1160"/>
      <c r="V31" s="2388" t="str">
        <f>IF(TITLE_NAME_OR_PR_CHANGE="",IF(TITLE_NAME_OR_PR="","",TITLE_NAME_OR_PR),TITLE_NAME_OR_PR_CHANGE)</f>
        <v/>
      </c>
      <c r="W31" s="2388"/>
      <c r="X31" s="2388"/>
      <c r="Y31" s="2388"/>
      <c r="Z31" s="2388"/>
      <c r="AA31" s="2388"/>
      <c r="AB31" s="2388"/>
      <c r="AC31" s="260"/>
      <c r="AD31" s="2388" t="str">
        <f>IF(TITLE_NAME_OR_PR_CHANGE="",IF(TITLE_NAME_OR_PR="","",TITLE_NAME_OR_PR),TITLE_NAME_OR_PR_CHANGE)</f>
        <v/>
      </c>
      <c r="AE31" s="2388"/>
      <c r="AF31" s="2388"/>
      <c r="AG31" s="2388"/>
      <c r="AH31" s="2388"/>
      <c r="AI31" s="2388"/>
      <c r="AJ31" s="2388"/>
      <c r="AK31" s="2388"/>
      <c r="AL31" s="2388"/>
      <c r="AM31" s="2388"/>
      <c r="AN31" s="2388"/>
      <c r="AO31" s="2388"/>
      <c r="AP31" s="2388"/>
      <c r="AQ31" s="2388"/>
      <c r="AR31" s="2388"/>
      <c r="AS31" s="2388"/>
      <c r="AT31" s="2388"/>
      <c r="AU31" s="2388"/>
      <c r="AV31" s="2388"/>
      <c r="AW31" s="2388"/>
      <c r="AX31" s="2388"/>
      <c r="AY31" s="2388"/>
      <c r="AZ31" s="2388"/>
      <c r="BA31" s="260"/>
      <c r="BB31" s="260"/>
      <c r="BC31" s="214"/>
      <c r="BD31" s="301"/>
      <c r="BE31" s="301"/>
      <c r="BF31" s="301"/>
      <c r="BG31" s="301"/>
      <c r="BH31" s="301"/>
      <c r="BI31" s="351">
        <v>0</v>
      </c>
    </row>
    <row r="32" spans="1:61" s="1609" customFormat="1" ht="18.75" hidden="1" customHeight="1">
      <c r="A32" s="1156"/>
      <c r="B32" s="1156"/>
      <c r="C32" s="1156"/>
      <c r="D32" s="1156"/>
      <c r="E32" s="1156"/>
      <c r="F32" s="1156"/>
      <c r="G32" s="1156"/>
      <c r="H32" s="1156"/>
      <c r="I32" s="1156"/>
      <c r="J32" s="1156"/>
      <c r="K32" s="1156"/>
      <c r="L32" s="1157"/>
      <c r="M32" s="1156"/>
      <c r="N32" s="1156"/>
      <c r="O32" s="1156"/>
      <c r="P32" s="1156"/>
      <c r="Q32" s="1156"/>
      <c r="S32" s="2386" t="s">
        <v>507</v>
      </c>
      <c r="T32" s="2386"/>
      <c r="U32" s="1160"/>
      <c r="V32" s="2387" t="str">
        <f>IF(TITLE_DATE_PR_CHANGE="",IF(TITLE_DATE_PR="","",TITLE_DATE_PR),TITLE_DATE_PR_CHANGE)</f>
        <v/>
      </c>
      <c r="W32" s="2387"/>
      <c r="X32" s="2387"/>
      <c r="Y32" s="2387"/>
      <c r="Z32" s="2387"/>
      <c r="AA32" s="2387"/>
      <c r="AB32" s="2387"/>
      <c r="AC32" s="260"/>
      <c r="AD32" s="2387" t="str">
        <f>IF(TITLE_DATE_PR_CHANGE="",IF(TITLE_DATE_PR="","",TITLE_DATE_PR),TITLE_DATE_PR_CHANGE)</f>
        <v/>
      </c>
      <c r="AE32" s="2387"/>
      <c r="AF32" s="2387"/>
      <c r="AG32" s="2387"/>
      <c r="AH32" s="2387"/>
      <c r="AI32" s="2387"/>
      <c r="AJ32" s="2387"/>
      <c r="AK32" s="2387"/>
      <c r="AL32" s="2387"/>
      <c r="AM32" s="2387"/>
      <c r="AN32" s="2387"/>
      <c r="AO32" s="2387"/>
      <c r="AP32" s="2387"/>
      <c r="AQ32" s="2387"/>
      <c r="AR32" s="2387"/>
      <c r="AS32" s="2387"/>
      <c r="AT32" s="2387"/>
      <c r="AU32" s="2387"/>
      <c r="AV32" s="2387"/>
      <c r="AW32" s="2387"/>
      <c r="AX32" s="2387"/>
      <c r="AY32" s="2387"/>
      <c r="AZ32" s="2387"/>
      <c r="BA32" s="260"/>
      <c r="BB32" s="260"/>
      <c r="BC32" s="214"/>
      <c r="BD32" s="301"/>
      <c r="BE32" s="301"/>
      <c r="BF32" s="301"/>
      <c r="BG32" s="301"/>
      <c r="BH32" s="301"/>
      <c r="BI32" s="351">
        <v>0</v>
      </c>
    </row>
    <row r="33" spans="1:61" s="1609" customFormat="1" ht="18.75" hidden="1" customHeight="1">
      <c r="A33" s="1156"/>
      <c r="B33" s="1156"/>
      <c r="C33" s="1156"/>
      <c r="D33" s="1156"/>
      <c r="E33" s="1156"/>
      <c r="F33" s="1156"/>
      <c r="G33" s="1156"/>
      <c r="H33" s="1156"/>
      <c r="I33" s="1156"/>
      <c r="J33" s="1156"/>
      <c r="K33" s="1156"/>
      <c r="L33" s="1157"/>
      <c r="M33" s="1156"/>
      <c r="N33" s="1156"/>
      <c r="O33" s="1156"/>
      <c r="P33" s="1156"/>
      <c r="Q33" s="1156"/>
      <c r="S33" s="2386" t="s">
        <v>508</v>
      </c>
      <c r="T33" s="2386"/>
      <c r="U33" s="1160"/>
      <c r="V33" s="2388" t="str">
        <f>IF(TITLE_NUMBER_PR_CHANGE="",IF(TITLE_NUMBER_PR="","",TITLE_NUMBER_PR),TITLE_NUMBER_PR_CHANGE)</f>
        <v/>
      </c>
      <c r="W33" s="2388"/>
      <c r="X33" s="2388"/>
      <c r="Y33" s="2388"/>
      <c r="Z33" s="2388"/>
      <c r="AA33" s="2388"/>
      <c r="AB33" s="2388"/>
      <c r="AC33" s="260"/>
      <c r="AD33" s="2388" t="str">
        <f>IF(TITLE_NUMBER_PR_CHANGE="",IF(TITLE_NUMBER_PR="","",TITLE_NUMBER_PR),TITLE_NUMBER_PR_CHANGE)</f>
        <v/>
      </c>
      <c r="AE33" s="2388"/>
      <c r="AF33" s="2388"/>
      <c r="AG33" s="2388"/>
      <c r="AH33" s="2388"/>
      <c r="AI33" s="2388"/>
      <c r="AJ33" s="2388"/>
      <c r="AK33" s="2388"/>
      <c r="AL33" s="2388"/>
      <c r="AM33" s="2388"/>
      <c r="AN33" s="2388"/>
      <c r="AO33" s="2388"/>
      <c r="AP33" s="2388"/>
      <c r="AQ33" s="2388"/>
      <c r="AR33" s="2388"/>
      <c r="AS33" s="2388"/>
      <c r="AT33" s="2388"/>
      <c r="AU33" s="2388"/>
      <c r="AV33" s="2388"/>
      <c r="AW33" s="2388"/>
      <c r="AX33" s="2388"/>
      <c r="AY33" s="2388"/>
      <c r="AZ33" s="2388"/>
      <c r="BA33" s="260"/>
      <c r="BB33" s="260"/>
      <c r="BC33" s="214"/>
      <c r="BD33" s="301"/>
      <c r="BE33" s="301"/>
      <c r="BF33" s="301"/>
      <c r="BG33" s="301"/>
      <c r="BH33" s="301"/>
      <c r="BI33" s="351">
        <v>0</v>
      </c>
    </row>
    <row r="34" spans="1:61" s="1609" customFormat="1" ht="18.75" hidden="1" customHeight="1">
      <c r="A34" s="1156"/>
      <c r="B34" s="1156"/>
      <c r="C34" s="1156"/>
      <c r="D34" s="1156"/>
      <c r="E34" s="1156"/>
      <c r="F34" s="1156"/>
      <c r="G34" s="1156"/>
      <c r="H34" s="1156"/>
      <c r="I34" s="1156"/>
      <c r="J34" s="1156"/>
      <c r="K34" s="1156"/>
      <c r="L34" s="1157"/>
      <c r="M34" s="1156"/>
      <c r="N34" s="1156"/>
      <c r="O34" s="1156"/>
      <c r="P34" s="1156"/>
      <c r="Q34" s="1156"/>
      <c r="S34" s="2386" t="s">
        <v>29</v>
      </c>
      <c r="T34" s="2386"/>
      <c r="U34" s="1160"/>
      <c r="V34" s="2388" t="str">
        <f>IF(TITLE_IST_PUB_CHANGE="",IF(TITLE_IST_PUB="","",TITLE_IST_PUB),TITLE_IST_PUB_CHANGE)</f>
        <v/>
      </c>
      <c r="W34" s="2388"/>
      <c r="X34" s="2388"/>
      <c r="Y34" s="2388"/>
      <c r="Z34" s="2388"/>
      <c r="AA34" s="2388"/>
      <c r="AB34" s="2388"/>
      <c r="AC34" s="260"/>
      <c r="AD34" s="2388" t="str">
        <f>IF(TITLE_IST_PUB_CHANGE="",IF(TITLE_IST_PUB="","",TITLE_IST_PUB),TITLE_IST_PUB_CHANGE)</f>
        <v/>
      </c>
      <c r="AE34" s="2388"/>
      <c r="AF34" s="2388"/>
      <c r="AG34" s="2388"/>
      <c r="AH34" s="2388"/>
      <c r="AI34" s="2388"/>
      <c r="AJ34" s="2388"/>
      <c r="AK34" s="2388"/>
      <c r="AL34" s="2388"/>
      <c r="AM34" s="2388"/>
      <c r="AN34" s="2388"/>
      <c r="AO34" s="2388"/>
      <c r="AP34" s="2388"/>
      <c r="AQ34" s="2388"/>
      <c r="AR34" s="2388"/>
      <c r="AS34" s="2388"/>
      <c r="AT34" s="2388"/>
      <c r="AU34" s="2388"/>
      <c r="AV34" s="2388"/>
      <c r="AW34" s="2388"/>
      <c r="AX34" s="2388"/>
      <c r="AY34" s="2388"/>
      <c r="AZ34" s="2388"/>
      <c r="BA34" s="260"/>
      <c r="BB34" s="260"/>
      <c r="BC34" s="214"/>
      <c r="BD34" s="301"/>
      <c r="BE34" s="301"/>
      <c r="BF34" s="301"/>
      <c r="BG34" s="301"/>
      <c r="BH34" s="301"/>
      <c r="BI34" s="351">
        <v>0</v>
      </c>
    </row>
    <row r="35" spans="1:61" ht="14.25" hidden="1" customHeight="1">
      <c r="Q35" s="225"/>
      <c r="R35" s="309"/>
      <c r="S35" s="1063"/>
      <c r="T35" s="296"/>
      <c r="U35" s="29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442"/>
      <c r="BI35" s="956">
        <v>0</v>
      </c>
    </row>
    <row r="36" spans="1:61" s="1609" customFormat="1" ht="18.75" hidden="1" customHeight="1">
      <c r="A36" s="1156"/>
      <c r="B36" s="1156"/>
      <c r="C36" s="1156"/>
      <c r="D36" s="1156"/>
      <c r="E36" s="1156"/>
      <c r="F36" s="1156"/>
      <c r="G36" s="1156"/>
      <c r="H36" s="1156"/>
      <c r="I36" s="1156"/>
      <c r="J36" s="1156"/>
      <c r="K36" s="1156"/>
      <c r="L36" s="1157"/>
      <c r="M36" s="1156"/>
      <c r="N36" s="1156"/>
      <c r="O36" s="1156"/>
      <c r="P36" s="1156"/>
      <c r="Q36" s="1156"/>
      <c r="S36" s="2386" t="s">
        <v>507</v>
      </c>
      <c r="T36" s="2386"/>
      <c r="U36" s="1160"/>
      <c r="V36" s="2387" t="str">
        <f>IF(TITLE_DATE_PR_CHANGE="",IF(TITLE_DATE_PR="","",TITLE_DATE_PR),TITLE_DATE_PR_CHANGE)</f>
        <v/>
      </c>
      <c r="W36" s="2387"/>
      <c r="X36" s="2387"/>
      <c r="Y36" s="2387"/>
      <c r="Z36" s="2387"/>
      <c r="AA36" s="2387"/>
      <c r="AB36" s="2387"/>
      <c r="AC36" s="260"/>
      <c r="AD36" s="2387" t="str">
        <f>IF(TITLE_DATE_PR_CHANGE="",IF(TITLE_DATE_PR="","",TITLE_DATE_PR),TITLE_DATE_PR_CHANGE)</f>
        <v/>
      </c>
      <c r="AE36" s="2387"/>
      <c r="AF36" s="2387"/>
      <c r="AG36" s="2387"/>
      <c r="AH36" s="2387"/>
      <c r="AI36" s="2387"/>
      <c r="AJ36" s="2387"/>
      <c r="AK36" s="2387"/>
      <c r="AL36" s="2387"/>
      <c r="AM36" s="2387"/>
      <c r="AN36" s="2387"/>
      <c r="AO36" s="2387"/>
      <c r="AP36" s="2387"/>
      <c r="AQ36" s="2387"/>
      <c r="AR36" s="2387"/>
      <c r="AS36" s="2387"/>
      <c r="AT36" s="2387"/>
      <c r="AU36" s="2387"/>
      <c r="AV36" s="2387"/>
      <c r="AW36" s="2387"/>
      <c r="AX36" s="2387"/>
      <c r="AY36" s="2387"/>
      <c r="AZ36" s="2387"/>
      <c r="BA36" s="260"/>
      <c r="BB36" s="260"/>
      <c r="BC36" s="214"/>
      <c r="BD36" s="301"/>
      <c r="BE36" s="301"/>
      <c r="BF36" s="301"/>
      <c r="BG36" s="301"/>
      <c r="BH36" s="301"/>
      <c r="BI36" s="351">
        <v>0</v>
      </c>
    </row>
    <row r="37" spans="1:61" s="1609" customFormat="1" ht="18.75" hidden="1" customHeight="1">
      <c r="A37" s="1156"/>
      <c r="B37" s="1156"/>
      <c r="C37" s="1156"/>
      <c r="D37" s="1156"/>
      <c r="E37" s="1156"/>
      <c r="F37" s="1156"/>
      <c r="G37" s="1156"/>
      <c r="H37" s="1156"/>
      <c r="I37" s="1156"/>
      <c r="J37" s="1156"/>
      <c r="K37" s="1156"/>
      <c r="L37" s="1157"/>
      <c r="M37" s="1156"/>
      <c r="N37" s="1156"/>
      <c r="O37" s="1156"/>
      <c r="P37" s="1156"/>
      <c r="Q37" s="1156"/>
      <c r="S37" s="2386" t="s">
        <v>508</v>
      </c>
      <c r="T37" s="2386"/>
      <c r="U37" s="1160"/>
      <c r="V37" s="2388" t="str">
        <f>IF(TITLE_NUMBER_PR_CHANGE="",IF(TITLE_NUMBER_PR="","",TITLE_NUMBER_PR),TITLE_NUMBER_PR_CHANGE)</f>
        <v/>
      </c>
      <c r="W37" s="2388"/>
      <c r="X37" s="2388"/>
      <c r="Y37" s="2388"/>
      <c r="Z37" s="2388"/>
      <c r="AA37" s="2388"/>
      <c r="AB37" s="2388"/>
      <c r="AC37" s="260"/>
      <c r="AD37" s="2388" t="str">
        <f>IF(TITLE_NUMBER_PR_CHANGE="",IF(TITLE_NUMBER_PR="","",TITLE_NUMBER_PR),TITLE_NUMBER_PR_CHANGE)</f>
        <v/>
      </c>
      <c r="AE37" s="2388"/>
      <c r="AF37" s="2388"/>
      <c r="AG37" s="2388"/>
      <c r="AH37" s="2388"/>
      <c r="AI37" s="2388"/>
      <c r="AJ37" s="2388"/>
      <c r="AK37" s="2388"/>
      <c r="AL37" s="2388"/>
      <c r="AM37" s="2388"/>
      <c r="AN37" s="2388"/>
      <c r="AO37" s="2388"/>
      <c r="AP37" s="2388"/>
      <c r="AQ37" s="2388"/>
      <c r="AR37" s="2388"/>
      <c r="AS37" s="2388"/>
      <c r="AT37" s="2388"/>
      <c r="AU37" s="2388"/>
      <c r="AV37" s="2388"/>
      <c r="AW37" s="2388"/>
      <c r="AX37" s="2388"/>
      <c r="AY37" s="2388"/>
      <c r="AZ37" s="2388"/>
      <c r="BA37" s="260"/>
      <c r="BB37" s="260"/>
      <c r="BC37" s="214"/>
      <c r="BD37" s="301"/>
      <c r="BE37" s="301"/>
      <c r="BF37" s="301"/>
      <c r="BG37" s="301"/>
      <c r="BH37" s="301"/>
      <c r="BI37" s="351">
        <v>0</v>
      </c>
    </row>
    <row r="38" spans="1:61" s="1609" customFormat="1" ht="0" hidden="1" customHeight="1">
      <c r="A38" s="1156"/>
      <c r="B38" s="1156"/>
      <c r="C38" s="1156"/>
      <c r="D38" s="1156"/>
      <c r="E38" s="1156"/>
      <c r="F38" s="1156"/>
      <c r="G38" s="1156"/>
      <c r="H38" s="1156"/>
      <c r="I38" s="1156"/>
      <c r="J38" s="1156"/>
      <c r="K38" s="1156"/>
      <c r="L38" s="1157"/>
      <c r="M38" s="1156"/>
      <c r="N38" s="1156"/>
      <c r="O38" s="1156"/>
      <c r="P38" s="1156"/>
      <c r="Q38" s="1156"/>
      <c r="S38" s="257"/>
      <c r="T38" s="257"/>
      <c r="U38" s="1276"/>
      <c r="V38" s="260"/>
      <c r="W38" s="260"/>
      <c r="X38" s="260"/>
      <c r="Y38" s="260"/>
      <c r="Z38" s="260"/>
      <c r="AA38" s="260"/>
      <c r="AB38" s="260"/>
      <c r="AC38" s="212" t="s">
        <v>511</v>
      </c>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12" t="s">
        <v>511</v>
      </c>
      <c r="BD38" s="301"/>
      <c r="BE38" s="301"/>
      <c r="BF38" s="301"/>
      <c r="BG38" s="301"/>
      <c r="BH38" s="301"/>
      <c r="BI38" s="351">
        <v>0</v>
      </c>
    </row>
    <row r="39" spans="1:61" ht="14.65" customHeight="1">
      <c r="Q39" s="225"/>
      <c r="R39" s="309"/>
      <c r="S39" s="1063"/>
      <c r="T39" s="296"/>
      <c r="U39" s="1032"/>
      <c r="V39" s="2407"/>
      <c r="W39" s="2407"/>
      <c r="X39" s="2407"/>
      <c r="Y39" s="2407"/>
      <c r="Z39" s="2407"/>
      <c r="AA39" s="2407"/>
      <c r="AB39" s="2407"/>
      <c r="AC39" s="2407"/>
      <c r="AD39" s="2407"/>
      <c r="AE39" s="2407"/>
      <c r="AF39" s="2407"/>
      <c r="AG39" s="2407"/>
      <c r="AH39" s="2407"/>
      <c r="AI39" s="2407"/>
      <c r="AJ39" s="2407"/>
      <c r="AK39" s="2407"/>
      <c r="AL39" s="2407"/>
      <c r="AM39" s="2407"/>
      <c r="AN39" s="2407"/>
      <c r="AO39" s="2407"/>
      <c r="AP39" s="2407"/>
      <c r="AQ39" s="2407"/>
      <c r="AR39" s="2407"/>
      <c r="AS39" s="2407"/>
      <c r="AT39" s="2407"/>
      <c r="AU39" s="2407"/>
      <c r="AV39" s="2407"/>
      <c r="AW39" s="2407"/>
      <c r="AX39" s="2407"/>
      <c r="AY39" s="2407"/>
      <c r="AZ39" s="2407"/>
      <c r="BA39" s="2407"/>
      <c r="BI39" s="956">
        <v>14</v>
      </c>
    </row>
    <row r="40" spans="1:61" ht="14.65" customHeight="1">
      <c r="Q40" s="225"/>
      <c r="R40" s="309"/>
      <c r="S40" s="2266" t="s">
        <v>384</v>
      </c>
      <c r="T40" s="2266"/>
      <c r="U40" s="2266"/>
      <c r="V40" s="2266"/>
      <c r="W40" s="2266"/>
      <c r="X40" s="2266"/>
      <c r="Y40" s="2266"/>
      <c r="Z40" s="2266"/>
      <c r="AA40" s="2266"/>
      <c r="AB40" s="2266"/>
      <c r="AC40" s="2266"/>
      <c r="AD40" s="2266"/>
      <c r="AE40" s="2266"/>
      <c r="AF40" s="2266"/>
      <c r="AG40" s="2266"/>
      <c r="AH40" s="2266"/>
      <c r="AI40" s="2266"/>
      <c r="AJ40" s="2266"/>
      <c r="AK40" s="2266"/>
      <c r="AL40" s="2266"/>
      <c r="AM40" s="2266"/>
      <c r="AN40" s="2266"/>
      <c r="AO40" s="2266"/>
      <c r="AP40" s="2266"/>
      <c r="AQ40" s="2266"/>
      <c r="AR40" s="2266"/>
      <c r="AS40" s="2266"/>
      <c r="AT40" s="2266"/>
      <c r="AU40" s="2266"/>
      <c r="AV40" s="2266"/>
      <c r="AW40" s="2266"/>
      <c r="AX40" s="2266"/>
      <c r="AY40" s="2266"/>
      <c r="AZ40" s="2266"/>
      <c r="BA40" s="2266"/>
      <c r="BB40" s="2266"/>
      <c r="BC40" s="2266" t="s">
        <v>385</v>
      </c>
      <c r="BI40" s="956">
        <v>14</v>
      </c>
    </row>
    <row r="41" spans="1:61" ht="14.65" customHeight="1">
      <c r="Q41" s="225"/>
      <c r="R41" s="309"/>
      <c r="S41" s="2408" t="s">
        <v>75</v>
      </c>
      <c r="T41" s="2357" t="s">
        <v>591</v>
      </c>
      <c r="U41" s="235"/>
      <c r="V41" s="2409" t="s">
        <v>513</v>
      </c>
      <c r="W41" s="2410"/>
      <c r="X41" s="2410"/>
      <c r="Y41" s="2410"/>
      <c r="Z41" s="2410"/>
      <c r="AA41" s="2410"/>
      <c r="AB41" s="2411"/>
      <c r="AC41" s="2412" t="s">
        <v>514</v>
      </c>
      <c r="AD41" s="2441" t="s">
        <v>608</v>
      </c>
      <c r="AE41" s="2425"/>
      <c r="AF41" s="2425"/>
      <c r="AG41" s="2442"/>
      <c r="AH41" s="2441" t="s">
        <v>609</v>
      </c>
      <c r="AI41" s="2425"/>
      <c r="AJ41" s="2425"/>
      <c r="AK41" s="2442"/>
      <c r="AL41" s="2441" t="s">
        <v>610</v>
      </c>
      <c r="AM41" s="2425"/>
      <c r="AN41" s="2425"/>
      <c r="AO41" s="2442"/>
      <c r="AP41" s="2441" t="s">
        <v>595</v>
      </c>
      <c r="AQ41" s="2425"/>
      <c r="AR41" s="2425"/>
      <c r="AS41" s="2442"/>
      <c r="AT41" s="2409" t="s">
        <v>513</v>
      </c>
      <c r="AU41" s="2410"/>
      <c r="AV41" s="2410"/>
      <c r="AW41" s="2410"/>
      <c r="AX41" s="2410"/>
      <c r="AY41" s="2410"/>
      <c r="AZ41" s="2411"/>
      <c r="BA41" s="2412" t="s">
        <v>514</v>
      </c>
      <c r="BB41" s="2415" t="s">
        <v>516</v>
      </c>
      <c r="BC41" s="2266"/>
      <c r="BI41" s="956">
        <v>14</v>
      </c>
    </row>
    <row r="42" spans="1:61" ht="35.65" customHeight="1">
      <c r="Q42" s="225"/>
      <c r="R42" s="309"/>
      <c r="S42" s="2408"/>
      <c r="T42" s="2357"/>
      <c r="U42" s="874"/>
      <c r="V42" s="2328" t="s">
        <v>596</v>
      </c>
      <c r="W42" s="2329"/>
      <c r="X42" s="2328" t="s">
        <v>597</v>
      </c>
      <c r="Y42" s="2329"/>
      <c r="Z42" s="2328" t="s">
        <v>598</v>
      </c>
      <c r="AA42" s="2437"/>
      <c r="AB42" s="2329"/>
      <c r="AC42" s="2413"/>
      <c r="AD42" s="2443"/>
      <c r="AE42" s="2444"/>
      <c r="AF42" s="2444"/>
      <c r="AG42" s="2456"/>
      <c r="AH42" s="2443"/>
      <c r="AI42" s="2444"/>
      <c r="AJ42" s="2444"/>
      <c r="AK42" s="2456"/>
      <c r="AL42" s="2443"/>
      <c r="AM42" s="2444"/>
      <c r="AN42" s="2444"/>
      <c r="AO42" s="2456"/>
      <c r="AP42" s="2443"/>
      <c r="AQ42" s="2444"/>
      <c r="AR42" s="2444"/>
      <c r="AS42" s="2456"/>
      <c r="AT42" s="2328" t="s">
        <v>611</v>
      </c>
      <c r="AU42" s="2329"/>
      <c r="AV42" s="2328" t="s">
        <v>612</v>
      </c>
      <c r="AW42" s="2329"/>
      <c r="AX42" s="2328" t="s">
        <v>598</v>
      </c>
      <c r="AY42" s="2437"/>
      <c r="AZ42" s="2329"/>
      <c r="BA42" s="2413"/>
      <c r="BB42" s="2416"/>
      <c r="BC42" s="2266"/>
      <c r="BI42" s="956">
        <v>34</v>
      </c>
    </row>
    <row r="43" spans="1:61" ht="14.65" customHeight="1">
      <c r="Q43" s="225"/>
      <c r="R43" s="309"/>
      <c r="S43" s="2408"/>
      <c r="T43" s="2357"/>
      <c r="U43" s="874"/>
      <c r="V43" s="2333"/>
      <c r="W43" s="2334"/>
      <c r="X43" s="2333"/>
      <c r="Y43" s="2334"/>
      <c r="Z43" s="2333"/>
      <c r="AA43" s="2438"/>
      <c r="AB43" s="2334"/>
      <c r="AC43" s="2413"/>
      <c r="AD43" s="2443"/>
      <c r="AE43" s="2444"/>
      <c r="AF43" s="2444"/>
      <c r="AG43" s="2456"/>
      <c r="AH43" s="2443"/>
      <c r="AI43" s="2444"/>
      <c r="AJ43" s="2444"/>
      <c r="AK43" s="2456"/>
      <c r="AL43" s="2443"/>
      <c r="AM43" s="2444"/>
      <c r="AN43" s="2444"/>
      <c r="AO43" s="2456"/>
      <c r="AP43" s="2443"/>
      <c r="AQ43" s="2444"/>
      <c r="AR43" s="2444"/>
      <c r="AS43" s="2456"/>
      <c r="AT43" s="2333"/>
      <c r="AU43" s="2334"/>
      <c r="AV43" s="2333"/>
      <c r="AW43" s="2334"/>
      <c r="AX43" s="2333"/>
      <c r="AY43" s="2438"/>
      <c r="AZ43" s="2334"/>
      <c r="BA43" s="2413"/>
      <c r="BB43" s="2416"/>
      <c r="BC43" s="2266"/>
      <c r="BI43" s="956">
        <v>14</v>
      </c>
    </row>
    <row r="44" spans="1:61" ht="14.65" customHeight="1">
      <c r="A44" s="1158"/>
      <c r="B44" s="1158" t="s">
        <v>226</v>
      </c>
      <c r="C44" s="1158" t="s">
        <v>227</v>
      </c>
      <c r="D44" s="1158" t="s">
        <v>228</v>
      </c>
      <c r="E44" s="1152" t="s">
        <v>521</v>
      </c>
      <c r="F44" s="1152" t="s">
        <v>522</v>
      </c>
      <c r="G44" s="1152" t="s">
        <v>523</v>
      </c>
      <c r="H44" s="1152" t="s">
        <v>524</v>
      </c>
      <c r="I44" s="1152" t="s">
        <v>525</v>
      </c>
      <c r="J44" s="1152" t="s">
        <v>526</v>
      </c>
      <c r="K44" s="1152" t="s">
        <v>527</v>
      </c>
      <c r="L44" s="1152" t="s">
        <v>502</v>
      </c>
      <c r="Q44" s="225"/>
      <c r="R44" s="309"/>
      <c r="S44" s="2408"/>
      <c r="T44" s="2357"/>
      <c r="U44" s="236"/>
      <c r="V44" s="1267" t="s">
        <v>562</v>
      </c>
      <c r="W44" s="1267" t="s">
        <v>563</v>
      </c>
      <c r="X44" s="1267" t="s">
        <v>562</v>
      </c>
      <c r="Y44" s="1267" t="s">
        <v>563</v>
      </c>
      <c r="Z44" s="1277" t="s">
        <v>530</v>
      </c>
      <c r="AA44" s="2362" t="s">
        <v>531</v>
      </c>
      <c r="AB44" s="2375"/>
      <c r="AC44" s="2414"/>
      <c r="AD44" s="2445"/>
      <c r="AE44" s="2446"/>
      <c r="AF44" s="2446"/>
      <c r="AG44" s="2447"/>
      <c r="AH44" s="2445"/>
      <c r="AI44" s="2446"/>
      <c r="AJ44" s="2446"/>
      <c r="AK44" s="2447"/>
      <c r="AL44" s="2445"/>
      <c r="AM44" s="2446"/>
      <c r="AN44" s="2446"/>
      <c r="AO44" s="2447"/>
      <c r="AP44" s="2445"/>
      <c r="AQ44" s="2446"/>
      <c r="AR44" s="2446"/>
      <c r="AS44" s="2447"/>
      <c r="AT44" s="1267" t="s">
        <v>562</v>
      </c>
      <c r="AU44" s="1267" t="s">
        <v>563</v>
      </c>
      <c r="AV44" s="1267" t="s">
        <v>562</v>
      </c>
      <c r="AW44" s="1267" t="s">
        <v>563</v>
      </c>
      <c r="AX44" s="1277" t="s">
        <v>530</v>
      </c>
      <c r="AY44" s="2362" t="s">
        <v>531</v>
      </c>
      <c r="AZ44" s="2375"/>
      <c r="BA44" s="2414"/>
      <c r="BB44" s="2417"/>
      <c r="BC44" s="2266"/>
      <c r="BI44" s="956">
        <v>14</v>
      </c>
    </row>
    <row r="45" spans="1:61" s="1429" customFormat="1" ht="11.25" hidden="1" customHeight="1">
      <c r="A45" s="1158"/>
      <c r="B45" s="1158"/>
      <c r="C45" s="1158"/>
      <c r="D45" s="1158"/>
      <c r="E45" s="1158"/>
      <c r="F45" s="1158"/>
      <c r="G45" s="1158"/>
      <c r="H45" s="1158"/>
      <c r="I45" s="1158"/>
      <c r="J45" s="1158"/>
      <c r="K45" s="1158"/>
      <c r="L45" s="1152"/>
      <c r="M45" s="1150"/>
      <c r="N45" s="1150"/>
      <c r="O45" s="1150"/>
      <c r="P45" s="443"/>
      <c r="Q45" s="1042"/>
      <c r="R45" s="1042">
        <v>1</v>
      </c>
      <c r="S45" s="1065" t="s">
        <v>161</v>
      </c>
      <c r="T45" s="1043" t="s">
        <v>89</v>
      </c>
      <c r="U45" s="1033" t="str">
        <f ca="1">OFFSET(U45,0,-1)</f>
        <v>2</v>
      </c>
      <c r="V45" s="1270">
        <f t="shared" ref="V45:AA45" ca="1" si="2">OFFSET(V45,0,-1)+1</f>
        <v>3</v>
      </c>
      <c r="W45" s="1270">
        <f t="shared" ca="1" si="2"/>
        <v>4</v>
      </c>
      <c r="X45" s="1270">
        <f t="shared" ca="1" si="2"/>
        <v>5</v>
      </c>
      <c r="Y45" s="1270">
        <f t="shared" ca="1" si="2"/>
        <v>6</v>
      </c>
      <c r="Z45" s="1270">
        <f t="shared" ca="1" si="2"/>
        <v>7</v>
      </c>
      <c r="AA45" s="2406">
        <f t="shared" ca="1" si="2"/>
        <v>8</v>
      </c>
      <c r="AB45" s="2406"/>
      <c r="AC45" s="1270">
        <f ca="1">OFFSET(AC45,0,-2)+1</f>
        <v>9</v>
      </c>
      <c r="AD45" s="1270">
        <f ca="1">OFFSET(AD45,0,-1)+1</f>
        <v>10</v>
      </c>
      <c r="AE45" s="1270"/>
      <c r="AF45" s="1270"/>
      <c r="AG45" s="1270"/>
      <c r="AH45" s="1270"/>
      <c r="AI45" s="1270"/>
      <c r="AJ45" s="1270"/>
      <c r="AK45" s="1270"/>
      <c r="AL45" s="1270"/>
      <c r="AM45" s="1270"/>
      <c r="AN45" s="1270"/>
      <c r="AO45" s="1270"/>
      <c r="AP45" s="1270"/>
      <c r="AQ45" s="1270"/>
      <c r="AR45" s="1270"/>
      <c r="AS45" s="1270"/>
      <c r="AT45" s="1270"/>
      <c r="AU45" s="1270"/>
      <c r="AV45" s="1270"/>
      <c r="AW45" s="1270">
        <f ca="1">OFFSET(AW45,0,-1)+1</f>
        <v>1</v>
      </c>
      <c r="AX45" s="1270">
        <f ca="1">OFFSET(AX45,0,-1)+1</f>
        <v>2</v>
      </c>
      <c r="AY45" s="2406">
        <f ca="1">OFFSET(AY45,0,-1)+1</f>
        <v>3</v>
      </c>
      <c r="AZ45" s="2406"/>
      <c r="BA45" s="1270">
        <f ca="1">OFFSET(BA45,0,-2)+1</f>
        <v>4</v>
      </c>
      <c r="BB45" s="1033">
        <f ca="1">OFFSET(BB45,0,-1)</f>
        <v>4</v>
      </c>
      <c r="BC45" s="1270">
        <f ca="1">OFFSET(BC45,0,-1)+1</f>
        <v>5</v>
      </c>
      <c r="BD45" s="444"/>
      <c r="BE45" s="444"/>
      <c r="BF45" s="444"/>
      <c r="BG45" s="444"/>
      <c r="BH45" s="444"/>
      <c r="BI45" s="429">
        <v>0</v>
      </c>
    </row>
    <row r="46" spans="1:61" ht="21.95" customHeight="1">
      <c r="A46" s="1151" t="s">
        <v>360</v>
      </c>
      <c r="B46" s="1151"/>
      <c r="C46" s="1151"/>
      <c r="D46" s="1151"/>
      <c r="E46" s="2395">
        <v>1</v>
      </c>
      <c r="F46" s="1151"/>
      <c r="G46" s="1151"/>
      <c r="H46" s="1151"/>
      <c r="I46" s="1151"/>
      <c r="J46" s="1151"/>
      <c r="K46" s="1151"/>
      <c r="L46" s="1152"/>
      <c r="M46" s="1153"/>
      <c r="N46" s="1153"/>
      <c r="O46" s="1153"/>
      <c r="P46" s="1197"/>
      <c r="Q46" s="772"/>
      <c r="R46" s="288"/>
      <c r="S46" s="1281">
        <f>INDEX(PT_DIFFERENTIATION_NUM_NTAR,MATCH(A46,PT_DIFFERENTIATION_NTAR_ID,0))</f>
        <v>0</v>
      </c>
      <c r="T46" s="232" t="s">
        <v>214</v>
      </c>
      <c r="U46" s="234"/>
      <c r="V46" s="2390"/>
      <c r="W46" s="2390"/>
      <c r="X46" s="2390"/>
      <c r="Y46" s="2390"/>
      <c r="Z46" s="2390"/>
      <c r="AA46" s="2390"/>
      <c r="AB46" s="2390"/>
      <c r="AC46" s="2391"/>
      <c r="AD46" s="2389" t="str">
        <f>INDEX(PT_DIFFERENTIATION_NTAR,MATCH(A46,PT_DIFFERENTIATION_NTAR_ID,0))</f>
        <v/>
      </c>
      <c r="AE46" s="2390"/>
      <c r="AF46" s="2390"/>
      <c r="AG46" s="2390"/>
      <c r="AH46" s="2390"/>
      <c r="AI46" s="2390"/>
      <c r="AJ46" s="2390"/>
      <c r="AK46" s="2390"/>
      <c r="AL46" s="2390"/>
      <c r="AM46" s="2390"/>
      <c r="AN46" s="2390"/>
      <c r="AO46" s="2390"/>
      <c r="AP46" s="2390"/>
      <c r="AQ46" s="2390"/>
      <c r="AR46" s="2390"/>
      <c r="AS46" s="2390"/>
      <c r="AT46" s="2390"/>
      <c r="AU46" s="2390"/>
      <c r="AV46" s="2390"/>
      <c r="AW46" s="2390"/>
      <c r="AX46" s="2390"/>
      <c r="AY46" s="2390"/>
      <c r="AZ46" s="2390"/>
      <c r="BA46" s="2390"/>
      <c r="BB46" s="2391"/>
      <c r="BC46" s="104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3"/>
      <c r="BF46" s="433" t="str">
        <f t="shared" ref="BF46:BF52" si="3">IF(T46="","",T46)</f>
        <v>Наименование тарифа</v>
      </c>
      <c r="BG46" s="433"/>
      <c r="BH46" s="433"/>
      <c r="BI46" s="956">
        <v>21</v>
      </c>
    </row>
    <row r="47" spans="1:61" ht="21.95" customHeight="1">
      <c r="A47" s="1151" t="s">
        <v>360</v>
      </c>
      <c r="B47" s="1151" t="s">
        <v>361</v>
      </c>
      <c r="C47" s="1151"/>
      <c r="D47" s="1151"/>
      <c r="E47" s="2396"/>
      <c r="F47" s="2395">
        <v>1</v>
      </c>
      <c r="G47" s="1151"/>
      <c r="H47" s="1151"/>
      <c r="I47" s="1151"/>
      <c r="J47" s="1151"/>
      <c r="K47" s="1151"/>
      <c r="L47" s="1152"/>
      <c r="M47" s="1153"/>
      <c r="N47" s="1153"/>
      <c r="O47" s="1153"/>
      <c r="P47" s="1198"/>
      <c r="Q47" s="1199"/>
      <c r="R47" s="286"/>
      <c r="S47" s="1281" t="str">
        <f>INDEX(PT_DIFFERENTIATION_NUM_TER,MATCH(B47,PT_DIFFERENTIATION_TER_ID,0))</f>
        <v>.</v>
      </c>
      <c r="T47" s="242" t="s">
        <v>481</v>
      </c>
      <c r="U47" s="234"/>
      <c r="V47" s="2390"/>
      <c r="W47" s="2390"/>
      <c r="X47" s="2390"/>
      <c r="Y47" s="2390"/>
      <c r="Z47" s="2390"/>
      <c r="AA47" s="2390"/>
      <c r="AB47" s="2390"/>
      <c r="AC47" s="2391"/>
      <c r="AD47" s="2389" t="str">
        <f>INDEX(PT_DIFFERENTIATION_TER,MATCH(B47,PT_DIFFERENTIATION_TER_ID,0))</f>
        <v/>
      </c>
      <c r="AE47" s="2390"/>
      <c r="AF47" s="2390"/>
      <c r="AG47" s="2390"/>
      <c r="AH47" s="2390"/>
      <c r="AI47" s="2390"/>
      <c r="AJ47" s="2390"/>
      <c r="AK47" s="2390"/>
      <c r="AL47" s="2390"/>
      <c r="AM47" s="2390"/>
      <c r="AN47" s="2390"/>
      <c r="AO47" s="2390"/>
      <c r="AP47" s="2390"/>
      <c r="AQ47" s="2390"/>
      <c r="AR47" s="2390"/>
      <c r="AS47" s="2390"/>
      <c r="AT47" s="2390"/>
      <c r="AU47" s="2390"/>
      <c r="AV47" s="2390"/>
      <c r="AW47" s="2390"/>
      <c r="AX47" s="2390"/>
      <c r="AY47" s="2390"/>
      <c r="AZ47" s="2390"/>
      <c r="BA47" s="2390"/>
      <c r="BB47" s="2391"/>
      <c r="BC47" s="1046" t="s">
        <v>482</v>
      </c>
      <c r="BE47" s="433"/>
      <c r="BF47" s="433" t="str">
        <f t="shared" si="3"/>
        <v>Территория действия тарифа</v>
      </c>
      <c r="BG47" s="433"/>
      <c r="BH47" s="433"/>
      <c r="BI47" s="956">
        <v>21</v>
      </c>
    </row>
    <row r="48" spans="1:61" ht="35.65" customHeight="1">
      <c r="A48" s="1151" t="s">
        <v>360</v>
      </c>
      <c r="B48" s="1151" t="s">
        <v>361</v>
      </c>
      <c r="C48" s="1151" t="s">
        <v>362</v>
      </c>
      <c r="D48" s="1151"/>
      <c r="E48" s="2396"/>
      <c r="F48" s="2396"/>
      <c r="G48" s="2395">
        <v>1</v>
      </c>
      <c r="H48" s="1151"/>
      <c r="I48" s="1151"/>
      <c r="J48" s="1151"/>
      <c r="K48" s="1151"/>
      <c r="L48" s="1152"/>
      <c r="M48" s="1153"/>
      <c r="N48" s="1153"/>
      <c r="O48" s="1153"/>
      <c r="P48" s="1200"/>
      <c r="Q48" s="1199"/>
      <c r="R48" s="286"/>
      <c r="S48" s="1281" t="str">
        <f>INDEX(PT_DIFFERENTIATION_NUM_CS,MATCH(C48,PT_DIFFERENTIATION_CS_ID,0))</f>
        <v>..</v>
      </c>
      <c r="T48" s="243" t="s">
        <v>600</v>
      </c>
      <c r="U48" s="234"/>
      <c r="V48" s="2390"/>
      <c r="W48" s="2390"/>
      <c r="X48" s="2390"/>
      <c r="Y48" s="2390"/>
      <c r="Z48" s="2390"/>
      <c r="AA48" s="2390"/>
      <c r="AB48" s="2390"/>
      <c r="AC48" s="2391"/>
      <c r="AD48" s="2389" t="str">
        <f>INDEX(PT_DIFFERENTIATION_CS,MATCH(C48,PT_DIFFERENTIATION_CS_ID,0))</f>
        <v/>
      </c>
      <c r="AE48" s="2390"/>
      <c r="AF48" s="2390"/>
      <c r="AG48" s="2390"/>
      <c r="AH48" s="2390"/>
      <c r="AI48" s="2390"/>
      <c r="AJ48" s="2390"/>
      <c r="AK48" s="2390"/>
      <c r="AL48" s="2390"/>
      <c r="AM48" s="2390"/>
      <c r="AN48" s="2390"/>
      <c r="AO48" s="2390"/>
      <c r="AP48" s="2390"/>
      <c r="AQ48" s="2390"/>
      <c r="AR48" s="2390"/>
      <c r="AS48" s="2390"/>
      <c r="AT48" s="2390"/>
      <c r="AU48" s="2390"/>
      <c r="AV48" s="2390"/>
      <c r="AW48" s="2390"/>
      <c r="AX48" s="2390"/>
      <c r="AY48" s="2390"/>
      <c r="AZ48" s="2390"/>
      <c r="BA48" s="2390"/>
      <c r="BB48" s="2391"/>
      <c r="BC48" s="1046" t="s">
        <v>601</v>
      </c>
      <c r="BE48" s="433"/>
      <c r="BF48" s="433" t="str">
        <f t="shared" si="3"/>
        <v>Наименование централизованной системы водоотведения</v>
      </c>
      <c r="BG48" s="433"/>
      <c r="BH48" s="433"/>
      <c r="BI48" s="956">
        <v>34</v>
      </c>
    </row>
    <row r="49" spans="1:61" s="1430" customFormat="1" ht="0" hidden="1" customHeight="1">
      <c r="A49" s="1131" t="s">
        <v>360</v>
      </c>
      <c r="B49" s="1131" t="s">
        <v>361</v>
      </c>
      <c r="C49" s="1131" t="s">
        <v>362</v>
      </c>
      <c r="D49" s="1131" t="s">
        <v>613</v>
      </c>
      <c r="E49" s="2396"/>
      <c r="F49" s="2396"/>
      <c r="G49" s="2396"/>
      <c r="H49" s="2395">
        <v>1</v>
      </c>
      <c r="I49" s="1131"/>
      <c r="J49" s="1131"/>
      <c r="K49" s="1131"/>
      <c r="L49" s="1134"/>
      <c r="M49" s="1103"/>
      <c r="N49" s="1103"/>
      <c r="O49" s="1103"/>
      <c r="P49" s="1285"/>
      <c r="Q49" s="1286"/>
      <c r="R49" s="290"/>
      <c r="S49" s="881"/>
      <c r="T49" s="1287"/>
      <c r="U49" s="1172"/>
      <c r="V49" s="2427"/>
      <c r="W49" s="2427"/>
      <c r="X49" s="2427"/>
      <c r="Y49" s="2427"/>
      <c r="Z49" s="2427"/>
      <c r="AA49" s="2427"/>
      <c r="AB49" s="2427"/>
      <c r="AC49" s="2428"/>
      <c r="AD49" s="2426"/>
      <c r="AE49" s="2427"/>
      <c r="AF49" s="2427"/>
      <c r="AG49" s="2427"/>
      <c r="AH49" s="2427"/>
      <c r="AI49" s="2427"/>
      <c r="AJ49" s="2427"/>
      <c r="AK49" s="2427"/>
      <c r="AL49" s="2427"/>
      <c r="AM49" s="2427"/>
      <c r="AN49" s="2427"/>
      <c r="AO49" s="2427"/>
      <c r="AP49" s="2427"/>
      <c r="AQ49" s="2427"/>
      <c r="AR49" s="2427"/>
      <c r="AS49" s="2427"/>
      <c r="AT49" s="2427"/>
      <c r="AU49" s="2427"/>
      <c r="AV49" s="2427"/>
      <c r="AW49" s="2427"/>
      <c r="AX49" s="2427"/>
      <c r="AY49" s="2427"/>
      <c r="AZ49" s="2427"/>
      <c r="BA49" s="2427"/>
      <c r="BB49" s="2428"/>
      <c r="BC49" s="1173" t="s">
        <v>486</v>
      </c>
      <c r="BE49" s="433"/>
      <c r="BF49" s="433" t="str">
        <f t="shared" si="3"/>
        <v/>
      </c>
      <c r="BG49" s="433"/>
      <c r="BH49" s="433"/>
      <c r="BI49" s="444">
        <v>0</v>
      </c>
    </row>
    <row r="50" spans="1:61" s="1430" customFormat="1" ht="0" hidden="1" customHeight="1">
      <c r="A50" s="1131" t="s">
        <v>360</v>
      </c>
      <c r="B50" s="1131" t="s">
        <v>361</v>
      </c>
      <c r="C50" s="1131" t="s">
        <v>362</v>
      </c>
      <c r="D50" s="1131" t="s">
        <v>613</v>
      </c>
      <c r="E50" s="2396"/>
      <c r="F50" s="2396"/>
      <c r="G50" s="2396"/>
      <c r="H50" s="2396"/>
      <c r="I50" s="2397" t="str">
        <f>S49&amp;".1"</f>
        <v>.1</v>
      </c>
      <c r="J50" s="1131"/>
      <c r="K50" s="1131"/>
      <c r="L50" s="1134" t="s">
        <v>487</v>
      </c>
      <c r="M50" s="443"/>
      <c r="N50" s="443"/>
      <c r="O50" s="443"/>
      <c r="P50" s="2399">
        <v>1</v>
      </c>
      <c r="Q50" s="1269"/>
      <c r="R50" s="289"/>
      <c r="S50" s="881"/>
      <c r="T50" s="1171"/>
      <c r="U50" s="1172"/>
      <c r="V50" s="2427"/>
      <c r="W50" s="2427"/>
      <c r="X50" s="2427"/>
      <c r="Y50" s="2427"/>
      <c r="Z50" s="2427"/>
      <c r="AA50" s="2427"/>
      <c r="AB50" s="2427"/>
      <c r="AC50" s="2428"/>
      <c r="AD50" s="2426"/>
      <c r="AE50" s="2427"/>
      <c r="AF50" s="2427"/>
      <c r="AG50" s="2427"/>
      <c r="AH50" s="2427"/>
      <c r="AI50" s="2427"/>
      <c r="AJ50" s="2427"/>
      <c r="AK50" s="2427"/>
      <c r="AL50" s="2427"/>
      <c r="AM50" s="2427"/>
      <c r="AN50" s="2427"/>
      <c r="AO50" s="2427"/>
      <c r="AP50" s="2427"/>
      <c r="AQ50" s="2427"/>
      <c r="AR50" s="2427"/>
      <c r="AS50" s="2427"/>
      <c r="AT50" s="2427"/>
      <c r="AU50" s="2427"/>
      <c r="AV50" s="2427"/>
      <c r="AW50" s="2427"/>
      <c r="AX50" s="2427"/>
      <c r="AY50" s="2427"/>
      <c r="AZ50" s="2427"/>
      <c r="BA50" s="2427"/>
      <c r="BB50" s="2428"/>
      <c r="BC50" s="1173"/>
      <c r="BE50" s="433"/>
      <c r="BF50" s="433" t="str">
        <f t="shared" si="3"/>
        <v/>
      </c>
      <c r="BG50" s="433"/>
      <c r="BH50" s="433"/>
      <c r="BI50" s="444">
        <v>0</v>
      </c>
    </row>
    <row r="51" spans="1:61" s="1430" customFormat="1" ht="0" hidden="1" customHeight="1">
      <c r="A51" s="1131" t="s">
        <v>360</v>
      </c>
      <c r="B51" s="1131" t="s">
        <v>361</v>
      </c>
      <c r="C51" s="1131" t="s">
        <v>362</v>
      </c>
      <c r="D51" s="1131" t="s">
        <v>613</v>
      </c>
      <c r="E51" s="2396"/>
      <c r="F51" s="2396"/>
      <c r="G51" s="2396"/>
      <c r="H51" s="2396"/>
      <c r="I51" s="2398"/>
      <c r="J51" s="2397" t="str">
        <f>S49&amp;".1"</f>
        <v>.1</v>
      </c>
      <c r="K51" s="1131"/>
      <c r="L51" s="1134"/>
      <c r="M51" s="443"/>
      <c r="N51" s="443"/>
      <c r="O51" s="443"/>
      <c r="P51" s="2399"/>
      <c r="Q51" s="2399">
        <v>1</v>
      </c>
      <c r="R51" s="290"/>
      <c r="S51" s="881"/>
      <c r="T51" s="1187"/>
      <c r="U51" s="1172"/>
      <c r="V51" s="2427"/>
      <c r="W51" s="2427"/>
      <c r="X51" s="2427"/>
      <c r="Y51" s="2427"/>
      <c r="Z51" s="2427"/>
      <c r="AA51" s="2427"/>
      <c r="AB51" s="2427"/>
      <c r="AC51" s="2428"/>
      <c r="AD51" s="2426"/>
      <c r="AE51" s="2427"/>
      <c r="AF51" s="2427"/>
      <c r="AG51" s="2427"/>
      <c r="AH51" s="2427"/>
      <c r="AI51" s="2427"/>
      <c r="AJ51" s="2427"/>
      <c r="AK51" s="2427"/>
      <c r="AL51" s="2427"/>
      <c r="AM51" s="2427"/>
      <c r="AN51" s="2478"/>
      <c r="AO51" s="2478"/>
      <c r="AP51" s="2427"/>
      <c r="AQ51" s="2427"/>
      <c r="AR51" s="2427"/>
      <c r="AS51" s="2427"/>
      <c r="AT51" s="2427"/>
      <c r="AU51" s="2427"/>
      <c r="AV51" s="2427"/>
      <c r="AW51" s="2427"/>
      <c r="AX51" s="2427"/>
      <c r="AY51" s="2427"/>
      <c r="AZ51" s="2427"/>
      <c r="BA51" s="2427"/>
      <c r="BB51" s="2428"/>
      <c r="BC51" s="1173"/>
      <c r="BE51" s="433"/>
      <c r="BF51" s="433" t="str">
        <f t="shared" si="3"/>
        <v/>
      </c>
      <c r="BG51" s="433"/>
      <c r="BH51" s="433"/>
      <c r="BI51" s="444">
        <v>0</v>
      </c>
    </row>
    <row r="52" spans="1:61" ht="11.45" customHeight="1">
      <c r="A52" s="1151" t="s">
        <v>360</v>
      </c>
      <c r="B52" s="1151" t="s">
        <v>361</v>
      </c>
      <c r="C52" s="1151" t="s">
        <v>362</v>
      </c>
      <c r="D52" s="1151" t="s">
        <v>613</v>
      </c>
      <c r="E52" s="2396"/>
      <c r="F52" s="2396"/>
      <c r="G52" s="2396"/>
      <c r="H52" s="2396"/>
      <c r="I52" s="2398"/>
      <c r="J52" s="2398"/>
      <c r="K52" s="2397" t="str">
        <f>S48&amp;".1"</f>
        <v>...1</v>
      </c>
      <c r="L52" s="1152"/>
      <c r="P52" s="2399"/>
      <c r="Q52" s="2399"/>
      <c r="R52" s="290">
        <v>1</v>
      </c>
      <c r="S52" s="2452" t="str">
        <f>$K52</f>
        <v>...1</v>
      </c>
      <c r="T52" s="2472"/>
      <c r="U52" s="234"/>
      <c r="V52" s="658"/>
      <c r="W52" s="1045"/>
      <c r="X52" s="658"/>
      <c r="Y52" s="1045"/>
      <c r="Z52" s="1493"/>
      <c r="AA52" s="1257" t="s">
        <v>52</v>
      </c>
      <c r="AB52" s="1493"/>
      <c r="AC52" s="1257" t="s">
        <v>52</v>
      </c>
      <c r="AD52" s="2340" t="s">
        <v>52</v>
      </c>
      <c r="AE52" s="2448"/>
      <c r="AF52" s="2353">
        <v>1</v>
      </c>
      <c r="AG52" s="2471"/>
      <c r="AH52" s="2276" t="s">
        <v>52</v>
      </c>
      <c r="AI52" s="2448"/>
      <c r="AJ52" s="2353">
        <v>1</v>
      </c>
      <c r="AK52" s="2462" t="s">
        <v>9</v>
      </c>
      <c r="AL52" s="2276" t="s">
        <v>52</v>
      </c>
      <c r="AM52" s="2328"/>
      <c r="AN52" s="2353">
        <v>1</v>
      </c>
      <c r="AO52" s="2475"/>
      <c r="AP52" s="2476" t="s">
        <v>52</v>
      </c>
      <c r="AQ52" s="245"/>
      <c r="AR52" s="1274">
        <v>1</v>
      </c>
      <c r="AS52" s="1280" t="s">
        <v>9</v>
      </c>
      <c r="AT52" s="658"/>
      <c r="AU52" s="1045"/>
      <c r="AV52" s="658"/>
      <c r="AW52" s="1045"/>
      <c r="AX52" s="1493"/>
      <c r="AY52" s="1257" t="s">
        <v>52</v>
      </c>
      <c r="AZ52" s="1493"/>
      <c r="BA52" s="1257" t="s">
        <v>52</v>
      </c>
      <c r="BB52" s="1136"/>
      <c r="BC52" s="2418" t="s">
        <v>585</v>
      </c>
      <c r="BE52" s="433"/>
      <c r="BF52" s="433" t="str">
        <f t="shared" si="3"/>
        <v/>
      </c>
      <c r="BG52" s="433"/>
      <c r="BH52" s="433"/>
      <c r="BI52" s="956">
        <v>11</v>
      </c>
    </row>
    <row r="53" spans="1:61" ht="11.45" customHeight="1">
      <c r="A53" s="1151"/>
      <c r="B53" s="1151"/>
      <c r="C53" s="1151"/>
      <c r="D53" s="1151"/>
      <c r="E53" s="2396"/>
      <c r="F53" s="2396"/>
      <c r="G53" s="2396"/>
      <c r="H53" s="2396"/>
      <c r="I53" s="2398"/>
      <c r="J53" s="2398"/>
      <c r="K53" s="2397"/>
      <c r="L53" s="1152"/>
      <c r="P53" s="2399"/>
      <c r="Q53" s="2399"/>
      <c r="R53" s="290"/>
      <c r="S53" s="2453"/>
      <c r="T53" s="2473"/>
      <c r="U53" s="234"/>
      <c r="V53" s="1181"/>
      <c r="W53" s="1284"/>
      <c r="X53" s="1181"/>
      <c r="Y53" s="1284"/>
      <c r="Z53" s="1181"/>
      <c r="AA53" s="1181"/>
      <c r="AB53" s="1181"/>
      <c r="AC53" s="1181"/>
      <c r="AD53" s="2341"/>
      <c r="AE53" s="2448"/>
      <c r="AF53" s="2353"/>
      <c r="AG53" s="2471"/>
      <c r="AH53" s="2276"/>
      <c r="AI53" s="2448"/>
      <c r="AJ53" s="2353"/>
      <c r="AK53" s="2462"/>
      <c r="AL53" s="2276"/>
      <c r="AM53" s="2333"/>
      <c r="AN53" s="2353"/>
      <c r="AO53" s="2475"/>
      <c r="AP53" s="2477"/>
      <c r="AQ53" s="250"/>
      <c r="AR53" s="349"/>
      <c r="AS53" s="349" t="s">
        <v>586</v>
      </c>
      <c r="AT53" s="1181"/>
      <c r="AU53" s="1284"/>
      <c r="AV53" s="1181"/>
      <c r="AW53" s="1284"/>
      <c r="AX53" s="1181"/>
      <c r="AY53" s="1181"/>
      <c r="AZ53" s="1181"/>
      <c r="BA53" s="1181"/>
      <c r="BB53" s="1185"/>
      <c r="BC53" s="2419"/>
      <c r="BE53" s="433"/>
      <c r="BF53" s="433"/>
      <c r="BG53" s="433"/>
      <c r="BH53" s="433"/>
      <c r="BI53" s="956">
        <v>11</v>
      </c>
    </row>
    <row r="54" spans="1:61" ht="11.45" customHeight="1">
      <c r="A54" s="1151" t="s">
        <v>360</v>
      </c>
      <c r="B54" s="1151"/>
      <c r="C54" s="1151"/>
      <c r="D54" s="1151"/>
      <c r="E54" s="2396"/>
      <c r="F54" s="2396"/>
      <c r="G54" s="2396"/>
      <c r="H54" s="2396"/>
      <c r="I54" s="2398"/>
      <c r="J54" s="2398"/>
      <c r="K54" s="2397"/>
      <c r="L54" s="1152"/>
      <c r="P54" s="2399"/>
      <c r="Q54" s="2399"/>
      <c r="R54" s="290"/>
      <c r="S54" s="2453"/>
      <c r="T54" s="2473"/>
      <c r="U54" s="234"/>
      <c r="V54" s="1181"/>
      <c r="W54" s="1284"/>
      <c r="X54" s="1181"/>
      <c r="Y54" s="1284"/>
      <c r="Z54" s="1181"/>
      <c r="AA54" s="1181"/>
      <c r="AB54" s="1181"/>
      <c r="AC54" s="1181"/>
      <c r="AD54" s="2341"/>
      <c r="AE54" s="2448"/>
      <c r="AF54" s="2353"/>
      <c r="AG54" s="2471"/>
      <c r="AH54" s="2276"/>
      <c r="AI54" s="2448"/>
      <c r="AJ54" s="2353"/>
      <c r="AK54" s="2462"/>
      <c r="AL54" s="2276"/>
      <c r="AM54" s="250"/>
      <c r="AN54" s="1288"/>
      <c r="AO54" s="1288" t="s">
        <v>606</v>
      </c>
      <c r="AP54" s="349"/>
      <c r="AQ54" s="349"/>
      <c r="AR54" s="349"/>
      <c r="AS54" s="1181"/>
      <c r="AT54" s="1181"/>
      <c r="AU54" s="1284"/>
      <c r="AV54" s="1181"/>
      <c r="AW54" s="1284"/>
      <c r="AX54" s="1181"/>
      <c r="AY54" s="1181"/>
      <c r="AZ54" s="1181"/>
      <c r="BA54" s="1181"/>
      <c r="BB54" s="1185"/>
      <c r="BC54" s="2419"/>
      <c r="BE54" s="433"/>
      <c r="BF54" s="433"/>
      <c r="BG54" s="433"/>
      <c r="BH54" s="433"/>
      <c r="BI54" s="956">
        <v>11</v>
      </c>
    </row>
    <row r="55" spans="1:61" ht="11.45" customHeight="1">
      <c r="A55" s="1151" t="s">
        <v>360</v>
      </c>
      <c r="B55" s="1151"/>
      <c r="C55" s="1151"/>
      <c r="D55" s="1151"/>
      <c r="E55" s="2396"/>
      <c r="F55" s="2396"/>
      <c r="G55" s="2396"/>
      <c r="H55" s="2396"/>
      <c r="I55" s="2398"/>
      <c r="J55" s="2398"/>
      <c r="K55" s="2397"/>
      <c r="L55" s="1152"/>
      <c r="P55" s="2399"/>
      <c r="Q55" s="2399"/>
      <c r="R55" s="290"/>
      <c r="S55" s="2453"/>
      <c r="T55" s="2473"/>
      <c r="U55" s="234"/>
      <c r="V55" s="1181"/>
      <c r="W55" s="1284"/>
      <c r="X55" s="1181"/>
      <c r="Y55" s="1284"/>
      <c r="Z55" s="1181"/>
      <c r="AA55" s="1181"/>
      <c r="AB55" s="1181"/>
      <c r="AC55" s="1181"/>
      <c r="AD55" s="2341"/>
      <c r="AE55" s="2448"/>
      <c r="AF55" s="2353"/>
      <c r="AG55" s="2471"/>
      <c r="AH55" s="2276"/>
      <c r="AI55" s="228"/>
      <c r="AJ55" s="348"/>
      <c r="AK55" s="247" t="s">
        <v>607</v>
      </c>
      <c r="AL55" s="1181"/>
      <c r="AM55" s="1181"/>
      <c r="AN55" s="1181"/>
      <c r="AO55" s="1181"/>
      <c r="AP55" s="1181"/>
      <c r="AQ55" s="1181"/>
      <c r="AR55" s="1181"/>
      <c r="AS55" s="1181"/>
      <c r="AT55" s="1181"/>
      <c r="AU55" s="1284"/>
      <c r="AV55" s="1181"/>
      <c r="AW55" s="1284"/>
      <c r="AX55" s="1181"/>
      <c r="AY55" s="1181"/>
      <c r="AZ55" s="1181"/>
      <c r="BA55" s="1181"/>
      <c r="BB55" s="1185"/>
      <c r="BC55" s="2419"/>
      <c r="BE55" s="433"/>
      <c r="BF55" s="433"/>
      <c r="BG55" s="433"/>
      <c r="BH55" s="433"/>
      <c r="BI55" s="956">
        <v>11</v>
      </c>
    </row>
    <row r="56" spans="1:61" ht="11.45" customHeight="1">
      <c r="A56" s="1151" t="s">
        <v>360</v>
      </c>
      <c r="B56" s="1151" t="s">
        <v>361</v>
      </c>
      <c r="C56" s="1151" t="s">
        <v>362</v>
      </c>
      <c r="D56" s="1151" t="s">
        <v>613</v>
      </c>
      <c r="E56" s="2396"/>
      <c r="F56" s="2396"/>
      <c r="G56" s="2396"/>
      <c r="H56" s="2396"/>
      <c r="I56" s="2398"/>
      <c r="J56" s="2398"/>
      <c r="K56" s="2397"/>
      <c r="L56" s="1152"/>
      <c r="P56" s="2399"/>
      <c r="Q56" s="2399"/>
      <c r="R56" s="290"/>
      <c r="S56" s="2454"/>
      <c r="T56" s="2474"/>
      <c r="U56" s="234"/>
      <c r="V56" s="1181"/>
      <c r="W56" s="1182" t="str">
        <f>Z52&amp;"-"&amp;AB52</f>
        <v>-</v>
      </c>
      <c r="X56" s="1181"/>
      <c r="Y56" s="1182" t="str">
        <f>AB52&amp;"-"&amp;AD52</f>
        <v>-да</v>
      </c>
      <c r="Z56" s="1181"/>
      <c r="AA56" s="1181"/>
      <c r="AB56" s="1181"/>
      <c r="AC56" s="1181"/>
      <c r="AD56" s="2282"/>
      <c r="AE56" s="246"/>
      <c r="AF56" s="248"/>
      <c r="AG56" s="349" t="s">
        <v>589</v>
      </c>
      <c r="AH56" s="1181"/>
      <c r="AI56" s="1181"/>
      <c r="AJ56" s="1181"/>
      <c r="AK56" s="1181"/>
      <c r="AL56" s="1181"/>
      <c r="AM56" s="1181"/>
      <c r="AN56" s="1181"/>
      <c r="AO56" s="1181"/>
      <c r="AP56" s="1181"/>
      <c r="AQ56" s="1181"/>
      <c r="AR56" s="1181"/>
      <c r="AS56" s="1181"/>
      <c r="AT56" s="1181"/>
      <c r="AU56" s="1182" t="str">
        <f>AX52&amp;"-"&amp;AZ52</f>
        <v>-</v>
      </c>
      <c r="AV56" s="1181"/>
      <c r="AW56" s="1182" t="str">
        <f>AZ52&amp;"-"&amp;BB52</f>
        <v>-</v>
      </c>
      <c r="AX56" s="1181"/>
      <c r="AY56" s="1181"/>
      <c r="AZ56" s="1181"/>
      <c r="BA56" s="1181"/>
      <c r="BB56" s="1184" t="str">
        <f>BE52&amp;"-"&amp;BG52</f>
        <v>-</v>
      </c>
      <c r="BC56" s="2419"/>
      <c r="BE56" s="433"/>
      <c r="BF56" s="433" t="str">
        <f t="shared" ref="BF56:BF63" si="4">IF(T56="","",T56)</f>
        <v/>
      </c>
      <c r="BG56" s="433"/>
      <c r="BH56" s="433"/>
      <c r="BI56" s="956">
        <v>11</v>
      </c>
    </row>
    <row r="57" spans="1:61" ht="11.45" customHeight="1">
      <c r="A57" s="1151" t="s">
        <v>360</v>
      </c>
      <c r="B57" s="1151" t="s">
        <v>361</v>
      </c>
      <c r="C57" s="1151" t="s">
        <v>362</v>
      </c>
      <c r="D57" s="1151" t="s">
        <v>613</v>
      </c>
      <c r="E57" s="2396"/>
      <c r="F57" s="2396"/>
      <c r="G57" s="2396"/>
      <c r="H57" s="2396"/>
      <c r="I57" s="2398"/>
      <c r="J57" s="2397"/>
      <c r="K57" s="1151"/>
      <c r="L57" s="1152"/>
      <c r="P57" s="2399"/>
      <c r="Q57" s="2399"/>
      <c r="R57" s="289"/>
      <c r="S57" s="1066"/>
      <c r="T57" s="221" t="s">
        <v>552</v>
      </c>
      <c r="U57" s="300"/>
      <c r="V57" s="300"/>
      <c r="W57" s="300"/>
      <c r="X57" s="300"/>
      <c r="Y57" s="300"/>
      <c r="Z57" s="300"/>
      <c r="AA57" s="300"/>
      <c r="AB57" s="300"/>
      <c r="AC57" s="258"/>
      <c r="AD57" s="1293"/>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258"/>
      <c r="BC57" s="2420"/>
      <c r="BE57" s="433"/>
      <c r="BF57" s="433" t="str">
        <f t="shared" si="4"/>
        <v>Добавить строку</v>
      </c>
      <c r="BG57" s="433"/>
      <c r="BH57" s="433"/>
      <c r="BI57" s="956">
        <v>11</v>
      </c>
    </row>
    <row r="58" spans="1:61" s="1430" customFormat="1" ht="0" hidden="1" customHeight="1">
      <c r="A58" s="1131" t="s">
        <v>360</v>
      </c>
      <c r="B58" s="1131" t="s">
        <v>361</v>
      </c>
      <c r="C58" s="1131" t="s">
        <v>362</v>
      </c>
      <c r="D58" s="1131" t="s">
        <v>613</v>
      </c>
      <c r="E58" s="2396"/>
      <c r="F58" s="2396"/>
      <c r="G58" s="2396"/>
      <c r="H58" s="2396"/>
      <c r="I58" s="2397"/>
      <c r="J58" s="1131"/>
      <c r="K58" s="1131"/>
      <c r="L58" s="1134"/>
      <c r="M58" s="443"/>
      <c r="N58" s="443"/>
      <c r="O58" s="443"/>
      <c r="P58" s="2399"/>
      <c r="Q58" s="1269"/>
      <c r="R58" s="289"/>
      <c r="S58" s="1174"/>
      <c r="T58" s="1175"/>
      <c r="U58" s="1176"/>
      <c r="V58" s="1176"/>
      <c r="W58" s="1176"/>
      <c r="X58" s="1176"/>
      <c r="Y58" s="1176"/>
      <c r="Z58" s="1176"/>
      <c r="AA58" s="1176"/>
      <c r="AB58" s="1176"/>
      <c r="AC58" s="1176"/>
      <c r="AD58" s="1176"/>
      <c r="AE58" s="1176"/>
      <c r="AF58" s="1176"/>
      <c r="AG58" s="1176"/>
      <c r="AH58" s="1176"/>
      <c r="AI58" s="1176"/>
      <c r="AJ58" s="1176"/>
      <c r="AK58" s="1176"/>
      <c r="AL58" s="1176"/>
      <c r="AM58" s="1176"/>
      <c r="AN58" s="1176"/>
      <c r="AO58" s="1176"/>
      <c r="AP58" s="1176"/>
      <c r="AQ58" s="1176"/>
      <c r="AR58" s="1176"/>
      <c r="AS58" s="1176"/>
      <c r="AT58" s="1176"/>
      <c r="AU58" s="1176"/>
      <c r="AV58" s="1176"/>
      <c r="AW58" s="1176"/>
      <c r="AX58" s="1176"/>
      <c r="AY58" s="1176"/>
      <c r="AZ58" s="1176"/>
      <c r="BA58" s="1176"/>
      <c r="BB58" s="1176"/>
      <c r="BC58" s="1177"/>
      <c r="BE58" s="433"/>
      <c r="BF58" s="433" t="str">
        <f t="shared" si="4"/>
        <v/>
      </c>
      <c r="BG58" s="433"/>
      <c r="BH58" s="433"/>
      <c r="BI58" s="444">
        <v>0</v>
      </c>
    </row>
    <row r="59" spans="1:61" s="1430" customFormat="1" ht="0" hidden="1" customHeight="1">
      <c r="A59" s="1131" t="s">
        <v>360</v>
      </c>
      <c r="B59" s="1131" t="s">
        <v>361</v>
      </c>
      <c r="C59" s="1131" t="s">
        <v>362</v>
      </c>
      <c r="D59" s="1131" t="s">
        <v>613</v>
      </c>
      <c r="E59" s="2396"/>
      <c r="F59" s="2396"/>
      <c r="G59" s="2396"/>
      <c r="H59" s="2395"/>
      <c r="I59" s="1131"/>
      <c r="J59" s="1131"/>
      <c r="K59" s="1131"/>
      <c r="L59" s="1134"/>
      <c r="M59" s="1103"/>
      <c r="N59" s="1103"/>
      <c r="O59" s="451"/>
      <c r="P59" s="313"/>
      <c r="Q59" s="1132"/>
      <c r="R59" s="1189"/>
      <c r="S59" s="1174"/>
      <c r="T59" s="1175"/>
      <c r="U59" s="1176"/>
      <c r="V59" s="1176"/>
      <c r="W59" s="1176"/>
      <c r="X59" s="1176"/>
      <c r="Y59" s="1176"/>
      <c r="Z59" s="1176"/>
      <c r="AA59" s="1176"/>
      <c r="AB59" s="1176"/>
      <c r="AC59" s="1176"/>
      <c r="AD59" s="1176"/>
      <c r="AE59" s="1176"/>
      <c r="AF59" s="1176"/>
      <c r="AG59" s="1176"/>
      <c r="AH59" s="1176"/>
      <c r="AI59" s="1176"/>
      <c r="AJ59" s="1176"/>
      <c r="AK59" s="1176"/>
      <c r="AL59" s="1176"/>
      <c r="AM59" s="1176"/>
      <c r="AN59" s="1176"/>
      <c r="AO59" s="1176"/>
      <c r="AP59" s="1176"/>
      <c r="AQ59" s="1176"/>
      <c r="AR59" s="1176"/>
      <c r="AS59" s="1176"/>
      <c r="AT59" s="1176"/>
      <c r="AU59" s="1176"/>
      <c r="AV59" s="1176"/>
      <c r="AW59" s="1176"/>
      <c r="AX59" s="1176"/>
      <c r="AY59" s="1176"/>
      <c r="AZ59" s="1176"/>
      <c r="BA59" s="1176"/>
      <c r="BB59" s="1176"/>
      <c r="BC59" s="1177"/>
      <c r="BE59" s="433"/>
      <c r="BF59" s="433" t="str">
        <f t="shared" si="4"/>
        <v/>
      </c>
      <c r="BG59" s="433"/>
      <c r="BH59" s="433"/>
      <c r="BI59" s="444">
        <v>0</v>
      </c>
    </row>
    <row r="60" spans="1:61" s="1430" customFormat="1" ht="0" hidden="1" customHeight="1">
      <c r="A60" s="1131" t="s">
        <v>360</v>
      </c>
      <c r="B60" s="1131" t="s">
        <v>361</v>
      </c>
      <c r="C60" s="1131" t="s">
        <v>362</v>
      </c>
      <c r="D60" s="1102"/>
      <c r="E60" s="2396"/>
      <c r="F60" s="2396"/>
      <c r="G60" s="2395"/>
      <c r="H60" s="1102"/>
      <c r="I60" s="1102"/>
      <c r="J60" s="1102"/>
      <c r="K60" s="1102"/>
      <c r="L60" s="1282"/>
      <c r="M60" s="1103"/>
      <c r="N60" s="1103"/>
      <c r="P60" s="1104"/>
      <c r="Q60" s="1105"/>
      <c r="R60" s="1104"/>
      <c r="S60" s="1110"/>
      <c r="T60" s="1113"/>
      <c r="U60" s="1112"/>
      <c r="V60" s="1112"/>
      <c r="W60" s="1112"/>
      <c r="X60" s="1112"/>
      <c r="Y60" s="1112"/>
      <c r="Z60" s="1112"/>
      <c r="AA60" s="1112"/>
      <c r="AB60" s="1112"/>
      <c r="AC60" s="1112"/>
      <c r="AD60" s="1112"/>
      <c r="AE60" s="1112"/>
      <c r="AF60" s="1112"/>
      <c r="AG60" s="1112"/>
      <c r="AH60" s="1112"/>
      <c r="AI60" s="1112"/>
      <c r="AJ60" s="1112"/>
      <c r="AK60" s="1112"/>
      <c r="AL60" s="1112"/>
      <c r="AM60" s="1112"/>
      <c r="AN60" s="1112"/>
      <c r="AO60" s="1112"/>
      <c r="AP60" s="1112"/>
      <c r="AQ60" s="1112"/>
      <c r="AR60" s="1112"/>
      <c r="AS60" s="1112"/>
      <c r="AT60" s="1112"/>
      <c r="AU60" s="1112"/>
      <c r="AV60" s="1112"/>
      <c r="AW60" s="1112"/>
      <c r="AX60" s="1112"/>
      <c r="AY60" s="1112"/>
      <c r="AZ60" s="1112"/>
      <c r="BA60" s="1112"/>
      <c r="BB60" s="1112"/>
      <c r="BC60" s="1112"/>
      <c r="BE60" s="688"/>
      <c r="BF60" s="688" t="str">
        <f t="shared" si="4"/>
        <v/>
      </c>
      <c r="BG60" s="688"/>
      <c r="BH60" s="688"/>
      <c r="BI60" s="451">
        <v>0</v>
      </c>
    </row>
    <row r="61" spans="1:61" s="1430" customFormat="1" ht="0" hidden="1" customHeight="1">
      <c r="A61" s="1131" t="s">
        <v>360</v>
      </c>
      <c r="B61" s="1131" t="s">
        <v>361</v>
      </c>
      <c r="C61" s="1102"/>
      <c r="D61" s="1102"/>
      <c r="E61" s="2396"/>
      <c r="F61" s="2395"/>
      <c r="G61" s="1102"/>
      <c r="H61" s="1102"/>
      <c r="I61" s="1102"/>
      <c r="J61" s="1102"/>
      <c r="K61" s="1102"/>
      <c r="L61" s="1282"/>
      <c r="M61" s="1109"/>
      <c r="N61" s="1109"/>
      <c r="P61" s="1104"/>
      <c r="Q61" s="1105"/>
      <c r="R61" s="1104"/>
      <c r="S61" s="1110"/>
      <c r="T61" s="1113" t="s">
        <v>499</v>
      </c>
      <c r="U61" s="1112"/>
      <c r="V61" s="1112"/>
      <c r="W61" s="1112"/>
      <c r="X61" s="1112"/>
      <c r="Y61" s="1112"/>
      <c r="Z61" s="1112"/>
      <c r="AA61" s="1112"/>
      <c r="AB61" s="1112"/>
      <c r="AC61" s="1112"/>
      <c r="AD61" s="1112"/>
      <c r="AE61" s="1112"/>
      <c r="AF61" s="1112"/>
      <c r="AG61" s="1112"/>
      <c r="AH61" s="1112"/>
      <c r="AI61" s="1112"/>
      <c r="AJ61" s="1112"/>
      <c r="AK61" s="1112"/>
      <c r="AL61" s="1112"/>
      <c r="AM61" s="1112"/>
      <c r="AN61" s="1112"/>
      <c r="AO61" s="1112"/>
      <c r="AP61" s="1112"/>
      <c r="AQ61" s="1112"/>
      <c r="AR61" s="1112"/>
      <c r="AS61" s="1112"/>
      <c r="AT61" s="1112"/>
      <c r="AU61" s="1112"/>
      <c r="AV61" s="1112"/>
      <c r="AW61" s="1112"/>
      <c r="AX61" s="1112"/>
      <c r="AY61" s="1112"/>
      <c r="AZ61" s="1112"/>
      <c r="BA61" s="1112"/>
      <c r="BB61" s="1112"/>
      <c r="BC61" s="1112"/>
      <c r="BE61" s="688"/>
      <c r="BF61" s="688" t="str">
        <f t="shared" si="4"/>
        <v>Добавить централизованную систему для дифференциации</v>
      </c>
      <c r="BG61" s="688"/>
      <c r="BH61" s="688"/>
      <c r="BI61" s="451">
        <v>0</v>
      </c>
    </row>
    <row r="62" spans="1:61" s="1430" customFormat="1" ht="0" hidden="1" customHeight="1">
      <c r="A62" s="1131" t="s">
        <v>360</v>
      </c>
      <c r="B62" s="1131"/>
      <c r="C62" s="1131"/>
      <c r="D62" s="1131"/>
      <c r="E62" s="2395"/>
      <c r="F62" s="1131"/>
      <c r="G62" s="1131"/>
      <c r="H62" s="1131"/>
      <c r="I62" s="1131"/>
      <c r="J62" s="1131"/>
      <c r="K62" s="1131"/>
      <c r="L62" s="1134"/>
      <c r="M62" s="1109"/>
      <c r="N62" s="1109"/>
      <c r="O62" s="451"/>
      <c r="P62" s="313"/>
      <c r="Q62" s="1132"/>
      <c r="R62" s="313"/>
      <c r="S62" s="1110"/>
      <c r="T62" s="1113" t="s">
        <v>500</v>
      </c>
      <c r="U62" s="1112"/>
      <c r="V62" s="1112"/>
      <c r="W62" s="1112"/>
      <c r="X62" s="1112"/>
      <c r="Y62" s="1112"/>
      <c r="Z62" s="1112"/>
      <c r="AA62" s="1112"/>
      <c r="AB62" s="1112"/>
      <c r="AC62" s="1112"/>
      <c r="AD62" s="1112"/>
      <c r="AE62" s="1112"/>
      <c r="AF62" s="1112"/>
      <c r="AG62" s="1112"/>
      <c r="AH62" s="1112"/>
      <c r="AI62" s="1112"/>
      <c r="AJ62" s="1112"/>
      <c r="AK62" s="1112"/>
      <c r="AL62" s="1112"/>
      <c r="AM62" s="1112"/>
      <c r="AN62" s="1112"/>
      <c r="AO62" s="1112"/>
      <c r="AP62" s="1112"/>
      <c r="AQ62" s="1112"/>
      <c r="AR62" s="1112"/>
      <c r="AS62" s="1112"/>
      <c r="AT62" s="1112"/>
      <c r="AU62" s="1112"/>
      <c r="AV62" s="1112"/>
      <c r="AW62" s="1112"/>
      <c r="AX62" s="1112"/>
      <c r="AY62" s="1112"/>
      <c r="AZ62" s="1112"/>
      <c r="BA62" s="1112"/>
      <c r="BB62" s="1112"/>
      <c r="BC62" s="1112"/>
      <c r="BE62" s="433"/>
      <c r="BF62" s="433" t="str">
        <f t="shared" si="4"/>
        <v>Добавить территорию для дифференциации</v>
      </c>
      <c r="BG62" s="433"/>
      <c r="BH62" s="433"/>
      <c r="BI62" s="444">
        <v>0</v>
      </c>
    </row>
    <row r="63" spans="1:61" s="1430" customFormat="1" ht="0" hidden="1" customHeight="1">
      <c r="A63" s="1102"/>
      <c r="B63" s="1102"/>
      <c r="C63" s="1102"/>
      <c r="D63" s="1102"/>
      <c r="E63" s="1131"/>
      <c r="F63" s="1102"/>
      <c r="G63" s="1102"/>
      <c r="H63" s="1102"/>
      <c r="I63" s="1102"/>
      <c r="J63" s="1102"/>
      <c r="K63" s="1102"/>
      <c r="L63" s="1282"/>
      <c r="M63" s="1109"/>
      <c r="N63" s="1109"/>
      <c r="P63" s="1104"/>
      <c r="Q63" s="1105"/>
      <c r="R63" s="1104"/>
      <c r="S63" s="1110"/>
      <c r="T63" s="1113" t="s">
        <v>532</v>
      </c>
      <c r="U63" s="1112"/>
      <c r="V63" s="1112"/>
      <c r="W63" s="1112"/>
      <c r="X63" s="1112"/>
      <c r="Y63" s="1112"/>
      <c r="Z63" s="1112"/>
      <c r="AA63" s="1112"/>
      <c r="AB63" s="1112"/>
      <c r="AC63" s="1112"/>
      <c r="AD63" s="1112"/>
      <c r="AE63" s="1112"/>
      <c r="AF63" s="1112"/>
      <c r="AG63" s="1112"/>
      <c r="AH63" s="1112"/>
      <c r="AI63" s="1112"/>
      <c r="AJ63" s="1112"/>
      <c r="AK63" s="1112"/>
      <c r="AL63" s="1112"/>
      <c r="AM63" s="1112"/>
      <c r="AN63" s="1112"/>
      <c r="AO63" s="1112"/>
      <c r="AP63" s="1112"/>
      <c r="AQ63" s="1112"/>
      <c r="AR63" s="1112"/>
      <c r="AS63" s="1112"/>
      <c r="AT63" s="1112"/>
      <c r="AU63" s="1112"/>
      <c r="AV63" s="1112"/>
      <c r="AW63" s="1112"/>
      <c r="AX63" s="1112"/>
      <c r="AY63" s="1112"/>
      <c r="AZ63" s="1112"/>
      <c r="BA63" s="1112"/>
      <c r="BB63" s="1112"/>
      <c r="BC63" s="1112"/>
      <c r="BE63" s="688"/>
      <c r="BF63" s="688" t="str">
        <f t="shared" si="4"/>
        <v>Добавить наименование тарифа</v>
      </c>
      <c r="BG63" s="688"/>
      <c r="BH63" s="688"/>
      <c r="BI63" s="451">
        <v>0</v>
      </c>
    </row>
    <row r="64" spans="1:61" ht="11.45" customHeight="1">
      <c r="M64" s="961"/>
      <c r="N64" s="961"/>
      <c r="O64" s="469"/>
      <c r="P64" s="961"/>
      <c r="Q64" s="961"/>
      <c r="R64" s="956"/>
      <c r="S64" s="956"/>
      <c r="BD64" s="956"/>
      <c r="BE64" s="956"/>
      <c r="BF64" s="956"/>
      <c r="BG64" s="956"/>
      <c r="BH64" s="956"/>
      <c r="BI64" s="956">
        <v>11</v>
      </c>
    </row>
    <row r="65" spans="1:61" ht="14.65" customHeight="1">
      <c r="O65" s="469"/>
      <c r="S65" s="1041"/>
      <c r="T65" s="2394"/>
      <c r="U65" s="2394"/>
      <c r="V65" s="2394"/>
      <c r="W65" s="2394"/>
      <c r="X65" s="2394"/>
      <c r="Y65" s="2394"/>
      <c r="Z65" s="2394"/>
      <c r="AA65" s="2394"/>
      <c r="AB65" s="2394"/>
      <c r="AC65" s="2394"/>
      <c r="AD65" s="2394"/>
      <c r="AE65" s="2394"/>
      <c r="AF65" s="2394"/>
      <c r="AG65" s="2394"/>
      <c r="AH65" s="2394"/>
      <c r="AI65" s="2394"/>
      <c r="AJ65" s="2394"/>
      <c r="AK65" s="2394"/>
      <c r="AL65" s="2394"/>
      <c r="AM65" s="2394"/>
      <c r="AN65" s="2394"/>
      <c r="AO65" s="2394"/>
      <c r="AP65" s="2394"/>
      <c r="AQ65" s="2394"/>
      <c r="AR65" s="2394"/>
      <c r="AS65" s="2394"/>
      <c r="AT65" s="2394"/>
      <c r="AU65" s="2394"/>
      <c r="AV65" s="2394"/>
      <c r="AW65" s="2394"/>
      <c r="AX65" s="2394"/>
      <c r="AY65" s="2394"/>
      <c r="AZ65" s="2394"/>
      <c r="BA65" s="2394"/>
      <c r="BB65" s="2394"/>
      <c r="BC65" s="2394"/>
      <c r="BI65" s="956">
        <v>14</v>
      </c>
    </row>
    <row r="66" spans="1:61" ht="14.65" customHeight="1">
      <c r="O66" s="469"/>
      <c r="T66" s="1268"/>
      <c r="U66" s="1268"/>
      <c r="V66" s="1268"/>
      <c r="W66" s="1268"/>
      <c r="X66" s="1268"/>
      <c r="Y66" s="1268"/>
      <c r="Z66" s="1268"/>
      <c r="AA66" s="1268"/>
      <c r="AB66" s="1268"/>
      <c r="AC66" s="1268"/>
      <c r="AD66" s="1268"/>
      <c r="AE66" s="1268"/>
      <c r="AF66" s="1268"/>
      <c r="AG66" s="1268"/>
      <c r="AH66" s="1268"/>
      <c r="AI66" s="1268"/>
      <c r="AJ66" s="1268"/>
      <c r="AK66" s="1268"/>
      <c r="AL66" s="1268"/>
      <c r="AM66" s="1268"/>
      <c r="AN66" s="1268"/>
      <c r="AO66" s="1268"/>
      <c r="AP66" s="1268"/>
      <c r="AQ66" s="1268"/>
      <c r="AR66" s="1268"/>
      <c r="AS66" s="1268"/>
      <c r="AT66" s="1268"/>
      <c r="AU66" s="1268"/>
      <c r="AV66" s="1268"/>
      <c r="AW66" s="1268"/>
      <c r="AX66" s="1268"/>
      <c r="AY66" s="1268"/>
      <c r="AZ66" s="1268"/>
      <c r="BA66" s="1268"/>
      <c r="BB66" s="1268"/>
      <c r="BC66" s="1268"/>
      <c r="BI66" s="956">
        <v>14</v>
      </c>
    </row>
    <row r="67" spans="1:61" ht="14.65" customHeight="1">
      <c r="O67" s="469"/>
      <c r="S67" s="1041"/>
      <c r="T67" s="2394"/>
      <c r="U67" s="2394"/>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R67" s="2394"/>
      <c r="AS67" s="2394"/>
      <c r="AT67" s="2394"/>
      <c r="AU67" s="2394"/>
      <c r="AV67" s="2394"/>
      <c r="AW67" s="2394"/>
      <c r="AX67" s="2394"/>
      <c r="AY67" s="2394"/>
      <c r="AZ67" s="2394"/>
      <c r="BA67" s="2394"/>
      <c r="BB67" s="2394"/>
      <c r="BC67" s="2394"/>
      <c r="BI67" s="956">
        <v>14</v>
      </c>
    </row>
    <row r="68" spans="1:61" ht="14.65" customHeight="1">
      <c r="O68" s="469"/>
      <c r="BI68" s="956">
        <v>14</v>
      </c>
    </row>
    <row r="69" spans="1:61" ht="14.25" hidden="1" customHeight="1">
      <c r="A69" s="961" t="s">
        <v>69</v>
      </c>
      <c r="B69" s="961">
        <v>0</v>
      </c>
      <c r="C69" s="961">
        <v>0</v>
      </c>
      <c r="D69" s="961">
        <v>0</v>
      </c>
      <c r="E69" s="961">
        <v>0</v>
      </c>
      <c r="F69" s="961">
        <v>0</v>
      </c>
      <c r="G69" s="961">
        <v>0</v>
      </c>
      <c r="H69" s="961">
        <v>0</v>
      </c>
      <c r="I69" s="961">
        <v>0</v>
      </c>
      <c r="J69" s="961">
        <v>0</v>
      </c>
      <c r="K69" s="961">
        <v>0</v>
      </c>
      <c r="L69" s="1266">
        <v>0</v>
      </c>
      <c r="M69" s="1150">
        <v>0</v>
      </c>
      <c r="N69" s="1150">
        <v>0</v>
      </c>
      <c r="O69" s="1150">
        <v>0</v>
      </c>
      <c r="P69" s="1150">
        <v>0</v>
      </c>
      <c r="Q69" s="1159">
        <v>0</v>
      </c>
      <c r="R69" s="278">
        <v>3</v>
      </c>
      <c r="S69" s="512">
        <v>12</v>
      </c>
      <c r="T69" s="956">
        <v>31</v>
      </c>
      <c r="U69" s="956">
        <v>0</v>
      </c>
      <c r="V69" s="956">
        <v>0</v>
      </c>
      <c r="W69" s="956">
        <v>0</v>
      </c>
      <c r="X69" s="956">
        <v>0</v>
      </c>
      <c r="Y69" s="956">
        <v>0</v>
      </c>
      <c r="Z69" s="956">
        <v>0</v>
      </c>
      <c r="AA69" s="956">
        <v>0</v>
      </c>
      <c r="AB69" s="956">
        <v>0</v>
      </c>
      <c r="AC69" s="956">
        <v>0</v>
      </c>
      <c r="AD69" s="956">
        <v>3</v>
      </c>
      <c r="AE69" s="956">
        <v>3</v>
      </c>
      <c r="AF69" s="956">
        <v>3</v>
      </c>
      <c r="AG69" s="956">
        <v>24</v>
      </c>
      <c r="AH69" s="956">
        <v>3</v>
      </c>
      <c r="AI69" s="956">
        <v>3</v>
      </c>
      <c r="AJ69" s="956">
        <v>3</v>
      </c>
      <c r="AK69" s="956">
        <v>24</v>
      </c>
      <c r="AL69" s="956">
        <v>3</v>
      </c>
      <c r="AM69" s="956">
        <v>3</v>
      </c>
      <c r="AN69" s="956">
        <v>3</v>
      </c>
      <c r="AO69" s="956">
        <v>18</v>
      </c>
      <c r="AP69" s="956">
        <v>3</v>
      </c>
      <c r="AQ69" s="956">
        <v>3</v>
      </c>
      <c r="AR69" s="956">
        <v>3</v>
      </c>
      <c r="AS69" s="956">
        <v>18</v>
      </c>
      <c r="AT69" s="956">
        <v>21</v>
      </c>
      <c r="AU69" s="956">
        <v>21</v>
      </c>
      <c r="AV69" s="956">
        <v>21</v>
      </c>
      <c r="AW69" s="956">
        <v>21</v>
      </c>
      <c r="AX69" s="956">
        <v>11</v>
      </c>
      <c r="AY69" s="956">
        <v>3</v>
      </c>
      <c r="AZ69" s="956">
        <v>11</v>
      </c>
      <c r="BA69" s="956">
        <v>0</v>
      </c>
      <c r="BB69" s="956">
        <v>4</v>
      </c>
      <c r="BC69" s="956">
        <v>115</v>
      </c>
      <c r="BD69" s="444">
        <v>10</v>
      </c>
      <c r="BE69" s="444">
        <v>10</v>
      </c>
      <c r="BF69" s="444">
        <v>10</v>
      </c>
      <c r="BG69" s="444">
        <v>10</v>
      </c>
      <c r="BH69" s="444">
        <v>10</v>
      </c>
      <c r="BI69" s="956">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154" hidden="1"/>
    <col min="2" max="2" width="11" style="1154" hidden="1" customWidth="1"/>
    <col min="3" max="3" width="10.5703125" style="1154" hidden="1"/>
    <col min="4" max="4" width="11.85546875" style="1154" hidden="1" customWidth="1"/>
    <col min="5" max="5" width="10" style="1154" hidden="1" customWidth="1"/>
    <col min="6" max="6" width="8.7109375" style="1154" hidden="1" customWidth="1"/>
    <col min="7" max="7" width="7.5703125" style="1154" hidden="1" customWidth="1"/>
    <col min="8" max="8" width="11.42578125" style="1154" hidden="1" customWidth="1"/>
    <col min="9" max="9" width="14.140625" style="1154" hidden="1" customWidth="1"/>
    <col min="10" max="10" width="9.85546875" style="1154" hidden="1" customWidth="1"/>
    <col min="11" max="11" width="14.7109375" style="1154" hidden="1" customWidth="1"/>
    <col min="12" max="12" width="19.140625" style="1866" hidden="1" customWidth="1"/>
    <col min="13" max="14" width="12.28515625" style="1535" hidden="1" customWidth="1"/>
    <col min="15" max="15" width="23.42578125" style="1535" hidden="1" customWidth="1"/>
    <col min="16" max="16" width="3" style="1857" customWidth="1"/>
    <col min="17" max="18" width="3" style="278" customWidth="1"/>
    <col min="19" max="19" width="12" style="1858" customWidth="1"/>
    <col min="20" max="20" width="35" style="1423" customWidth="1"/>
    <col min="21" max="21" width="0.140625" style="1423" customWidth="1"/>
    <col min="22" max="28" width="19.7109375" style="1423" hidden="1" customWidth="1"/>
    <col min="29" max="29" width="11.7109375" style="1423" hidden="1" customWidth="1"/>
    <col min="30" max="30" width="3.7109375" style="1423" hidden="1" customWidth="1"/>
    <col min="31" max="31" width="11.7109375" style="1423" hidden="1" customWidth="1"/>
    <col min="32" max="32" width="8.5703125" style="1423" hidden="1" customWidth="1"/>
    <col min="33" max="33" width="19.7109375" style="1423" customWidth="1"/>
    <col min="34" max="39" width="19" style="1423" customWidth="1"/>
    <col min="40" max="40" width="11" style="1423" customWidth="1"/>
    <col min="41" max="41" width="3.7109375" style="1423" customWidth="1"/>
    <col min="42" max="42" width="11" style="1423" customWidth="1"/>
    <col min="43" max="43" width="8.5703125" style="1423" hidden="1" customWidth="1"/>
    <col min="44" max="44" width="4" style="1423" customWidth="1"/>
    <col min="45" max="45" width="115" style="1423" customWidth="1"/>
    <col min="46" max="50" width="10" style="1430" customWidth="1"/>
    <col min="51" max="51" width="10.5703125" style="1423" hidden="1"/>
  </cols>
  <sheetData>
    <row r="1" spans="1:51" ht="22.5" hidden="1" customHeight="1">
      <c r="AC1" s="261"/>
      <c r="AN1" s="261"/>
      <c r="AY1" s="956" t="s">
        <v>1</v>
      </c>
    </row>
    <row r="2" spans="1:51" ht="23.25" hidden="1" customHeight="1">
      <c r="A2" s="1151"/>
      <c r="B2" s="1151"/>
      <c r="C2" s="1151"/>
      <c r="D2" s="1151"/>
      <c r="E2" s="2395">
        <v>1</v>
      </c>
      <c r="F2" s="1151"/>
      <c r="G2" s="1151"/>
      <c r="H2" s="1151"/>
      <c r="I2" s="1151"/>
      <c r="J2" s="1151"/>
      <c r="K2" s="1151"/>
      <c r="L2" s="1152"/>
      <c r="M2" s="1153"/>
      <c r="N2" s="1153"/>
      <c r="O2" s="1153"/>
      <c r="P2" s="294"/>
      <c r="Q2" s="293"/>
      <c r="R2" s="288"/>
      <c r="S2" s="1281" t="e">
        <f>INDEX(PT_DIFFERENTIATION_NUM_NTAR,MATCH(A2,PT_DIFFERENTIATION_NTAR_ID,0))</f>
        <v>#N/A</v>
      </c>
      <c r="T2" s="232" t="s">
        <v>214</v>
      </c>
      <c r="U2" s="234"/>
      <c r="V2" s="2389"/>
      <c r="W2" s="2390"/>
      <c r="X2" s="2390"/>
      <c r="Y2" s="2390"/>
      <c r="Z2" s="2390"/>
      <c r="AA2" s="2390"/>
      <c r="AB2" s="2390"/>
      <c r="AC2" s="2390"/>
      <c r="AD2" s="2390"/>
      <c r="AE2" s="2390"/>
      <c r="AF2" s="2391"/>
      <c r="AG2" s="2389" t="e">
        <f>INDEX(PT_DIFFERENTIATION_NTAR,MATCH(A2,PT_DIFFERENTIATION_NTAR_ID,0))</f>
        <v>#N/A</v>
      </c>
      <c r="AH2" s="2390"/>
      <c r="AI2" s="2390"/>
      <c r="AJ2" s="2390"/>
      <c r="AK2" s="2390"/>
      <c r="AL2" s="2390"/>
      <c r="AM2" s="2390"/>
      <c r="AN2" s="2390"/>
      <c r="AO2" s="2390"/>
      <c r="AP2" s="2390"/>
      <c r="AQ2" s="2390"/>
      <c r="AR2" s="2391"/>
      <c r="AS2" s="104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3"/>
      <c r="AV2" s="433" t="str">
        <f t="shared" ref="AV2:AV13" si="0">IF(T2="","",T2)</f>
        <v>Наименование тарифа</v>
      </c>
      <c r="AW2" s="433"/>
      <c r="AX2" s="433"/>
      <c r="AY2" s="956">
        <v>0</v>
      </c>
    </row>
    <row r="3" spans="1:51" ht="23.25" hidden="1" customHeight="1">
      <c r="A3" s="1151"/>
      <c r="B3" s="1151"/>
      <c r="C3" s="1151"/>
      <c r="D3" s="1151"/>
      <c r="E3" s="2396"/>
      <c r="F3" s="2395">
        <v>1</v>
      </c>
      <c r="G3" s="1151"/>
      <c r="H3" s="1151"/>
      <c r="I3" s="1151"/>
      <c r="J3" s="1151"/>
      <c r="K3" s="1151"/>
      <c r="L3" s="1152"/>
      <c r="M3" s="1153"/>
      <c r="N3" s="1153"/>
      <c r="O3" s="1153"/>
      <c r="P3" s="1275"/>
      <c r="Q3" s="285"/>
      <c r="R3" s="286"/>
      <c r="S3" s="1281" t="e">
        <f>INDEX(PT_DIFFERENTIATION_NUM_TER,MATCH(B3,PT_DIFFERENTIATION_TER_ID,0))</f>
        <v>#N/A</v>
      </c>
      <c r="T3" s="242" t="s">
        <v>481</v>
      </c>
      <c r="U3" s="234"/>
      <c r="V3" s="2389"/>
      <c r="W3" s="2390"/>
      <c r="X3" s="2390"/>
      <c r="Y3" s="2390"/>
      <c r="Z3" s="2390"/>
      <c r="AA3" s="2390"/>
      <c r="AB3" s="2390"/>
      <c r="AC3" s="2390"/>
      <c r="AD3" s="2390"/>
      <c r="AE3" s="2390"/>
      <c r="AF3" s="2391"/>
      <c r="AG3" s="2389" t="e">
        <f>INDEX(PT_DIFFERENTIATION_TER,MATCH(B3,PT_DIFFERENTIATION_TER_ID,0))</f>
        <v>#N/A</v>
      </c>
      <c r="AH3" s="2390"/>
      <c r="AI3" s="2390"/>
      <c r="AJ3" s="2390"/>
      <c r="AK3" s="2390"/>
      <c r="AL3" s="2390"/>
      <c r="AM3" s="2390"/>
      <c r="AN3" s="2390"/>
      <c r="AO3" s="2390"/>
      <c r="AP3" s="2390"/>
      <c r="AQ3" s="2390"/>
      <c r="AR3" s="2391"/>
      <c r="AS3" s="1046" t="s">
        <v>482</v>
      </c>
      <c r="AU3" s="433"/>
      <c r="AV3" s="433" t="str">
        <f t="shared" si="0"/>
        <v>Территория действия тарифа</v>
      </c>
      <c r="AW3" s="433"/>
      <c r="AX3" s="433"/>
      <c r="AY3" s="956">
        <v>0</v>
      </c>
    </row>
    <row r="4" spans="1:51" ht="23.25" hidden="1" customHeight="1">
      <c r="A4" s="1151"/>
      <c r="B4" s="1151"/>
      <c r="C4" s="1151"/>
      <c r="D4" s="1151"/>
      <c r="E4" s="2396"/>
      <c r="F4" s="2396"/>
      <c r="G4" s="2395">
        <v>1</v>
      </c>
      <c r="H4" s="1151"/>
      <c r="I4" s="1151"/>
      <c r="J4" s="1151"/>
      <c r="K4" s="1151"/>
      <c r="L4" s="1152"/>
      <c r="M4" s="1153"/>
      <c r="N4" s="1153"/>
      <c r="O4" s="1153"/>
      <c r="P4" s="287"/>
      <c r="Q4" s="285"/>
      <c r="R4" s="286"/>
      <c r="S4" s="1281" t="e">
        <f>INDEX(PT_DIFFERENTIATION_NUM_CS,MATCH(C4,PT_DIFFERENTIATION_CS_ID,0))</f>
        <v>#N/A</v>
      </c>
      <c r="T4" s="243" t="s">
        <v>614</v>
      </c>
      <c r="U4" s="234"/>
      <c r="V4" s="2389"/>
      <c r="W4" s="2390"/>
      <c r="X4" s="2390"/>
      <c r="Y4" s="2390"/>
      <c r="Z4" s="2390"/>
      <c r="AA4" s="2390"/>
      <c r="AB4" s="2390"/>
      <c r="AC4" s="2390"/>
      <c r="AD4" s="2390"/>
      <c r="AE4" s="2390"/>
      <c r="AF4" s="2391"/>
      <c r="AG4" s="2389" t="e">
        <f>INDEX(PT_DIFFERENTIATION_CS,MATCH(C4,PT_DIFFERENTIATION_CS_ID,0))</f>
        <v>#N/A</v>
      </c>
      <c r="AH4" s="2390"/>
      <c r="AI4" s="2390"/>
      <c r="AJ4" s="2390"/>
      <c r="AK4" s="2390"/>
      <c r="AL4" s="2390"/>
      <c r="AM4" s="2390"/>
      <c r="AN4" s="2390"/>
      <c r="AO4" s="2390"/>
      <c r="AP4" s="2390"/>
      <c r="AQ4" s="2390"/>
      <c r="AR4" s="2391"/>
      <c r="AS4" s="1046" t="s">
        <v>615</v>
      </c>
      <c r="AU4" s="433"/>
      <c r="AV4" s="433" t="str">
        <f t="shared" si="0"/>
        <v>Наименование централизованной системы горячего водоснабжения</v>
      </c>
      <c r="AW4" s="433"/>
      <c r="AX4" s="433"/>
      <c r="AY4" s="956">
        <v>0</v>
      </c>
    </row>
    <row r="5" spans="1:51" ht="23.25" hidden="1" customHeight="1">
      <c r="A5" s="1151"/>
      <c r="B5" s="1151"/>
      <c r="C5" s="1151"/>
      <c r="D5" s="1151"/>
      <c r="E5" s="2396"/>
      <c r="F5" s="2396"/>
      <c r="G5" s="2396"/>
      <c r="H5" s="2396"/>
      <c r="I5" s="2397" t="e">
        <f>S4&amp;".1"</f>
        <v>#N/A</v>
      </c>
      <c r="J5" s="1151"/>
      <c r="K5" s="1151"/>
      <c r="L5" s="1152"/>
      <c r="P5" s="2399">
        <v>1</v>
      </c>
      <c r="Q5" s="1269"/>
      <c r="R5" s="289"/>
      <c r="S5" s="1281" t="e">
        <f>$I5</f>
        <v>#N/A</v>
      </c>
      <c r="T5" s="219" t="s">
        <v>567</v>
      </c>
      <c r="U5" s="234"/>
      <c r="V5" s="2463"/>
      <c r="W5" s="2464"/>
      <c r="X5" s="2464"/>
      <c r="Y5" s="2464"/>
      <c r="Z5" s="2464"/>
      <c r="AA5" s="2464"/>
      <c r="AB5" s="2464"/>
      <c r="AC5" s="2464"/>
      <c r="AD5" s="2464"/>
      <c r="AE5" s="2464"/>
      <c r="AF5" s="2465"/>
      <c r="AG5" s="2466"/>
      <c r="AH5" s="2467"/>
      <c r="AI5" s="2467"/>
      <c r="AJ5" s="2467"/>
      <c r="AK5" s="2467"/>
      <c r="AL5" s="2467"/>
      <c r="AM5" s="2467"/>
      <c r="AN5" s="2467"/>
      <c r="AO5" s="2467"/>
      <c r="AP5" s="2467"/>
      <c r="AQ5" s="2467"/>
      <c r="AR5" s="2468"/>
      <c r="AS5" s="1046" t="s">
        <v>568</v>
      </c>
      <c r="AU5" s="433"/>
      <c r="AV5" s="433" t="str">
        <f t="shared" si="0"/>
        <v>Наименование признака дифференциации</v>
      </c>
      <c r="AW5" s="433"/>
      <c r="AX5" s="433"/>
      <c r="AY5" s="956">
        <v>0</v>
      </c>
    </row>
    <row r="6" spans="1:51" ht="23.25" hidden="1" customHeight="1">
      <c r="A6" s="1151"/>
      <c r="B6" s="1151"/>
      <c r="C6" s="1151"/>
      <c r="D6" s="1151"/>
      <c r="E6" s="2396"/>
      <c r="F6" s="2396"/>
      <c r="G6" s="2396"/>
      <c r="H6" s="2396"/>
      <c r="I6" s="2398"/>
      <c r="J6" s="2397" t="e">
        <f>I5&amp;".1"</f>
        <v>#N/A</v>
      </c>
      <c r="K6" s="1151"/>
      <c r="L6" s="1152" t="s">
        <v>490</v>
      </c>
      <c r="P6" s="2399"/>
      <c r="Q6" s="2399">
        <v>1</v>
      </c>
      <c r="R6" s="290"/>
      <c r="S6" s="1281" t="e">
        <f>$J6</f>
        <v>#N/A</v>
      </c>
      <c r="T6" s="220" t="s">
        <v>491</v>
      </c>
      <c r="U6" s="234"/>
      <c r="V6" s="2383"/>
      <c r="W6" s="2384"/>
      <c r="X6" s="2384"/>
      <c r="Y6" s="2384"/>
      <c r="Z6" s="2384"/>
      <c r="AA6" s="2384"/>
      <c r="AB6" s="2384"/>
      <c r="AC6" s="2384"/>
      <c r="AD6" s="2384"/>
      <c r="AE6" s="2384"/>
      <c r="AF6" s="2385"/>
      <c r="AG6" s="2383"/>
      <c r="AH6" s="2384"/>
      <c r="AI6" s="2384"/>
      <c r="AJ6" s="2384"/>
      <c r="AK6" s="2384"/>
      <c r="AL6" s="2384"/>
      <c r="AM6" s="2384"/>
      <c r="AN6" s="2384"/>
      <c r="AO6" s="2384"/>
      <c r="AP6" s="2384"/>
      <c r="AQ6" s="2384"/>
      <c r="AR6" s="2385"/>
      <c r="AS6" s="1095" t="s">
        <v>569</v>
      </c>
      <c r="AU6" s="433"/>
      <c r="AV6" s="433" t="str">
        <f t="shared" si="0"/>
        <v>Группа потребителей</v>
      </c>
      <c r="AW6" s="433"/>
      <c r="AX6" s="433"/>
      <c r="AY6" s="956">
        <v>0</v>
      </c>
    </row>
    <row r="7" spans="1:51" ht="23.25" hidden="1" customHeight="1">
      <c r="A7" s="1151"/>
      <c r="B7" s="1151"/>
      <c r="C7" s="1151"/>
      <c r="D7" s="1151"/>
      <c r="E7" s="2396"/>
      <c r="F7" s="2396"/>
      <c r="G7" s="2396"/>
      <c r="H7" s="2396"/>
      <c r="I7" s="2398"/>
      <c r="J7" s="2398"/>
      <c r="K7" s="2397" t="e">
        <f>J6&amp;".1"</f>
        <v>#N/A</v>
      </c>
      <c r="L7" s="1152"/>
      <c r="P7" s="2399"/>
      <c r="Q7" s="2399"/>
      <c r="R7" s="290">
        <v>1</v>
      </c>
      <c r="S7" s="1281" t="e">
        <f>$K7</f>
        <v>#N/A</v>
      </c>
      <c r="T7" s="1225"/>
      <c r="U7" s="234"/>
      <c r="V7" s="658"/>
      <c r="W7" s="658"/>
      <c r="X7" s="658"/>
      <c r="Y7" s="658"/>
      <c r="Z7" s="658"/>
      <c r="AA7" s="658"/>
      <c r="AB7" s="658"/>
      <c r="AC7" s="2400"/>
      <c r="AD7" s="2276" t="s">
        <v>52</v>
      </c>
      <c r="AE7" s="2400"/>
      <c r="AF7" s="2276" t="s">
        <v>52</v>
      </c>
      <c r="AG7" s="658"/>
      <c r="AH7" s="658"/>
      <c r="AI7" s="658"/>
      <c r="AJ7" s="658"/>
      <c r="AK7" s="658"/>
      <c r="AL7" s="658"/>
      <c r="AM7" s="658"/>
      <c r="AN7" s="2400"/>
      <c r="AO7" s="2276" t="s">
        <v>52</v>
      </c>
      <c r="AP7" s="2402"/>
      <c r="AQ7" s="2276" t="s">
        <v>52</v>
      </c>
      <c r="AR7" s="1226"/>
      <c r="AS7" s="24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4" t="e">
        <f ca="1">STRCHECKDATE(V8:AR8)</f>
        <v>#NAME?</v>
      </c>
      <c r="AU7" s="433"/>
      <c r="AV7" s="433" t="str">
        <f t="shared" si="0"/>
        <v/>
      </c>
      <c r="AW7" s="433"/>
      <c r="AX7" s="433"/>
      <c r="AY7" s="956">
        <v>0</v>
      </c>
    </row>
    <row r="8" spans="1:51" ht="14.25" hidden="1" customHeight="1">
      <c r="A8" s="1151"/>
      <c r="B8" s="1151"/>
      <c r="C8" s="1151"/>
      <c r="D8" s="1151"/>
      <c r="E8" s="2396"/>
      <c r="F8" s="2396"/>
      <c r="G8" s="2396"/>
      <c r="H8" s="2396"/>
      <c r="I8" s="2398"/>
      <c r="J8" s="2398"/>
      <c r="K8" s="2397"/>
      <c r="L8" s="1152"/>
      <c r="P8" s="2399"/>
      <c r="Q8" s="2399"/>
      <c r="R8" s="290"/>
      <c r="S8" s="1278"/>
      <c r="T8" s="234"/>
      <c r="U8" s="234"/>
      <c r="V8" s="259"/>
      <c r="W8" s="259"/>
      <c r="X8" s="259"/>
      <c r="Y8" s="259"/>
      <c r="Z8" s="259"/>
      <c r="AA8" s="259"/>
      <c r="AB8" s="259"/>
      <c r="AC8" s="2401"/>
      <c r="AD8" s="2276"/>
      <c r="AE8" s="2401"/>
      <c r="AF8" s="2276"/>
      <c r="AG8" s="259"/>
      <c r="AH8" s="259"/>
      <c r="AI8" s="259"/>
      <c r="AJ8" s="259"/>
      <c r="AK8" s="259"/>
      <c r="AL8" s="259"/>
      <c r="AM8" s="259"/>
      <c r="AN8" s="2401"/>
      <c r="AO8" s="2276"/>
      <c r="AP8" s="2403"/>
      <c r="AQ8" s="2276"/>
      <c r="AR8" s="1227"/>
      <c r="AS8" s="2469"/>
      <c r="AU8" s="433"/>
      <c r="AV8" s="433" t="str">
        <f t="shared" si="0"/>
        <v/>
      </c>
      <c r="AW8" s="433"/>
      <c r="AX8" s="433"/>
      <c r="AY8" s="956">
        <v>0</v>
      </c>
    </row>
    <row r="9" spans="1:51" ht="21" hidden="1" customHeight="1">
      <c r="A9" s="1151"/>
      <c r="B9" s="1151"/>
      <c r="C9" s="1151"/>
      <c r="D9" s="1151"/>
      <c r="E9" s="2396"/>
      <c r="F9" s="2396"/>
      <c r="G9" s="2396"/>
      <c r="H9" s="2396"/>
      <c r="I9" s="2398"/>
      <c r="J9" s="2397"/>
      <c r="K9" s="1151"/>
      <c r="L9" s="1152"/>
      <c r="P9" s="2399"/>
      <c r="Q9" s="2399"/>
      <c r="R9" s="289"/>
      <c r="S9" s="1066"/>
      <c r="T9" s="221" t="s">
        <v>570</v>
      </c>
      <c r="U9" s="300"/>
      <c r="V9" s="300"/>
      <c r="W9" s="531"/>
      <c r="X9" s="531"/>
      <c r="Y9" s="531"/>
      <c r="Z9" s="531"/>
      <c r="AA9" s="531"/>
      <c r="AB9" s="531"/>
      <c r="AC9" s="300"/>
      <c r="AD9" s="300"/>
      <c r="AE9" s="300"/>
      <c r="AF9" s="300"/>
      <c r="AG9" s="300"/>
      <c r="AH9" s="531"/>
      <c r="AI9" s="531"/>
      <c r="AJ9" s="531"/>
      <c r="AK9" s="531"/>
      <c r="AL9" s="531"/>
      <c r="AM9" s="300"/>
      <c r="AN9" s="300"/>
      <c r="AO9" s="300"/>
      <c r="AP9" s="300"/>
      <c r="AQ9" s="300"/>
      <c r="AR9" s="300"/>
      <c r="AS9" s="1046" t="s">
        <v>571</v>
      </c>
      <c r="AU9" s="433"/>
      <c r="AV9" s="433" t="str">
        <f t="shared" si="0"/>
        <v>Добавить значение признака дифференциации</v>
      </c>
      <c r="AW9" s="433"/>
      <c r="AX9" s="433"/>
      <c r="AY9" s="956">
        <v>0</v>
      </c>
    </row>
    <row r="10" spans="1:51" ht="21" hidden="1" customHeight="1">
      <c r="A10" s="1151"/>
      <c r="B10" s="1151"/>
      <c r="C10" s="1151"/>
      <c r="D10" s="1151"/>
      <c r="E10" s="2396"/>
      <c r="F10" s="2396"/>
      <c r="G10" s="2396"/>
      <c r="H10" s="2396"/>
      <c r="I10" s="2397"/>
      <c r="J10" s="1151"/>
      <c r="K10" s="1151"/>
      <c r="L10" s="1152"/>
      <c r="P10" s="2399"/>
      <c r="Q10" s="1269"/>
      <c r="R10" s="289"/>
      <c r="S10" s="1066"/>
      <c r="T10" s="298" t="s">
        <v>496</v>
      </c>
      <c r="U10" s="300"/>
      <c r="V10" s="300"/>
      <c r="W10" s="531"/>
      <c r="X10" s="531"/>
      <c r="Y10" s="531"/>
      <c r="Z10" s="531"/>
      <c r="AA10" s="531"/>
      <c r="AB10" s="531"/>
      <c r="AC10" s="300"/>
      <c r="AD10" s="300"/>
      <c r="AE10" s="300"/>
      <c r="AF10" s="299"/>
      <c r="AG10" s="300"/>
      <c r="AH10" s="531"/>
      <c r="AI10" s="531"/>
      <c r="AJ10" s="531"/>
      <c r="AK10" s="531"/>
      <c r="AL10" s="531"/>
      <c r="AM10" s="300"/>
      <c r="AN10" s="300"/>
      <c r="AO10" s="300"/>
      <c r="AP10" s="300"/>
      <c r="AQ10" s="299"/>
      <c r="AR10" s="300"/>
      <c r="AS10" s="1228"/>
      <c r="AU10" s="433"/>
      <c r="AV10" s="433" t="str">
        <f t="shared" si="0"/>
        <v>Добавить группу потребителей</v>
      </c>
      <c r="AW10" s="433"/>
      <c r="AX10" s="433"/>
      <c r="AY10" s="956">
        <v>0</v>
      </c>
    </row>
    <row r="11" spans="1:51" ht="21" hidden="1" customHeight="1">
      <c r="A11" s="1151"/>
      <c r="B11" s="1151"/>
      <c r="C11" s="1151"/>
      <c r="D11" s="1151"/>
      <c r="E11" s="2396"/>
      <c r="F11" s="2396"/>
      <c r="G11" s="2396"/>
      <c r="H11" s="2395"/>
      <c r="I11" s="1151"/>
      <c r="J11" s="1151"/>
      <c r="K11" s="1151"/>
      <c r="L11" s="1152"/>
      <c r="M11" s="1153"/>
      <c r="N11" s="1153"/>
      <c r="O11" s="469"/>
      <c r="P11" s="293"/>
      <c r="Q11" s="308"/>
      <c r="R11" s="288"/>
      <c r="S11" s="1066"/>
      <c r="T11" s="305" t="s">
        <v>572</v>
      </c>
      <c r="U11" s="300"/>
      <c r="V11" s="300"/>
      <c r="W11" s="531"/>
      <c r="X11" s="531"/>
      <c r="Y11" s="531"/>
      <c r="Z11" s="531"/>
      <c r="AA11" s="531"/>
      <c r="AB11" s="531"/>
      <c r="AC11" s="300"/>
      <c r="AD11" s="300"/>
      <c r="AE11" s="300"/>
      <c r="AF11" s="299"/>
      <c r="AG11" s="300"/>
      <c r="AH11" s="531"/>
      <c r="AI11" s="531"/>
      <c r="AJ11" s="531"/>
      <c r="AK11" s="531"/>
      <c r="AL11" s="531"/>
      <c r="AM11" s="300"/>
      <c r="AN11" s="300"/>
      <c r="AO11" s="300"/>
      <c r="AP11" s="300"/>
      <c r="AQ11" s="299"/>
      <c r="AR11" s="300"/>
      <c r="AS11" s="237"/>
      <c r="AU11" s="433"/>
      <c r="AV11" s="433" t="str">
        <f t="shared" si="0"/>
        <v>Добавить наименование признака дифференциации</v>
      </c>
      <c r="AW11" s="433"/>
      <c r="AX11" s="433"/>
      <c r="AY11" s="956">
        <v>0</v>
      </c>
    </row>
    <row r="12" spans="1:51" s="1430" customFormat="1" ht="14.25" hidden="1" customHeight="1">
      <c r="A12" s="1131"/>
      <c r="B12" s="1131"/>
      <c r="C12" s="1102"/>
      <c r="D12" s="1102"/>
      <c r="E12" s="2396"/>
      <c r="F12" s="2395"/>
      <c r="G12" s="1102"/>
      <c r="H12" s="1102"/>
      <c r="I12" s="1102"/>
      <c r="J12" s="1102"/>
      <c r="K12" s="1102"/>
      <c r="L12" s="1282"/>
      <c r="M12" s="1109"/>
      <c r="N12" s="1109"/>
      <c r="P12" s="1104"/>
      <c r="Q12" s="1105"/>
      <c r="R12" s="1104"/>
      <c r="S12" s="1110"/>
      <c r="T12" s="1113" t="s">
        <v>499</v>
      </c>
      <c r="U12" s="1112"/>
      <c r="V12" s="1112"/>
      <c r="W12" s="1112"/>
      <c r="X12" s="1112"/>
      <c r="Y12" s="1112"/>
      <c r="Z12" s="1112"/>
      <c r="AA12" s="1112"/>
      <c r="AB12" s="1112"/>
      <c r="AC12" s="1112"/>
      <c r="AD12" s="1112"/>
      <c r="AE12" s="1112"/>
      <c r="AF12" s="1112"/>
      <c r="AG12" s="1112"/>
      <c r="AH12" s="1112"/>
      <c r="AI12" s="1112"/>
      <c r="AJ12" s="1112"/>
      <c r="AK12" s="1112"/>
      <c r="AL12" s="1112"/>
      <c r="AM12" s="1112"/>
      <c r="AN12" s="1112"/>
      <c r="AO12" s="1112"/>
      <c r="AP12" s="1112"/>
      <c r="AQ12" s="1112"/>
      <c r="AR12" s="1112"/>
      <c r="AS12" s="1112"/>
      <c r="AU12" s="688"/>
      <c r="AV12" s="688" t="str">
        <f t="shared" si="0"/>
        <v>Добавить централизованную систему для дифференциации</v>
      </c>
      <c r="AW12" s="688"/>
      <c r="AX12" s="688"/>
      <c r="AY12" s="451">
        <v>0</v>
      </c>
    </row>
    <row r="13" spans="1:51" s="1430" customFormat="1" ht="14.25" hidden="1" customHeight="1">
      <c r="A13" s="1131"/>
      <c r="B13" s="1131"/>
      <c r="C13" s="1131"/>
      <c r="D13" s="1131"/>
      <c r="E13" s="2395"/>
      <c r="F13" s="1131"/>
      <c r="G13" s="1131"/>
      <c r="H13" s="1131"/>
      <c r="I13" s="1131"/>
      <c r="J13" s="1131"/>
      <c r="K13" s="1131"/>
      <c r="L13" s="1134"/>
      <c r="M13" s="1109"/>
      <c r="N13" s="1109"/>
      <c r="O13" s="451"/>
      <c r="P13" s="313"/>
      <c r="Q13" s="1132"/>
      <c r="R13" s="313"/>
      <c r="S13" s="1110"/>
      <c r="T13" s="1113" t="s">
        <v>500</v>
      </c>
      <c r="U13" s="1112"/>
      <c r="V13" s="1112"/>
      <c r="W13" s="1112"/>
      <c r="X13" s="1112"/>
      <c r="Y13" s="1112"/>
      <c r="Z13" s="1112"/>
      <c r="AA13" s="1112"/>
      <c r="AB13" s="1112"/>
      <c r="AC13" s="1112"/>
      <c r="AD13" s="1112"/>
      <c r="AE13" s="1112"/>
      <c r="AF13" s="1112"/>
      <c r="AG13" s="1112"/>
      <c r="AH13" s="1112"/>
      <c r="AI13" s="1112"/>
      <c r="AJ13" s="1112"/>
      <c r="AK13" s="1112"/>
      <c r="AL13" s="1112"/>
      <c r="AM13" s="1112"/>
      <c r="AN13" s="1112"/>
      <c r="AO13" s="1112"/>
      <c r="AP13" s="1112"/>
      <c r="AQ13" s="1112"/>
      <c r="AR13" s="1112"/>
      <c r="AS13" s="1112"/>
      <c r="AU13" s="433"/>
      <c r="AV13" s="433" t="str">
        <f t="shared" si="0"/>
        <v>Добавить территорию для дифференциации</v>
      </c>
      <c r="AW13" s="433"/>
      <c r="AX13" s="433"/>
      <c r="AY13" s="444">
        <v>0</v>
      </c>
    </row>
    <row r="14" spans="1:51" ht="14.25" hidden="1" customHeight="1">
      <c r="AF14" s="261"/>
      <c r="AQ14" s="261"/>
      <c r="AY14" s="956">
        <v>0</v>
      </c>
    </row>
    <row r="15" spans="1:51" ht="14.25" hidden="1" customHeight="1">
      <c r="AG15" s="1148"/>
      <c r="AH15" s="1148"/>
      <c r="AI15" s="1148"/>
      <c r="AJ15" s="1148"/>
      <c r="AK15" s="1148"/>
      <c r="AL15" s="1148"/>
      <c r="AM15" s="1148"/>
      <c r="AN15" s="2393"/>
      <c r="AO15" s="2392" t="s">
        <v>52</v>
      </c>
      <c r="AP15" s="2393"/>
      <c r="AQ15" s="2392" t="s">
        <v>52</v>
      </c>
      <c r="AY15" s="956">
        <v>0</v>
      </c>
    </row>
    <row r="16" spans="1:51" ht="14.25" hidden="1" customHeight="1">
      <c r="AG16" s="1148"/>
      <c r="AH16" s="1148"/>
      <c r="AI16" s="1148"/>
      <c r="AJ16" s="1148"/>
      <c r="AK16" s="1148"/>
      <c r="AL16" s="1148"/>
      <c r="AM16" s="1148"/>
      <c r="AN16" s="2392"/>
      <c r="AO16" s="2392"/>
      <c r="AP16" s="2392"/>
      <c r="AQ16" s="2392"/>
      <c r="AY16" s="956">
        <v>0</v>
      </c>
    </row>
    <row r="17" spans="1:51" ht="14.25" hidden="1" customHeight="1">
      <c r="AQ17" s="261"/>
      <c r="AY17" s="956">
        <v>0</v>
      </c>
    </row>
    <row r="18" spans="1:51" s="1154" customFormat="1" ht="22.5" hidden="1" customHeight="1">
      <c r="L18" s="1266"/>
      <c r="M18" s="1150"/>
      <c r="N18" s="1150"/>
      <c r="O18" s="1155" t="s">
        <v>501</v>
      </c>
      <c r="P18" s="1150"/>
      <c r="Q18" s="1159"/>
      <c r="R18" s="1159"/>
      <c r="S18" s="640"/>
      <c r="AC18" s="1155"/>
      <c r="AE18" s="1155"/>
      <c r="AN18" s="1155"/>
      <c r="AP18" s="1155"/>
      <c r="AT18" s="444"/>
      <c r="AU18" s="444"/>
      <c r="AV18" s="444"/>
      <c r="AW18" s="444"/>
      <c r="AX18" s="444"/>
      <c r="AY18" s="961">
        <v>0</v>
      </c>
    </row>
    <row r="19" spans="1:51" s="1154" customFormat="1" ht="14.25" hidden="1" customHeight="1">
      <c r="L19" s="1266"/>
      <c r="M19" s="1150"/>
      <c r="N19" s="1150"/>
      <c r="O19" s="1150"/>
      <c r="P19" s="1150"/>
      <c r="Q19" s="1159"/>
      <c r="R19" s="1159"/>
      <c r="S19" s="640"/>
      <c r="AT19" s="444"/>
      <c r="AU19" s="444"/>
      <c r="AV19" s="444"/>
      <c r="AW19" s="444"/>
      <c r="AX19" s="444"/>
      <c r="AY19" s="961">
        <v>0</v>
      </c>
    </row>
    <row r="20" spans="1:51" s="1154" customFormat="1" ht="12" hidden="1" customHeight="1">
      <c r="L20" s="1266"/>
      <c r="M20" s="1150"/>
      <c r="N20" s="1150"/>
      <c r="O20" s="1152" t="s">
        <v>502</v>
      </c>
      <c r="P20" s="1150"/>
      <c r="Q20" s="1230"/>
      <c r="R20" s="1230"/>
      <c r="S20" s="640"/>
      <c r="T20" s="961" t="s">
        <v>503</v>
      </c>
      <c r="AD20" s="120" t="s">
        <v>504</v>
      </c>
      <c r="AF20" s="120" t="s">
        <v>505</v>
      </c>
      <c r="AG20" s="961" t="s">
        <v>503</v>
      </c>
      <c r="AO20" s="120" t="s">
        <v>506</v>
      </c>
      <c r="AQ20" s="120" t="s">
        <v>505</v>
      </c>
      <c r="AY20" s="961">
        <v>0</v>
      </c>
    </row>
    <row r="21" spans="1:51" ht="14.25" hidden="1" customHeight="1">
      <c r="O21" s="1152"/>
      <c r="AY21" s="956">
        <v>0</v>
      </c>
    </row>
    <row r="22" spans="1:51" ht="14.25" hidden="1" customHeight="1">
      <c r="O22" s="1152"/>
      <c r="AY22" s="956">
        <v>0</v>
      </c>
    </row>
    <row r="23" spans="1:51" ht="14.65" customHeight="1">
      <c r="Q23" s="309"/>
      <c r="R23" s="309"/>
      <c r="S23" s="1063"/>
      <c r="T23" s="296"/>
      <c r="U23" s="296"/>
      <c r="V23" s="442"/>
      <c r="AC23" s="442"/>
      <c r="AD23" s="442"/>
      <c r="AE23" s="442"/>
      <c r="AF23" s="442"/>
      <c r="AG23" s="442"/>
      <c r="AM23" s="442"/>
      <c r="AN23" s="442"/>
      <c r="AO23" s="442"/>
      <c r="AP23" s="442"/>
      <c r="AQ23" s="442"/>
      <c r="AY23" s="956">
        <v>14</v>
      </c>
    </row>
    <row r="24" spans="1:51" ht="26.25" customHeight="1">
      <c r="Q24" s="309"/>
      <c r="R24" s="309"/>
      <c r="S24" s="237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1031"/>
      <c r="AY24" s="956">
        <v>25</v>
      </c>
    </row>
    <row r="25" spans="1:51" ht="14.65" customHeight="1">
      <c r="Q25" s="309"/>
      <c r="R25" s="309"/>
      <c r="S25" s="2349" t="str">
        <f>IF(org=0,"Не определено",org)</f>
        <v>ООО "Смоленскрегионтеплоэнерго"</v>
      </c>
      <c r="T25" s="2349"/>
      <c r="U25" s="2349"/>
      <c r="V25" s="2349"/>
      <c r="W25" s="2349"/>
      <c r="X25" s="2349"/>
      <c r="Y25" s="2349"/>
      <c r="Z25" s="2349"/>
      <c r="AA25" s="2349"/>
      <c r="AB25" s="2349"/>
      <c r="AC25" s="2349"/>
      <c r="AD25" s="2349"/>
      <c r="AE25" s="2349"/>
      <c r="AF25" s="2349"/>
      <c r="AG25" s="2349"/>
      <c r="AH25" s="2349"/>
      <c r="AI25" s="2349"/>
      <c r="AJ25" s="2349"/>
      <c r="AK25" s="2349"/>
      <c r="AL25" s="2349"/>
      <c r="AM25" s="2349"/>
      <c r="AN25" s="2349"/>
      <c r="AO25" s="2349"/>
      <c r="AP25" s="2349"/>
      <c r="AQ25" s="1031"/>
      <c r="AY25" s="956">
        <v>14</v>
      </c>
    </row>
    <row r="26" spans="1:51" ht="14.25" hidden="1" customHeight="1">
      <c r="Q26" s="309"/>
      <c r="R26" s="309"/>
      <c r="S26" s="1063"/>
      <c r="T26" s="296"/>
      <c r="U26" s="29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442"/>
      <c r="AY26" s="956">
        <v>0</v>
      </c>
    </row>
    <row r="27" spans="1:51" s="1609" customFormat="1" ht="25.5" hidden="1" customHeight="1">
      <c r="A27" s="1156"/>
      <c r="B27" s="1156"/>
      <c r="C27" s="1156"/>
      <c r="D27" s="1156"/>
      <c r="E27" s="1156"/>
      <c r="F27" s="1156"/>
      <c r="G27" s="1156"/>
      <c r="H27" s="1156"/>
      <c r="I27" s="1156"/>
      <c r="J27" s="1156"/>
      <c r="K27" s="1156"/>
      <c r="L27" s="1157"/>
      <c r="M27" s="1156"/>
      <c r="N27" s="1156"/>
      <c r="O27" s="1156"/>
      <c r="S27" s="2386" t="s">
        <v>28</v>
      </c>
      <c r="T27" s="2386"/>
      <c r="U27" s="1160"/>
      <c r="V27" s="2388" t="str">
        <f>IF(TITLE_NAME_OR_PR_CHANGE="",IF(TITLE_NAME_OR_PR="","",TITLE_NAME_OR_PR),TITLE_NAME_OR_PR_CHANGE)</f>
        <v/>
      </c>
      <c r="W27" s="2388"/>
      <c r="X27" s="2388"/>
      <c r="Y27" s="2388"/>
      <c r="Z27" s="2388"/>
      <c r="AA27" s="2388"/>
      <c r="AB27" s="2388"/>
      <c r="AC27" s="2388"/>
      <c r="AD27" s="2388"/>
      <c r="AE27" s="2388"/>
      <c r="AF27" s="260"/>
      <c r="AG27" s="2388" t="str">
        <f>IF(TITLE_NAME_OR_PR_CHANGE="",IF(TITLE_NAME_OR_PR="","",TITLE_NAME_OR_PR),TITLE_NAME_OR_PR_CHANGE)</f>
        <v/>
      </c>
      <c r="AH27" s="2388"/>
      <c r="AI27" s="2388"/>
      <c r="AJ27" s="2388"/>
      <c r="AK27" s="2388"/>
      <c r="AL27" s="2388"/>
      <c r="AM27" s="2388"/>
      <c r="AN27" s="2388"/>
      <c r="AO27" s="2388"/>
      <c r="AP27" s="2388"/>
      <c r="AQ27" s="260"/>
      <c r="AR27" s="260"/>
      <c r="AS27" s="214"/>
      <c r="AT27" s="301"/>
      <c r="AU27" s="301"/>
      <c r="AV27" s="301"/>
      <c r="AW27" s="301"/>
      <c r="AX27" s="301"/>
      <c r="AY27" s="351">
        <v>0</v>
      </c>
    </row>
    <row r="28" spans="1:51" s="1609" customFormat="1" ht="18.75" hidden="1" customHeight="1">
      <c r="A28" s="1156"/>
      <c r="B28" s="1156"/>
      <c r="C28" s="1156"/>
      <c r="D28" s="1156"/>
      <c r="E28" s="1156"/>
      <c r="F28" s="1156"/>
      <c r="G28" s="1156"/>
      <c r="H28" s="1156"/>
      <c r="I28" s="1156"/>
      <c r="J28" s="1156"/>
      <c r="K28" s="1156"/>
      <c r="L28" s="1157"/>
      <c r="M28" s="1156"/>
      <c r="N28" s="1156"/>
      <c r="O28" s="1156"/>
      <c r="S28" s="2386" t="s">
        <v>507</v>
      </c>
      <c r="T28" s="2386"/>
      <c r="U28" s="1160"/>
      <c r="V28" s="2387" t="str">
        <f>IF(TITLE_DATE_PR_CHANGE="",IF(TITLE_DATE_PR="","",TITLE_DATE_PR),TITLE_DATE_PR_CHANGE)</f>
        <v/>
      </c>
      <c r="W28" s="2387"/>
      <c r="X28" s="2387"/>
      <c r="Y28" s="2387"/>
      <c r="Z28" s="2387"/>
      <c r="AA28" s="2387"/>
      <c r="AB28" s="2387"/>
      <c r="AC28" s="2387"/>
      <c r="AD28" s="2387"/>
      <c r="AE28" s="2387"/>
      <c r="AF28" s="260"/>
      <c r="AG28" s="2387" t="str">
        <f>IF(TITLE_DATE_PR_CHANGE="",IF(TITLE_DATE_PR="","",TITLE_DATE_PR),TITLE_DATE_PR_CHANGE)</f>
        <v/>
      </c>
      <c r="AH28" s="2387"/>
      <c r="AI28" s="2387"/>
      <c r="AJ28" s="2387"/>
      <c r="AK28" s="2387"/>
      <c r="AL28" s="2387"/>
      <c r="AM28" s="2387"/>
      <c r="AN28" s="2387"/>
      <c r="AO28" s="2387"/>
      <c r="AP28" s="2387"/>
      <c r="AQ28" s="260"/>
      <c r="AR28" s="260"/>
      <c r="AS28" s="214"/>
      <c r="AT28" s="301"/>
      <c r="AU28" s="301"/>
      <c r="AV28" s="301"/>
      <c r="AW28" s="301"/>
      <c r="AX28" s="301"/>
      <c r="AY28" s="351">
        <v>0</v>
      </c>
    </row>
    <row r="29" spans="1:51" s="1609" customFormat="1" ht="18.75" hidden="1" customHeight="1">
      <c r="A29" s="1156"/>
      <c r="B29" s="1156"/>
      <c r="C29" s="1156"/>
      <c r="D29" s="1156"/>
      <c r="E29" s="1156"/>
      <c r="F29" s="1156"/>
      <c r="G29" s="1156"/>
      <c r="H29" s="1156"/>
      <c r="I29" s="1156"/>
      <c r="J29" s="1156"/>
      <c r="K29" s="1156"/>
      <c r="L29" s="1157"/>
      <c r="M29" s="1156"/>
      <c r="N29" s="1156"/>
      <c r="O29" s="1156"/>
      <c r="S29" s="2386" t="s">
        <v>508</v>
      </c>
      <c r="T29" s="2386"/>
      <c r="U29" s="1160"/>
      <c r="V29" s="2388" t="str">
        <f>IF(TITLE_NUMBER_PR_CHANGE="",IF(TITLE_NUMBER_PR="","",TITLE_NUMBER_PR),TITLE_NUMBER_PR_CHANGE)</f>
        <v/>
      </c>
      <c r="W29" s="2388"/>
      <c r="X29" s="2388"/>
      <c r="Y29" s="2388"/>
      <c r="Z29" s="2388"/>
      <c r="AA29" s="2388"/>
      <c r="AB29" s="2388"/>
      <c r="AC29" s="2388"/>
      <c r="AD29" s="2388"/>
      <c r="AE29" s="2388"/>
      <c r="AF29" s="260"/>
      <c r="AG29" s="2388" t="str">
        <f>IF(TITLE_NUMBER_PR_CHANGE="",IF(TITLE_NUMBER_PR="","",TITLE_NUMBER_PR),TITLE_NUMBER_PR_CHANGE)</f>
        <v/>
      </c>
      <c r="AH29" s="2388"/>
      <c r="AI29" s="2388"/>
      <c r="AJ29" s="2388"/>
      <c r="AK29" s="2388"/>
      <c r="AL29" s="2388"/>
      <c r="AM29" s="2388"/>
      <c r="AN29" s="2388"/>
      <c r="AO29" s="2388"/>
      <c r="AP29" s="2388"/>
      <c r="AQ29" s="260"/>
      <c r="AR29" s="260"/>
      <c r="AS29" s="214"/>
      <c r="AT29" s="301"/>
      <c r="AU29" s="301"/>
      <c r="AV29" s="301"/>
      <c r="AW29" s="301"/>
      <c r="AX29" s="301"/>
      <c r="AY29" s="351">
        <v>0</v>
      </c>
    </row>
    <row r="30" spans="1:51" s="1609" customFormat="1" ht="18.75" hidden="1" customHeight="1">
      <c r="A30" s="1156"/>
      <c r="B30" s="1156"/>
      <c r="C30" s="1156"/>
      <c r="D30" s="1156"/>
      <c r="E30" s="1156"/>
      <c r="F30" s="1156"/>
      <c r="G30" s="1156"/>
      <c r="H30" s="1156"/>
      <c r="I30" s="1156"/>
      <c r="J30" s="1156"/>
      <c r="K30" s="1156"/>
      <c r="L30" s="1157"/>
      <c r="M30" s="1156"/>
      <c r="N30" s="1156"/>
      <c r="O30" s="1156"/>
      <c r="S30" s="2386" t="s">
        <v>29</v>
      </c>
      <c r="T30" s="2386"/>
      <c r="U30" s="1160"/>
      <c r="V30" s="2388" t="str">
        <f>IF(TITLE_IST_PUB_CHANGE="",IF(TITLE_IST_PUB="","",TITLE_IST_PUB),TITLE_IST_PUB_CHANGE)</f>
        <v/>
      </c>
      <c r="W30" s="2388"/>
      <c r="X30" s="2388"/>
      <c r="Y30" s="2388"/>
      <c r="Z30" s="2388"/>
      <c r="AA30" s="2388"/>
      <c r="AB30" s="2388"/>
      <c r="AC30" s="2388"/>
      <c r="AD30" s="2388"/>
      <c r="AE30" s="2388"/>
      <c r="AF30" s="260"/>
      <c r="AG30" s="2388" t="str">
        <f>IF(TITLE_IST_PUB_CHANGE="",IF(TITLE_IST_PUB="","",TITLE_IST_PUB),TITLE_IST_PUB_CHANGE)</f>
        <v/>
      </c>
      <c r="AH30" s="2388"/>
      <c r="AI30" s="2388"/>
      <c r="AJ30" s="2388"/>
      <c r="AK30" s="2388"/>
      <c r="AL30" s="2388"/>
      <c r="AM30" s="2388"/>
      <c r="AN30" s="2388"/>
      <c r="AO30" s="2388"/>
      <c r="AP30" s="2388"/>
      <c r="AQ30" s="260"/>
      <c r="AR30" s="260"/>
      <c r="AS30" s="214"/>
      <c r="AT30" s="301"/>
      <c r="AU30" s="301"/>
      <c r="AV30" s="301"/>
      <c r="AW30" s="301"/>
      <c r="AX30" s="301"/>
      <c r="AY30" s="351">
        <v>0</v>
      </c>
    </row>
    <row r="31" spans="1:51" ht="14.25" hidden="1" customHeight="1">
      <c r="Q31" s="309"/>
      <c r="R31" s="309"/>
      <c r="S31" s="1063"/>
      <c r="T31" s="296"/>
      <c r="U31" s="29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442"/>
      <c r="AY31" s="956">
        <v>0</v>
      </c>
    </row>
    <row r="32" spans="1:51" s="1609" customFormat="1" ht="18.75" hidden="1" customHeight="1">
      <c r="A32" s="1156"/>
      <c r="B32" s="1156"/>
      <c r="C32" s="1156"/>
      <c r="D32" s="1156"/>
      <c r="E32" s="1156"/>
      <c r="F32" s="1156"/>
      <c r="G32" s="1156"/>
      <c r="H32" s="1156"/>
      <c r="I32" s="1156"/>
      <c r="J32" s="1156"/>
      <c r="K32" s="1156"/>
      <c r="L32" s="1157"/>
      <c r="M32" s="1156"/>
      <c r="N32" s="1156"/>
      <c r="O32" s="1156"/>
      <c r="S32" s="2386" t="s">
        <v>509</v>
      </c>
      <c r="T32" s="2386"/>
      <c r="U32" s="1160"/>
      <c r="V32" s="2387" t="str">
        <f>IF(TITLE_DATE_PR_CHANGE="",IF(TITLE_DATE_PR="","",TITLE_DATE_PR),TITLE_DATE_PR_CHANGE)</f>
        <v/>
      </c>
      <c r="W32" s="2387"/>
      <c r="X32" s="2387"/>
      <c r="Y32" s="2387"/>
      <c r="Z32" s="2387"/>
      <c r="AA32" s="2387"/>
      <c r="AB32" s="2387"/>
      <c r="AC32" s="2387"/>
      <c r="AD32" s="2387"/>
      <c r="AE32" s="2387"/>
      <c r="AF32" s="260"/>
      <c r="AG32" s="2387" t="str">
        <f>IF(TITLE_DATE_PR_CHANGE="",IF(TITLE_DATE_PR="","",TITLE_DATE_PR),TITLE_DATE_PR_CHANGE)</f>
        <v/>
      </c>
      <c r="AH32" s="2387"/>
      <c r="AI32" s="2387"/>
      <c r="AJ32" s="2387"/>
      <c r="AK32" s="2387"/>
      <c r="AL32" s="2387"/>
      <c r="AM32" s="2387"/>
      <c r="AN32" s="2387"/>
      <c r="AO32" s="2387"/>
      <c r="AP32" s="2387"/>
      <c r="AQ32" s="260"/>
      <c r="AR32" s="260"/>
      <c r="AS32" s="214"/>
      <c r="AT32" s="301"/>
      <c r="AU32" s="301"/>
      <c r="AV32" s="301"/>
      <c r="AW32" s="301"/>
      <c r="AX32" s="301"/>
      <c r="AY32" s="351">
        <v>0</v>
      </c>
    </row>
    <row r="33" spans="1:51" s="1609" customFormat="1" ht="18.75" hidden="1" customHeight="1">
      <c r="A33" s="1156"/>
      <c r="B33" s="1156"/>
      <c r="C33" s="1156"/>
      <c r="D33" s="1156"/>
      <c r="E33" s="1156"/>
      <c r="F33" s="1156"/>
      <c r="G33" s="1156"/>
      <c r="H33" s="1156"/>
      <c r="I33" s="1156"/>
      <c r="J33" s="1156"/>
      <c r="K33" s="1156"/>
      <c r="L33" s="1157"/>
      <c r="M33" s="1156"/>
      <c r="N33" s="1156"/>
      <c r="O33" s="1156"/>
      <c r="S33" s="2386" t="s">
        <v>510</v>
      </c>
      <c r="T33" s="2386"/>
      <c r="U33" s="1160"/>
      <c r="V33" s="2388" t="str">
        <f>IF(TITLE_NUMBER_PR_CHANGE="",IF(TITLE_NUMBER_PR="","",TITLE_NUMBER_PR),TITLE_NUMBER_PR_CHANGE)</f>
        <v/>
      </c>
      <c r="W33" s="2388"/>
      <c r="X33" s="2388"/>
      <c r="Y33" s="2388"/>
      <c r="Z33" s="2388"/>
      <c r="AA33" s="2388"/>
      <c r="AB33" s="2388"/>
      <c r="AC33" s="2388"/>
      <c r="AD33" s="2388"/>
      <c r="AE33" s="2388"/>
      <c r="AF33" s="260"/>
      <c r="AG33" s="2388" t="str">
        <f>IF(TITLE_NUMBER_PR_CHANGE="",IF(TITLE_NUMBER_PR="","",TITLE_NUMBER_PR),TITLE_NUMBER_PR_CHANGE)</f>
        <v/>
      </c>
      <c r="AH33" s="2388"/>
      <c r="AI33" s="2388"/>
      <c r="AJ33" s="2388"/>
      <c r="AK33" s="2388"/>
      <c r="AL33" s="2388"/>
      <c r="AM33" s="2388"/>
      <c r="AN33" s="2388"/>
      <c r="AO33" s="2388"/>
      <c r="AP33" s="2388"/>
      <c r="AQ33" s="260"/>
      <c r="AR33" s="260"/>
      <c r="AS33" s="214"/>
      <c r="AT33" s="301"/>
      <c r="AU33" s="301"/>
      <c r="AV33" s="301"/>
      <c r="AW33" s="301"/>
      <c r="AX33" s="301"/>
      <c r="AY33" s="351">
        <v>0</v>
      </c>
    </row>
    <row r="34" spans="1:51" s="1609" customFormat="1" ht="1.1499999999999999" customHeight="1">
      <c r="A34" s="1156"/>
      <c r="B34" s="1156"/>
      <c r="C34" s="1156"/>
      <c r="D34" s="1156"/>
      <c r="E34" s="1156"/>
      <c r="F34" s="1156"/>
      <c r="G34" s="1156"/>
      <c r="H34" s="1156"/>
      <c r="I34" s="1156"/>
      <c r="J34" s="1156"/>
      <c r="K34" s="1156"/>
      <c r="L34" s="1157"/>
      <c r="M34" s="1156"/>
      <c r="N34" s="1156"/>
      <c r="O34" s="1156"/>
      <c r="S34" s="257"/>
      <c r="T34" s="257"/>
      <c r="U34" s="1276"/>
      <c r="V34" s="260"/>
      <c r="W34" s="1423"/>
      <c r="X34" s="1423"/>
      <c r="Y34" s="1423"/>
      <c r="Z34" s="1423"/>
      <c r="AA34" s="1423"/>
      <c r="AB34" s="1423"/>
      <c r="AC34" s="260"/>
      <c r="AD34" s="260"/>
      <c r="AE34" s="260"/>
      <c r="AF34" s="212" t="s">
        <v>511</v>
      </c>
      <c r="AG34" s="260"/>
      <c r="AH34" s="1423"/>
      <c r="AI34" s="1423"/>
      <c r="AJ34" s="1423"/>
      <c r="AK34" s="1423"/>
      <c r="AL34" s="1423"/>
      <c r="AM34" s="260"/>
      <c r="AN34" s="260"/>
      <c r="AO34" s="260"/>
      <c r="AP34" s="260"/>
      <c r="AQ34" s="212" t="s">
        <v>511</v>
      </c>
      <c r="AT34" s="301"/>
      <c r="AU34" s="301"/>
      <c r="AV34" s="301"/>
      <c r="AW34" s="301"/>
      <c r="AX34" s="301"/>
      <c r="AY34" s="351">
        <v>1</v>
      </c>
    </row>
    <row r="35" spans="1:51" ht="14.65" customHeight="1">
      <c r="Q35" s="309"/>
      <c r="R35" s="309"/>
      <c r="S35" s="1063"/>
      <c r="T35" s="296"/>
      <c r="U35" s="1032"/>
      <c r="V35" s="2407"/>
      <c r="W35" s="2407"/>
      <c r="X35" s="2407"/>
      <c r="Y35" s="2407"/>
      <c r="Z35" s="2407"/>
      <c r="AA35" s="2407"/>
      <c r="AB35" s="2407"/>
      <c r="AC35" s="2407"/>
      <c r="AD35" s="2407"/>
      <c r="AE35" s="2407"/>
      <c r="AF35" s="2407"/>
      <c r="AG35" s="2407"/>
      <c r="AH35" s="2407"/>
      <c r="AI35" s="2407"/>
      <c r="AJ35" s="2407"/>
      <c r="AK35" s="2407"/>
      <c r="AL35" s="2407"/>
      <c r="AM35" s="2407"/>
      <c r="AN35" s="2407"/>
      <c r="AO35" s="2407"/>
      <c r="AP35" s="2407"/>
      <c r="AQ35" s="2407"/>
      <c r="AY35" s="956">
        <v>14</v>
      </c>
    </row>
    <row r="36" spans="1:51" ht="14.65" customHeight="1">
      <c r="Q36" s="309"/>
      <c r="R36" s="309"/>
      <c r="S36" s="2266" t="s">
        <v>384</v>
      </c>
      <c r="T36" s="2266"/>
      <c r="U36" s="2266"/>
      <c r="V36" s="2266"/>
      <c r="W36" s="2266"/>
      <c r="X36" s="2266"/>
      <c r="Y36" s="2266"/>
      <c r="Z36" s="2266"/>
      <c r="AA36" s="2266"/>
      <c r="AB36" s="2266"/>
      <c r="AC36" s="2266"/>
      <c r="AD36" s="2266"/>
      <c r="AE36" s="2266"/>
      <c r="AF36" s="2266"/>
      <c r="AG36" s="2266"/>
      <c r="AH36" s="2266"/>
      <c r="AI36" s="2266"/>
      <c r="AJ36" s="2266"/>
      <c r="AK36" s="2266"/>
      <c r="AL36" s="2266"/>
      <c r="AM36" s="2266"/>
      <c r="AN36" s="2266"/>
      <c r="AO36" s="2266"/>
      <c r="AP36" s="2266"/>
      <c r="AQ36" s="2266"/>
      <c r="AR36" s="2266"/>
      <c r="AS36" s="2266" t="s">
        <v>385</v>
      </c>
      <c r="AY36" s="956">
        <v>14</v>
      </c>
    </row>
    <row r="37" spans="1:51" ht="14.65" customHeight="1">
      <c r="Q37" s="309"/>
      <c r="R37" s="309"/>
      <c r="S37" s="2408" t="s">
        <v>75</v>
      </c>
      <c r="T37" s="2357" t="s">
        <v>512</v>
      </c>
      <c r="U37" s="235"/>
      <c r="V37" s="2409" t="s">
        <v>513</v>
      </c>
      <c r="W37" s="2425"/>
      <c r="X37" s="2425"/>
      <c r="Y37" s="2425"/>
      <c r="Z37" s="2425"/>
      <c r="AA37" s="2425"/>
      <c r="AB37" s="2425"/>
      <c r="AC37" s="2410"/>
      <c r="AD37" s="2410"/>
      <c r="AE37" s="2411"/>
      <c r="AF37" s="2412" t="s">
        <v>514</v>
      </c>
      <c r="AG37" s="2409" t="s">
        <v>513</v>
      </c>
      <c r="AH37" s="2410"/>
      <c r="AI37" s="2410"/>
      <c r="AJ37" s="2410"/>
      <c r="AK37" s="2410"/>
      <c r="AL37" s="2410"/>
      <c r="AM37" s="2410"/>
      <c r="AN37" s="2410"/>
      <c r="AO37" s="2410"/>
      <c r="AP37" s="2411"/>
      <c r="AQ37" s="2412" t="s">
        <v>515</v>
      </c>
      <c r="AR37" s="2415" t="s">
        <v>516</v>
      </c>
      <c r="AS37" s="2266"/>
      <c r="AY37" s="956">
        <v>14</v>
      </c>
    </row>
    <row r="38" spans="1:51" ht="19.899999999999999" customHeight="1">
      <c r="Q38" s="309"/>
      <c r="R38" s="309"/>
      <c r="S38" s="2408"/>
      <c r="T38" s="2357"/>
      <c r="U38" s="874"/>
      <c r="V38" s="2266" t="s">
        <v>616</v>
      </c>
      <c r="W38" s="2479" t="s">
        <v>617</v>
      </c>
      <c r="X38" s="2479"/>
      <c r="Y38" s="2479"/>
      <c r="Z38" s="2479" t="s">
        <v>618</v>
      </c>
      <c r="AA38" s="2479"/>
      <c r="AB38" s="2479"/>
      <c r="AC38" s="2328" t="s">
        <v>520</v>
      </c>
      <c r="AD38" s="2437"/>
      <c r="AE38" s="2329"/>
      <c r="AF38" s="2413"/>
      <c r="AG38" s="2266" t="s">
        <v>616</v>
      </c>
      <c r="AH38" s="2479" t="s">
        <v>617</v>
      </c>
      <c r="AI38" s="2479"/>
      <c r="AJ38" s="2479"/>
      <c r="AK38" s="2479" t="s">
        <v>618</v>
      </c>
      <c r="AL38" s="2479"/>
      <c r="AM38" s="2479"/>
      <c r="AN38" s="2328" t="s">
        <v>520</v>
      </c>
      <c r="AO38" s="2437"/>
      <c r="AP38" s="2329"/>
      <c r="AQ38" s="2413"/>
      <c r="AR38" s="2416"/>
      <c r="AS38" s="2266"/>
      <c r="AY38" s="956">
        <v>19</v>
      </c>
    </row>
    <row r="39" spans="1:51" s="1423" customFormat="1" ht="19.899999999999999" customHeight="1">
      <c r="A39" s="1154"/>
      <c r="B39" s="1154"/>
      <c r="C39" s="1154"/>
      <c r="D39" s="1154"/>
      <c r="E39" s="1154"/>
      <c r="F39" s="1154"/>
      <c r="G39" s="1154"/>
      <c r="H39" s="1154"/>
      <c r="I39" s="1154"/>
      <c r="J39" s="1154"/>
      <c r="K39" s="1154"/>
      <c r="L39" s="1701"/>
      <c r="M39" s="1150"/>
      <c r="N39" s="1150"/>
      <c r="O39" s="1150"/>
      <c r="P39" s="1715"/>
      <c r="Q39" s="309"/>
      <c r="R39" s="309"/>
      <c r="S39" s="2408"/>
      <c r="T39" s="2357"/>
      <c r="U39" s="874"/>
      <c r="V39" s="2266"/>
      <c r="W39" s="2479" t="s">
        <v>619</v>
      </c>
      <c r="X39" s="2479" t="s">
        <v>620</v>
      </c>
      <c r="Y39" s="2479"/>
      <c r="Z39" s="2479" t="s">
        <v>621</v>
      </c>
      <c r="AA39" s="2479" t="s">
        <v>620</v>
      </c>
      <c r="AB39" s="2479"/>
      <c r="AC39" s="2333"/>
      <c r="AD39" s="2438"/>
      <c r="AE39" s="2334"/>
      <c r="AF39" s="2413"/>
      <c r="AG39" s="2266"/>
      <c r="AH39" s="2479" t="s">
        <v>619</v>
      </c>
      <c r="AI39" s="2479" t="s">
        <v>620</v>
      </c>
      <c r="AJ39" s="2479"/>
      <c r="AK39" s="2479" t="s">
        <v>621</v>
      </c>
      <c r="AL39" s="2479" t="s">
        <v>620</v>
      </c>
      <c r="AM39" s="2479"/>
      <c r="AN39" s="2333"/>
      <c r="AO39" s="2438"/>
      <c r="AP39" s="2334"/>
      <c r="AQ39" s="2413"/>
      <c r="AR39" s="2416"/>
      <c r="AS39" s="2266"/>
      <c r="AT39" s="1424"/>
      <c r="AU39" s="1424"/>
      <c r="AV39" s="1424"/>
      <c r="AW39" s="1424"/>
      <c r="AX39" s="1424"/>
      <c r="AY39" s="1419">
        <v>19</v>
      </c>
    </row>
    <row r="40" spans="1:51" ht="61.9" customHeight="1">
      <c r="A40" s="1158"/>
      <c r="B40" s="1158" t="s">
        <v>226</v>
      </c>
      <c r="C40" s="1158" t="s">
        <v>227</v>
      </c>
      <c r="D40" s="1158" t="s">
        <v>228</v>
      </c>
      <c r="E40" s="1152" t="s">
        <v>521</v>
      </c>
      <c r="F40" s="1152" t="s">
        <v>522</v>
      </c>
      <c r="G40" s="1152" t="s">
        <v>523</v>
      </c>
      <c r="H40" s="1152"/>
      <c r="I40" s="1152" t="s">
        <v>574</v>
      </c>
      <c r="J40" s="1152" t="s">
        <v>526</v>
      </c>
      <c r="K40" s="1152" t="s">
        <v>575</v>
      </c>
      <c r="L40" s="1152" t="s">
        <v>502</v>
      </c>
      <c r="Q40" s="309"/>
      <c r="R40" s="309"/>
      <c r="S40" s="2408"/>
      <c r="T40" s="2357"/>
      <c r="U40" s="236"/>
      <c r="V40" s="2266"/>
      <c r="W40" s="2479"/>
      <c r="X40" s="1733" t="s">
        <v>622</v>
      </c>
      <c r="Y40" s="1733" t="s">
        <v>623</v>
      </c>
      <c r="Z40" s="2479"/>
      <c r="AA40" s="1733" t="s">
        <v>624</v>
      </c>
      <c r="AB40" s="1733" t="s">
        <v>625</v>
      </c>
      <c r="AC40" s="1277" t="s">
        <v>530</v>
      </c>
      <c r="AD40" s="2362" t="s">
        <v>531</v>
      </c>
      <c r="AE40" s="2375"/>
      <c r="AF40" s="2414"/>
      <c r="AG40" s="2266"/>
      <c r="AH40" s="2479"/>
      <c r="AI40" s="1733" t="s">
        <v>622</v>
      </c>
      <c r="AJ40" s="1733" t="s">
        <v>623</v>
      </c>
      <c r="AK40" s="2479"/>
      <c r="AL40" s="1733" t="s">
        <v>624</v>
      </c>
      <c r="AM40" s="1733" t="s">
        <v>625</v>
      </c>
      <c r="AN40" s="1277" t="s">
        <v>530</v>
      </c>
      <c r="AO40" s="2362" t="s">
        <v>531</v>
      </c>
      <c r="AP40" s="2375"/>
      <c r="AQ40" s="2414"/>
      <c r="AR40" s="2417"/>
      <c r="AS40" s="2266"/>
      <c r="AY40" s="956">
        <v>59</v>
      </c>
    </row>
    <row r="41" spans="1:51" s="1429" customFormat="1" ht="11.25" hidden="1" customHeight="1">
      <c r="A41" s="1158"/>
      <c r="B41" s="1158"/>
      <c r="C41" s="1158"/>
      <c r="D41" s="1158"/>
      <c r="E41" s="1158"/>
      <c r="F41" s="1158"/>
      <c r="G41" s="1158"/>
      <c r="H41" s="1158"/>
      <c r="I41" s="1158"/>
      <c r="J41" s="1158"/>
      <c r="K41" s="1158"/>
      <c r="L41" s="1152"/>
      <c r="M41" s="1150"/>
      <c r="N41" s="1150"/>
      <c r="O41" s="1150"/>
      <c r="P41" s="1034"/>
      <c r="Q41" s="1035"/>
      <c r="R41" s="1042">
        <v>1</v>
      </c>
      <c r="S41" s="1065" t="s">
        <v>161</v>
      </c>
      <c r="T41" s="1043" t="s">
        <v>89</v>
      </c>
      <c r="U41" s="1033" t="str">
        <f ca="1">OFFSET(U41,0,-1)</f>
        <v>2</v>
      </c>
      <c r="V41" s="1270">
        <f ca="1">OFFSET(V41,0,-1)+1</f>
        <v>3</v>
      </c>
      <c r="W41" s="1129"/>
      <c r="X41" s="1129"/>
      <c r="Y41" s="1129"/>
      <c r="Z41" s="1129"/>
      <c r="AA41" s="1129"/>
      <c r="AB41" s="1129"/>
      <c r="AC41" s="1270">
        <f ca="1">OFFSET(AC41,0,-1)+1</f>
        <v>1</v>
      </c>
      <c r="AD41" s="2406">
        <f ca="1">OFFSET(AD41,0,-1)+1</f>
        <v>2</v>
      </c>
      <c r="AE41" s="2406"/>
      <c r="AF41" s="1270">
        <f ca="1">OFFSET(AF41,0,-2)+1</f>
        <v>3</v>
      </c>
      <c r="AG41" s="1270">
        <f ca="1">OFFSET(AG41,0,-1)+1</f>
        <v>4</v>
      </c>
      <c r="AH41" s="1706"/>
      <c r="AI41" s="1706"/>
      <c r="AJ41" s="1706"/>
      <c r="AK41" s="1706"/>
      <c r="AL41" s="1706"/>
      <c r="AM41" s="1270">
        <f ca="1">OFFSET(AM41,0,-1)+1</f>
        <v>1</v>
      </c>
      <c r="AN41" s="1270">
        <f ca="1">OFFSET(AN41,0,-1)+1</f>
        <v>2</v>
      </c>
      <c r="AO41" s="2406">
        <f ca="1">OFFSET(AO41,0,-1)+1</f>
        <v>3</v>
      </c>
      <c r="AP41" s="2406"/>
      <c r="AQ41" s="1270">
        <f ca="1">OFFSET(AQ41,0,-2)+1</f>
        <v>4</v>
      </c>
      <c r="AR41" s="1033">
        <f ca="1">OFFSET(AR41,0,-1)</f>
        <v>4</v>
      </c>
      <c r="AS41" s="1270">
        <f ca="1">OFFSET(AS41,0,-1)+1</f>
        <v>5</v>
      </c>
      <c r="AT41" s="444"/>
      <c r="AU41" s="444"/>
      <c r="AV41" s="444"/>
      <c r="AW41" s="444"/>
      <c r="AX41" s="444"/>
      <c r="AY41" s="429">
        <v>0</v>
      </c>
    </row>
    <row r="42" spans="1:51" ht="24" customHeight="1">
      <c r="A42" s="1151" t="s">
        <v>335</v>
      </c>
      <c r="B42" s="1151"/>
      <c r="C42" s="1151"/>
      <c r="D42" s="1151"/>
      <c r="E42" s="2395">
        <v>1</v>
      </c>
      <c r="F42" s="1151"/>
      <c r="G42" s="1151"/>
      <c r="H42" s="1151"/>
      <c r="I42" s="1151"/>
      <c r="J42" s="1151"/>
      <c r="K42" s="1151"/>
      <c r="L42" s="1152"/>
      <c r="M42" s="1153"/>
      <c r="N42" s="1153"/>
      <c r="O42" s="1153"/>
      <c r="P42" s="294"/>
      <c r="Q42" s="293"/>
      <c r="R42" s="288"/>
      <c r="S42" s="1281">
        <f>INDEX(PT_DIFFERENTIATION_NUM_NTAR,MATCH(A42,PT_DIFFERENTIATION_NTAR_ID,0))</f>
        <v>0</v>
      </c>
      <c r="T42" s="232" t="s">
        <v>214</v>
      </c>
      <c r="U42" s="234"/>
      <c r="V42" s="2389"/>
      <c r="W42" s="2390"/>
      <c r="X42" s="2390"/>
      <c r="Y42" s="2390"/>
      <c r="Z42" s="2390"/>
      <c r="AA42" s="2390"/>
      <c r="AB42" s="2390"/>
      <c r="AC42" s="2390"/>
      <c r="AD42" s="2390"/>
      <c r="AE42" s="2390"/>
      <c r="AF42" s="2391"/>
      <c r="AG42" s="2389" t="str">
        <f>INDEX(PT_DIFFERENTIATION_NTAR,MATCH(A42,PT_DIFFERENTIATION_NTAR_ID,0))</f>
        <v/>
      </c>
      <c r="AH42" s="2390"/>
      <c r="AI42" s="2390"/>
      <c r="AJ42" s="2390"/>
      <c r="AK42" s="2390"/>
      <c r="AL42" s="2390"/>
      <c r="AM42" s="2390"/>
      <c r="AN42" s="2390"/>
      <c r="AO42" s="2390"/>
      <c r="AP42" s="2390"/>
      <c r="AQ42" s="2390"/>
      <c r="AR42" s="2391"/>
      <c r="AS42" s="104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3"/>
      <c r="AV42" s="433" t="str">
        <f t="shared" ref="AV42:AV54" si="1">IF(T42="","",T42)</f>
        <v>Наименование тарифа</v>
      </c>
      <c r="AW42" s="433"/>
      <c r="AX42" s="433"/>
      <c r="AY42" s="956">
        <v>23</v>
      </c>
    </row>
    <row r="43" spans="1:51" ht="24" customHeight="1">
      <c r="A43" s="1151" t="s">
        <v>335</v>
      </c>
      <c r="B43" s="1151" t="s">
        <v>336</v>
      </c>
      <c r="C43" s="1151"/>
      <c r="D43" s="1151"/>
      <c r="E43" s="2396"/>
      <c r="F43" s="2395">
        <v>1</v>
      </c>
      <c r="G43" s="1151"/>
      <c r="H43" s="1151"/>
      <c r="I43" s="1151"/>
      <c r="J43" s="1151"/>
      <c r="K43" s="1151"/>
      <c r="L43" s="1152"/>
      <c r="M43" s="1153"/>
      <c r="N43" s="1153"/>
      <c r="O43" s="1153"/>
      <c r="P43" s="1275"/>
      <c r="Q43" s="285"/>
      <c r="R43" s="286"/>
      <c r="S43" s="1281" t="str">
        <f>INDEX(PT_DIFFERENTIATION_NUM_TER,MATCH(B43,PT_DIFFERENTIATION_TER_ID,0))</f>
        <v>.</v>
      </c>
      <c r="T43" s="242" t="s">
        <v>481</v>
      </c>
      <c r="U43" s="234"/>
      <c r="V43" s="2389"/>
      <c r="W43" s="2390"/>
      <c r="X43" s="2390"/>
      <c r="Y43" s="2390"/>
      <c r="Z43" s="2390"/>
      <c r="AA43" s="2390"/>
      <c r="AB43" s="2390"/>
      <c r="AC43" s="2390"/>
      <c r="AD43" s="2390"/>
      <c r="AE43" s="2390"/>
      <c r="AF43" s="2391"/>
      <c r="AG43" s="2389" t="str">
        <f>INDEX(PT_DIFFERENTIATION_TER,MATCH(B43,PT_DIFFERENTIATION_TER_ID,0))</f>
        <v/>
      </c>
      <c r="AH43" s="2390"/>
      <c r="AI43" s="2390"/>
      <c r="AJ43" s="2390"/>
      <c r="AK43" s="2390"/>
      <c r="AL43" s="2390"/>
      <c r="AM43" s="2390"/>
      <c r="AN43" s="2390"/>
      <c r="AO43" s="2390"/>
      <c r="AP43" s="2390"/>
      <c r="AQ43" s="2390"/>
      <c r="AR43" s="2391"/>
      <c r="AS43" s="1046" t="s">
        <v>482</v>
      </c>
      <c r="AU43" s="433"/>
      <c r="AV43" s="433" t="str">
        <f t="shared" si="1"/>
        <v>Территория действия тарифа</v>
      </c>
      <c r="AW43" s="433"/>
      <c r="AX43" s="433"/>
      <c r="AY43" s="956">
        <v>23</v>
      </c>
    </row>
    <row r="44" spans="1:51" ht="24" customHeight="1">
      <c r="A44" s="1151" t="s">
        <v>335</v>
      </c>
      <c r="B44" s="1151" t="s">
        <v>336</v>
      </c>
      <c r="C44" s="1151" t="s">
        <v>337</v>
      </c>
      <c r="D44" s="1151"/>
      <c r="E44" s="2396"/>
      <c r="F44" s="2396"/>
      <c r="G44" s="2395">
        <v>1</v>
      </c>
      <c r="H44" s="1151"/>
      <c r="I44" s="1151"/>
      <c r="J44" s="1151"/>
      <c r="K44" s="1151"/>
      <c r="L44" s="1152"/>
      <c r="M44" s="1153"/>
      <c r="N44" s="1153"/>
      <c r="O44" s="1153"/>
      <c r="P44" s="287"/>
      <c r="Q44" s="285"/>
      <c r="R44" s="286"/>
      <c r="S44" s="1281" t="str">
        <f>INDEX(PT_DIFFERENTIATION_NUM_CS,MATCH(C44,PT_DIFFERENTIATION_CS_ID,0))</f>
        <v>..</v>
      </c>
      <c r="T44" s="243" t="s">
        <v>614</v>
      </c>
      <c r="U44" s="234"/>
      <c r="V44" s="2389"/>
      <c r="W44" s="2390"/>
      <c r="X44" s="2390"/>
      <c r="Y44" s="2390"/>
      <c r="Z44" s="2390"/>
      <c r="AA44" s="2390"/>
      <c r="AB44" s="2390"/>
      <c r="AC44" s="2390"/>
      <c r="AD44" s="2390"/>
      <c r="AE44" s="2390"/>
      <c r="AF44" s="2391"/>
      <c r="AG44" s="2389" t="str">
        <f>INDEX(PT_DIFFERENTIATION_CS,MATCH(C44,PT_DIFFERENTIATION_CS_ID,0))</f>
        <v/>
      </c>
      <c r="AH44" s="2390"/>
      <c r="AI44" s="2390"/>
      <c r="AJ44" s="2390"/>
      <c r="AK44" s="2390"/>
      <c r="AL44" s="2390"/>
      <c r="AM44" s="2390"/>
      <c r="AN44" s="2390"/>
      <c r="AO44" s="2390"/>
      <c r="AP44" s="2390"/>
      <c r="AQ44" s="2390"/>
      <c r="AR44" s="2391"/>
      <c r="AS44" s="1046" t="s">
        <v>615</v>
      </c>
      <c r="AU44" s="433"/>
      <c r="AV44" s="433" t="str">
        <f t="shared" si="1"/>
        <v>Наименование централизованной системы горячего водоснабжения</v>
      </c>
      <c r="AW44" s="433"/>
      <c r="AX44" s="433"/>
      <c r="AY44" s="956">
        <v>23</v>
      </c>
    </row>
    <row r="45" spans="1:51" ht="24" customHeight="1">
      <c r="A45" s="1151" t="s">
        <v>335</v>
      </c>
      <c r="B45" s="1151" t="s">
        <v>336</v>
      </c>
      <c r="C45" s="1151" t="s">
        <v>337</v>
      </c>
      <c r="D45" s="1151" t="s">
        <v>626</v>
      </c>
      <c r="E45" s="2396"/>
      <c r="F45" s="2396"/>
      <c r="G45" s="2396"/>
      <c r="H45" s="2396"/>
      <c r="I45" s="2397" t="str">
        <f>S44&amp;".1"</f>
        <v>...1</v>
      </c>
      <c r="J45" s="1151"/>
      <c r="K45" s="1151"/>
      <c r="L45" s="1152"/>
      <c r="P45" s="2399">
        <v>1</v>
      </c>
      <c r="Q45" s="1269"/>
      <c r="R45" s="289"/>
      <c r="S45" s="1281" t="str">
        <f>$I45</f>
        <v>...1</v>
      </c>
      <c r="T45" s="219" t="s">
        <v>567</v>
      </c>
      <c r="U45" s="234"/>
      <c r="V45" s="2463"/>
      <c r="W45" s="2464"/>
      <c r="X45" s="2464"/>
      <c r="Y45" s="2464"/>
      <c r="Z45" s="2464"/>
      <c r="AA45" s="2464"/>
      <c r="AB45" s="2464"/>
      <c r="AC45" s="2464"/>
      <c r="AD45" s="2464"/>
      <c r="AE45" s="2464"/>
      <c r="AF45" s="2465"/>
      <c r="AG45" s="2466"/>
      <c r="AH45" s="2467"/>
      <c r="AI45" s="2467"/>
      <c r="AJ45" s="2467"/>
      <c r="AK45" s="2467"/>
      <c r="AL45" s="2467"/>
      <c r="AM45" s="2467"/>
      <c r="AN45" s="2467"/>
      <c r="AO45" s="2467"/>
      <c r="AP45" s="2467"/>
      <c r="AQ45" s="2467"/>
      <c r="AR45" s="2468"/>
      <c r="AS45" s="1046" t="s">
        <v>568</v>
      </c>
      <c r="AU45" s="433"/>
      <c r="AV45" s="433" t="str">
        <f t="shared" si="1"/>
        <v>Наименование признака дифференциации</v>
      </c>
      <c r="AW45" s="433"/>
      <c r="AX45" s="433"/>
      <c r="AY45" s="956">
        <v>23</v>
      </c>
    </row>
    <row r="46" spans="1:51" ht="24" customHeight="1">
      <c r="A46" s="1151" t="s">
        <v>335</v>
      </c>
      <c r="B46" s="1151" t="s">
        <v>336</v>
      </c>
      <c r="C46" s="1151" t="s">
        <v>337</v>
      </c>
      <c r="D46" s="1151" t="s">
        <v>626</v>
      </c>
      <c r="E46" s="2396"/>
      <c r="F46" s="2396"/>
      <c r="G46" s="2396"/>
      <c r="H46" s="2396"/>
      <c r="I46" s="2398"/>
      <c r="J46" s="2397" t="str">
        <f>I45&amp;".1"</f>
        <v>...1.1</v>
      </c>
      <c r="K46" s="1151"/>
      <c r="L46" s="1152" t="s">
        <v>490</v>
      </c>
      <c r="P46" s="2399"/>
      <c r="Q46" s="2399">
        <v>1</v>
      </c>
      <c r="R46" s="290"/>
      <c r="S46" s="1281" t="str">
        <f>$J46</f>
        <v>...1.1</v>
      </c>
      <c r="T46" s="220" t="s">
        <v>491</v>
      </c>
      <c r="U46" s="234"/>
      <c r="V46" s="2383"/>
      <c r="W46" s="2384"/>
      <c r="X46" s="2384"/>
      <c r="Y46" s="2384"/>
      <c r="Z46" s="2384"/>
      <c r="AA46" s="2384"/>
      <c r="AB46" s="2384"/>
      <c r="AC46" s="2384"/>
      <c r="AD46" s="2384"/>
      <c r="AE46" s="2384"/>
      <c r="AF46" s="2385"/>
      <c r="AG46" s="2383"/>
      <c r="AH46" s="2384"/>
      <c r="AI46" s="2384"/>
      <c r="AJ46" s="2384"/>
      <c r="AK46" s="2384"/>
      <c r="AL46" s="2384"/>
      <c r="AM46" s="2384"/>
      <c r="AN46" s="2384"/>
      <c r="AO46" s="2384"/>
      <c r="AP46" s="2384"/>
      <c r="AQ46" s="2384"/>
      <c r="AR46" s="2385"/>
      <c r="AS46" s="1095" t="s">
        <v>569</v>
      </c>
      <c r="AU46" s="433"/>
      <c r="AV46" s="433" t="str">
        <f t="shared" si="1"/>
        <v>Группа потребителей</v>
      </c>
      <c r="AW46" s="433"/>
      <c r="AX46" s="433"/>
      <c r="AY46" s="956">
        <v>23</v>
      </c>
    </row>
    <row r="47" spans="1:51" ht="24" customHeight="1">
      <c r="A47" s="1151" t="s">
        <v>335</v>
      </c>
      <c r="B47" s="1151" t="s">
        <v>336</v>
      </c>
      <c r="C47" s="1151" t="s">
        <v>337</v>
      </c>
      <c r="D47" s="1151" t="s">
        <v>626</v>
      </c>
      <c r="E47" s="2396"/>
      <c r="F47" s="2396"/>
      <c r="G47" s="2396"/>
      <c r="H47" s="2396"/>
      <c r="I47" s="2398"/>
      <c r="J47" s="2398"/>
      <c r="K47" s="2397" t="str">
        <f>J46&amp;".1"</f>
        <v>...1.1.1</v>
      </c>
      <c r="L47" s="1152"/>
      <c r="P47" s="2399"/>
      <c r="Q47" s="2399"/>
      <c r="R47" s="290">
        <v>1</v>
      </c>
      <c r="S47" s="1281" t="str">
        <f>$K47</f>
        <v>...1.1.1</v>
      </c>
      <c r="T47" s="1225"/>
      <c r="U47" s="234"/>
      <c r="V47" s="658"/>
      <c r="W47" s="658"/>
      <c r="X47" s="658"/>
      <c r="Y47" s="658"/>
      <c r="Z47" s="658"/>
      <c r="AA47" s="658"/>
      <c r="AB47" s="658"/>
      <c r="AC47" s="2393"/>
      <c r="AD47" s="2392" t="s">
        <v>52</v>
      </c>
      <c r="AE47" s="2393"/>
      <c r="AF47" s="2392" t="s">
        <v>52</v>
      </c>
      <c r="AG47" s="658"/>
      <c r="AH47" s="658"/>
      <c r="AI47" s="658"/>
      <c r="AJ47" s="658"/>
      <c r="AK47" s="658"/>
      <c r="AL47" s="658"/>
      <c r="AM47" s="658"/>
      <c r="AN47" s="2400"/>
      <c r="AO47" s="2276" t="s">
        <v>52</v>
      </c>
      <c r="AP47" s="2402"/>
      <c r="AQ47" s="2276" t="s">
        <v>6</v>
      </c>
      <c r="AR47" s="1226"/>
      <c r="AS47" s="24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4" t="e">
        <f ca="1">STRCHECKDATE(V48:AR48)</f>
        <v>#NAME?</v>
      </c>
      <c r="AU47" s="433"/>
      <c r="AV47" s="433" t="str">
        <f t="shared" si="1"/>
        <v/>
      </c>
      <c r="AW47" s="433"/>
      <c r="AX47" s="433"/>
      <c r="AY47" s="956">
        <v>23</v>
      </c>
    </row>
    <row r="48" spans="1:51" ht="0" hidden="1" customHeight="1">
      <c r="A48" s="1151" t="s">
        <v>335</v>
      </c>
      <c r="B48" s="1151" t="s">
        <v>336</v>
      </c>
      <c r="C48" s="1151" t="s">
        <v>337</v>
      </c>
      <c r="D48" s="1151" t="s">
        <v>626</v>
      </c>
      <c r="E48" s="2396"/>
      <c r="F48" s="2396"/>
      <c r="G48" s="2396"/>
      <c r="H48" s="2396"/>
      <c r="I48" s="2398"/>
      <c r="J48" s="2398"/>
      <c r="K48" s="2397"/>
      <c r="L48" s="1152"/>
      <c r="P48" s="2399"/>
      <c r="Q48" s="2399"/>
      <c r="R48" s="290"/>
      <c r="S48" s="1278"/>
      <c r="T48" s="234"/>
      <c r="U48" s="234"/>
      <c r="V48" s="1148"/>
      <c r="W48" s="1148"/>
      <c r="X48" s="1148"/>
      <c r="Y48" s="1148"/>
      <c r="Z48" s="1148"/>
      <c r="AA48" s="1148"/>
      <c r="AB48" s="1148"/>
      <c r="AC48" s="2392"/>
      <c r="AD48" s="2392"/>
      <c r="AE48" s="2392"/>
      <c r="AF48" s="2392"/>
      <c r="AG48" s="259"/>
      <c r="AH48" s="259"/>
      <c r="AI48" s="259"/>
      <c r="AJ48" s="259"/>
      <c r="AK48" s="259"/>
      <c r="AL48" s="259"/>
      <c r="AM48" s="259"/>
      <c r="AN48" s="2401"/>
      <c r="AO48" s="2276"/>
      <c r="AP48" s="2403"/>
      <c r="AQ48" s="2276"/>
      <c r="AR48" s="1227"/>
      <c r="AS48" s="2469"/>
      <c r="AU48" s="433"/>
      <c r="AV48" s="433" t="str">
        <f t="shared" si="1"/>
        <v/>
      </c>
      <c r="AW48" s="433"/>
      <c r="AX48" s="433"/>
      <c r="AY48" s="956">
        <v>0</v>
      </c>
    </row>
    <row r="49" spans="1:51" ht="21" customHeight="1">
      <c r="A49" s="1151" t="s">
        <v>335</v>
      </c>
      <c r="B49" s="1151" t="s">
        <v>336</v>
      </c>
      <c r="C49" s="1151" t="s">
        <v>337</v>
      </c>
      <c r="D49" s="1151" t="s">
        <v>626</v>
      </c>
      <c r="E49" s="2396"/>
      <c r="F49" s="2396"/>
      <c r="G49" s="2396"/>
      <c r="H49" s="2396"/>
      <c r="I49" s="2398"/>
      <c r="J49" s="2397"/>
      <c r="K49" s="1151"/>
      <c r="L49" s="1152"/>
      <c r="P49" s="2399"/>
      <c r="Q49" s="2399"/>
      <c r="R49" s="289"/>
      <c r="S49" s="1066"/>
      <c r="T49" s="221" t="s">
        <v>570</v>
      </c>
      <c r="U49" s="300"/>
      <c r="V49" s="300"/>
      <c r="W49" s="531"/>
      <c r="X49" s="531"/>
      <c r="Y49" s="531"/>
      <c r="Z49" s="531"/>
      <c r="AA49" s="531"/>
      <c r="AB49" s="531"/>
      <c r="AC49" s="300"/>
      <c r="AD49" s="300"/>
      <c r="AE49" s="300"/>
      <c r="AF49" s="300"/>
      <c r="AG49" s="300"/>
      <c r="AH49" s="531"/>
      <c r="AI49" s="531"/>
      <c r="AJ49" s="531"/>
      <c r="AK49" s="531"/>
      <c r="AL49" s="531"/>
      <c r="AM49" s="300"/>
      <c r="AN49" s="300"/>
      <c r="AO49" s="300"/>
      <c r="AP49" s="300"/>
      <c r="AQ49" s="300"/>
      <c r="AR49" s="300"/>
      <c r="AS49" s="1046" t="s">
        <v>571</v>
      </c>
      <c r="AU49" s="433"/>
      <c r="AV49" s="433" t="str">
        <f t="shared" si="1"/>
        <v>Добавить значение признака дифференциации</v>
      </c>
      <c r="AW49" s="433"/>
      <c r="AX49" s="433"/>
      <c r="AY49" s="956">
        <v>20</v>
      </c>
    </row>
    <row r="50" spans="1:51" ht="21.95" customHeight="1">
      <c r="A50" s="1151" t="s">
        <v>335</v>
      </c>
      <c r="B50" s="1151" t="s">
        <v>336</v>
      </c>
      <c r="C50" s="1151" t="s">
        <v>337</v>
      </c>
      <c r="D50" s="1151" t="s">
        <v>626</v>
      </c>
      <c r="E50" s="2396"/>
      <c r="F50" s="2396"/>
      <c r="G50" s="2396"/>
      <c r="H50" s="2396"/>
      <c r="I50" s="2397"/>
      <c r="J50" s="1151"/>
      <c r="K50" s="1151"/>
      <c r="L50" s="1152"/>
      <c r="P50" s="2399"/>
      <c r="Q50" s="1269"/>
      <c r="R50" s="289"/>
      <c r="S50" s="1066"/>
      <c r="T50" s="298" t="s">
        <v>496</v>
      </c>
      <c r="U50" s="300"/>
      <c r="V50" s="300"/>
      <c r="W50" s="531"/>
      <c r="X50" s="531"/>
      <c r="Y50" s="531"/>
      <c r="Z50" s="531"/>
      <c r="AA50" s="531"/>
      <c r="AB50" s="531"/>
      <c r="AC50" s="300"/>
      <c r="AD50" s="300"/>
      <c r="AE50" s="300"/>
      <c r="AF50" s="299"/>
      <c r="AG50" s="300"/>
      <c r="AH50" s="531"/>
      <c r="AI50" s="531"/>
      <c r="AJ50" s="531"/>
      <c r="AK50" s="531"/>
      <c r="AL50" s="531"/>
      <c r="AM50" s="300"/>
      <c r="AN50" s="300"/>
      <c r="AO50" s="300"/>
      <c r="AP50" s="300"/>
      <c r="AQ50" s="299"/>
      <c r="AR50" s="300"/>
      <c r="AS50" s="1228"/>
      <c r="AU50" s="433"/>
      <c r="AV50" s="433" t="str">
        <f t="shared" si="1"/>
        <v>Добавить группу потребителей</v>
      </c>
      <c r="AW50" s="433"/>
      <c r="AX50" s="433"/>
      <c r="AY50" s="956">
        <v>21</v>
      </c>
    </row>
    <row r="51" spans="1:51" ht="21.95" customHeight="1">
      <c r="A51" s="1151" t="s">
        <v>335</v>
      </c>
      <c r="B51" s="1151" t="s">
        <v>336</v>
      </c>
      <c r="C51" s="1151" t="s">
        <v>337</v>
      </c>
      <c r="D51" s="1151" t="s">
        <v>626</v>
      </c>
      <c r="E51" s="2396"/>
      <c r="F51" s="2396"/>
      <c r="G51" s="2396"/>
      <c r="H51" s="2395"/>
      <c r="I51" s="1151"/>
      <c r="J51" s="1151"/>
      <c r="K51" s="1151"/>
      <c r="L51" s="1152"/>
      <c r="M51" s="1153"/>
      <c r="N51" s="1153"/>
      <c r="O51" s="469"/>
      <c r="P51" s="293"/>
      <c r="Q51" s="308"/>
      <c r="R51" s="288"/>
      <c r="S51" s="1066"/>
      <c r="T51" s="305" t="s">
        <v>572</v>
      </c>
      <c r="U51" s="300"/>
      <c r="V51" s="300"/>
      <c r="W51" s="531"/>
      <c r="X51" s="531"/>
      <c r="Y51" s="531"/>
      <c r="Z51" s="531"/>
      <c r="AA51" s="531"/>
      <c r="AB51" s="531"/>
      <c r="AC51" s="300"/>
      <c r="AD51" s="300"/>
      <c r="AE51" s="300"/>
      <c r="AF51" s="299"/>
      <c r="AG51" s="300"/>
      <c r="AH51" s="531"/>
      <c r="AI51" s="531"/>
      <c r="AJ51" s="531"/>
      <c r="AK51" s="531"/>
      <c r="AL51" s="531"/>
      <c r="AM51" s="300"/>
      <c r="AN51" s="300"/>
      <c r="AO51" s="300"/>
      <c r="AP51" s="300"/>
      <c r="AQ51" s="299"/>
      <c r="AR51" s="300"/>
      <c r="AS51" s="237"/>
      <c r="AU51" s="433"/>
      <c r="AV51" s="433" t="str">
        <f t="shared" si="1"/>
        <v>Добавить наименование признака дифференциации</v>
      </c>
      <c r="AW51" s="433"/>
      <c r="AX51" s="433"/>
      <c r="AY51" s="956">
        <v>21</v>
      </c>
    </row>
    <row r="52" spans="1:51" s="1430" customFormat="1" ht="0" hidden="1" customHeight="1">
      <c r="A52" s="1131" t="s">
        <v>335</v>
      </c>
      <c r="B52" s="1131" t="s">
        <v>336</v>
      </c>
      <c r="C52" s="1102"/>
      <c r="D52" s="1102"/>
      <c r="E52" s="2396"/>
      <c r="F52" s="2395"/>
      <c r="G52" s="1102"/>
      <c r="H52" s="1102"/>
      <c r="I52" s="1102"/>
      <c r="J52" s="1102"/>
      <c r="K52" s="1102"/>
      <c r="L52" s="1282"/>
      <c r="M52" s="1109"/>
      <c r="N52" s="1109"/>
      <c r="P52" s="1104"/>
      <c r="Q52" s="1105"/>
      <c r="R52" s="1104"/>
      <c r="S52" s="1110"/>
      <c r="T52" s="1113" t="s">
        <v>499</v>
      </c>
      <c r="U52" s="1112"/>
      <c r="V52" s="1112"/>
      <c r="W52" s="1112"/>
      <c r="X52" s="1112"/>
      <c r="Y52" s="1112"/>
      <c r="Z52" s="1112"/>
      <c r="AA52" s="1112"/>
      <c r="AB52" s="1112"/>
      <c r="AC52" s="1112"/>
      <c r="AD52" s="1112"/>
      <c r="AE52" s="1112"/>
      <c r="AF52" s="1112"/>
      <c r="AG52" s="1112"/>
      <c r="AH52" s="1112"/>
      <c r="AI52" s="1112"/>
      <c r="AJ52" s="1112"/>
      <c r="AK52" s="1112"/>
      <c r="AL52" s="1112"/>
      <c r="AM52" s="1112"/>
      <c r="AN52" s="1112"/>
      <c r="AO52" s="1112"/>
      <c r="AP52" s="1112"/>
      <c r="AQ52" s="1112"/>
      <c r="AR52" s="1112"/>
      <c r="AS52" s="1112"/>
      <c r="AU52" s="688"/>
      <c r="AV52" s="688" t="str">
        <f t="shared" si="1"/>
        <v>Добавить централизованную систему для дифференциации</v>
      </c>
      <c r="AW52" s="688"/>
      <c r="AX52" s="688"/>
      <c r="AY52" s="451">
        <v>0</v>
      </c>
    </row>
    <row r="53" spans="1:51" s="1430" customFormat="1" ht="0" hidden="1" customHeight="1">
      <c r="A53" s="1131" t="s">
        <v>335</v>
      </c>
      <c r="B53" s="1131"/>
      <c r="C53" s="1131"/>
      <c r="D53" s="1131"/>
      <c r="E53" s="2395"/>
      <c r="F53" s="1131"/>
      <c r="G53" s="1131"/>
      <c r="H53" s="1131"/>
      <c r="I53" s="1131"/>
      <c r="J53" s="1131"/>
      <c r="K53" s="1131"/>
      <c r="L53" s="1134"/>
      <c r="M53" s="1109"/>
      <c r="N53" s="1109"/>
      <c r="O53" s="451"/>
      <c r="P53" s="313"/>
      <c r="Q53" s="1132"/>
      <c r="R53" s="313"/>
      <c r="S53" s="1110"/>
      <c r="T53" s="1113" t="s">
        <v>500</v>
      </c>
      <c r="U53" s="1112"/>
      <c r="V53" s="1112"/>
      <c r="W53" s="1112"/>
      <c r="X53" s="1112"/>
      <c r="Y53" s="1112"/>
      <c r="Z53" s="1112"/>
      <c r="AA53" s="1112"/>
      <c r="AB53" s="1112"/>
      <c r="AC53" s="1112"/>
      <c r="AD53" s="1112"/>
      <c r="AE53" s="1112"/>
      <c r="AF53" s="1112"/>
      <c r="AG53" s="1112"/>
      <c r="AH53" s="1112"/>
      <c r="AI53" s="1112"/>
      <c r="AJ53" s="1112"/>
      <c r="AK53" s="1112"/>
      <c r="AL53" s="1112"/>
      <c r="AM53" s="1112"/>
      <c r="AN53" s="1112"/>
      <c r="AO53" s="1112"/>
      <c r="AP53" s="1112"/>
      <c r="AQ53" s="1112"/>
      <c r="AR53" s="1112"/>
      <c r="AS53" s="1112"/>
      <c r="AU53" s="433"/>
      <c r="AV53" s="433" t="str">
        <f t="shared" si="1"/>
        <v>Добавить территорию для дифференциации</v>
      </c>
      <c r="AW53" s="433"/>
      <c r="AX53" s="433"/>
      <c r="AY53" s="444">
        <v>0</v>
      </c>
    </row>
    <row r="54" spans="1:51" s="1430" customFormat="1" ht="0" hidden="1" customHeight="1">
      <c r="A54" s="1102"/>
      <c r="B54" s="1102"/>
      <c r="C54" s="1102"/>
      <c r="D54" s="1102"/>
      <c r="E54" s="1131"/>
      <c r="F54" s="1102"/>
      <c r="G54" s="1102"/>
      <c r="H54" s="1102"/>
      <c r="I54" s="1102"/>
      <c r="J54" s="1102"/>
      <c r="K54" s="1102"/>
      <c r="L54" s="1282"/>
      <c r="M54" s="1109"/>
      <c r="N54" s="1109"/>
      <c r="P54" s="1104"/>
      <c r="Q54" s="1105"/>
      <c r="R54" s="1104"/>
      <c r="S54" s="1110"/>
      <c r="T54" s="1113" t="s">
        <v>532</v>
      </c>
      <c r="U54" s="1112"/>
      <c r="V54" s="1112"/>
      <c r="W54" s="1112"/>
      <c r="X54" s="1112"/>
      <c r="Y54" s="1112"/>
      <c r="Z54" s="1112"/>
      <c r="AA54" s="1112"/>
      <c r="AB54" s="1112"/>
      <c r="AC54" s="1112"/>
      <c r="AD54" s="1112"/>
      <c r="AE54" s="1112"/>
      <c r="AF54" s="1112"/>
      <c r="AG54" s="1112"/>
      <c r="AH54" s="1112"/>
      <c r="AI54" s="1112"/>
      <c r="AJ54" s="1112"/>
      <c r="AK54" s="1112"/>
      <c r="AL54" s="1112"/>
      <c r="AM54" s="1112"/>
      <c r="AN54" s="1112"/>
      <c r="AO54" s="1112"/>
      <c r="AP54" s="1112"/>
      <c r="AQ54" s="1112"/>
      <c r="AR54" s="1112"/>
      <c r="AS54" s="1112"/>
      <c r="AU54" s="688"/>
      <c r="AV54" s="688" t="str">
        <f t="shared" si="1"/>
        <v>Добавить наименование тарифа</v>
      </c>
      <c r="AW54" s="688"/>
      <c r="AX54" s="688"/>
      <c r="AY54" s="451">
        <v>0</v>
      </c>
    </row>
    <row r="55" spans="1:51" ht="11.45" customHeight="1">
      <c r="M55" s="961"/>
      <c r="N55" s="961"/>
      <c r="O55" s="469"/>
      <c r="P55" s="956"/>
      <c r="Q55" s="956"/>
      <c r="R55" s="956"/>
      <c r="S55" s="956"/>
      <c r="AT55" s="956"/>
      <c r="AU55" s="956"/>
      <c r="AV55" s="956"/>
      <c r="AW55" s="956"/>
      <c r="AX55" s="956"/>
      <c r="AY55" s="956">
        <v>11</v>
      </c>
    </row>
    <row r="56" spans="1:51" ht="14.65" customHeight="1">
      <c r="O56" s="469"/>
      <c r="S56" s="1041"/>
      <c r="T56" s="2394"/>
      <c r="U56" s="2394"/>
      <c r="V56" s="2394"/>
      <c r="W56" s="2394"/>
      <c r="X56" s="2394"/>
      <c r="Y56" s="2394"/>
      <c r="Z56" s="2394"/>
      <c r="AA56" s="2394"/>
      <c r="AB56" s="2394"/>
      <c r="AC56" s="2394"/>
      <c r="AD56" s="2394"/>
      <c r="AE56" s="2394"/>
      <c r="AF56" s="2394"/>
      <c r="AG56" s="2394"/>
      <c r="AH56" s="2394"/>
      <c r="AI56" s="2394"/>
      <c r="AJ56" s="2394"/>
      <c r="AK56" s="2394"/>
      <c r="AL56" s="2394"/>
      <c r="AM56" s="2394"/>
      <c r="AN56" s="2394"/>
      <c r="AO56" s="2394"/>
      <c r="AP56" s="2394"/>
      <c r="AQ56" s="2394"/>
      <c r="AR56" s="2394"/>
      <c r="AS56" s="2394"/>
      <c r="AY56" s="956">
        <v>14</v>
      </c>
    </row>
    <row r="57" spans="1:51" ht="14.65" customHeight="1">
      <c r="O57" s="469"/>
      <c r="AY57" s="956">
        <v>14</v>
      </c>
    </row>
    <row r="58" spans="1:51" ht="14.65" customHeight="1">
      <c r="O58" s="469"/>
      <c r="S58" s="1041"/>
      <c r="T58" s="2394"/>
      <c r="U58" s="2394"/>
      <c r="V58" s="2394"/>
      <c r="W58" s="2394"/>
      <c r="X58" s="2394"/>
      <c r="Y58" s="2394"/>
      <c r="Z58" s="2394"/>
      <c r="AA58" s="2394"/>
      <c r="AB58" s="2394"/>
      <c r="AC58" s="2394"/>
      <c r="AD58" s="2394"/>
      <c r="AE58" s="2394"/>
      <c r="AF58" s="2394"/>
      <c r="AG58" s="2394"/>
      <c r="AH58" s="2394"/>
      <c r="AI58" s="2394"/>
      <c r="AJ58" s="2394"/>
      <c r="AK58" s="2394"/>
      <c r="AL58" s="2394"/>
      <c r="AM58" s="2394"/>
      <c r="AN58" s="2394"/>
      <c r="AO58" s="2394"/>
      <c r="AP58" s="2394"/>
      <c r="AQ58" s="2394"/>
      <c r="AR58" s="2394"/>
      <c r="AS58" s="2394"/>
      <c r="AY58" s="956">
        <v>14</v>
      </c>
    </row>
    <row r="59" spans="1:51" ht="22.5" hidden="1" customHeight="1">
      <c r="A59" s="961" t="s">
        <v>69</v>
      </c>
      <c r="B59" s="961">
        <v>0</v>
      </c>
      <c r="C59" s="961">
        <v>0</v>
      </c>
      <c r="D59" s="961">
        <v>0</v>
      </c>
      <c r="E59" s="961">
        <v>0</v>
      </c>
      <c r="F59" s="961">
        <v>0</v>
      </c>
      <c r="G59" s="961">
        <v>0</v>
      </c>
      <c r="H59" s="961">
        <v>0</v>
      </c>
      <c r="I59" s="961">
        <v>0</v>
      </c>
      <c r="J59" s="961">
        <v>0</v>
      </c>
      <c r="K59" s="961">
        <v>0</v>
      </c>
      <c r="L59" s="1266">
        <v>0</v>
      </c>
      <c r="M59" s="1150">
        <v>0</v>
      </c>
      <c r="N59" s="1150">
        <v>0</v>
      </c>
      <c r="O59" s="1150">
        <v>0</v>
      </c>
      <c r="P59" s="1261">
        <v>3</v>
      </c>
      <c r="Q59" s="278">
        <v>3</v>
      </c>
      <c r="R59" s="278">
        <v>3</v>
      </c>
      <c r="S59" s="512">
        <v>12</v>
      </c>
      <c r="T59" s="956">
        <v>35</v>
      </c>
      <c r="U59" s="956">
        <v>0</v>
      </c>
      <c r="V59" s="956">
        <v>0</v>
      </c>
      <c r="W59" s="1419">
        <v>0</v>
      </c>
      <c r="X59" s="1419">
        <v>0</v>
      </c>
      <c r="Y59" s="1419">
        <v>0</v>
      </c>
      <c r="Z59" s="1419">
        <v>0</v>
      </c>
      <c r="AA59" s="1419">
        <v>0</v>
      </c>
      <c r="AB59" s="1419">
        <v>0</v>
      </c>
      <c r="AC59" s="956">
        <v>0</v>
      </c>
      <c r="AD59" s="956">
        <v>0</v>
      </c>
      <c r="AE59" s="956">
        <v>0</v>
      </c>
      <c r="AF59" s="956">
        <v>0</v>
      </c>
      <c r="AG59" s="956">
        <v>19</v>
      </c>
      <c r="AH59" s="1419">
        <v>19</v>
      </c>
      <c r="AI59" s="1419">
        <v>19</v>
      </c>
      <c r="AJ59" s="1419">
        <v>19</v>
      </c>
      <c r="AK59" s="1419">
        <v>19</v>
      </c>
      <c r="AL59" s="1419">
        <v>19</v>
      </c>
      <c r="AM59" s="956">
        <v>19</v>
      </c>
      <c r="AN59" s="956">
        <v>11</v>
      </c>
      <c r="AO59" s="956">
        <v>3</v>
      </c>
      <c r="AP59" s="956">
        <v>11</v>
      </c>
      <c r="AQ59" s="956">
        <v>0</v>
      </c>
      <c r="AR59" s="956">
        <v>4</v>
      </c>
      <c r="AS59" s="956">
        <v>115</v>
      </c>
      <c r="AT59" s="444">
        <v>10</v>
      </c>
      <c r="AU59" s="444">
        <v>10</v>
      </c>
      <c r="AV59" s="444">
        <v>10</v>
      </c>
      <c r="AW59" s="444">
        <v>10</v>
      </c>
      <c r="AX59" s="444">
        <v>10</v>
      </c>
      <c r="AY59" s="956">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49"/>
  <sheetViews>
    <sheetView showGridLines="0" zoomScale="90" workbookViewId="0">
      <pane xSplit="4" ySplit="12" topLeftCell="I13" activePane="bottomRight" state="frozen"/>
      <selection pane="topRight" activeCell="E1" sqref="E1"/>
      <selection pane="bottomLeft" activeCell="A13" sqref="A13"/>
      <selection pane="bottomRight" activeCell="M48" sqref="M48"/>
    </sheetView>
  </sheetViews>
  <sheetFormatPr defaultColWidth="9.140625" defaultRowHeight="11.25" customHeight="1"/>
  <cols>
    <col min="1" max="1" width="6.42578125" style="1609" hidden="1" customWidth="1"/>
    <col min="2" max="2" width="2" style="1609" hidden="1" customWidth="1"/>
    <col min="3" max="3" width="3" style="1609" customWidth="1"/>
    <col min="4" max="4" width="4" style="1609" customWidth="1"/>
    <col min="5" max="5" width="44" style="1609" customWidth="1"/>
    <col min="6" max="6" width="6.42578125" style="1609" customWidth="1"/>
    <col min="7" max="7" width="4" style="1609" customWidth="1"/>
    <col min="8" max="8" width="5" style="1609" customWidth="1"/>
    <col min="9" max="9" width="52" style="1609" customWidth="1"/>
    <col min="10" max="10" width="7" style="1609" customWidth="1"/>
    <col min="11" max="11" width="3" style="1609" customWidth="1"/>
    <col min="12" max="12" width="6" style="1609" customWidth="1"/>
    <col min="13" max="13" width="56" style="1609" customWidth="1"/>
    <col min="14" max="14" width="8" style="1158" customWidth="1"/>
    <col min="15" max="20" width="9.140625" style="1412" hidden="1"/>
    <col min="21" max="24" width="9.140625" style="1054" hidden="1"/>
    <col min="25" max="37" width="9.140625" style="1158" hidden="1"/>
    <col min="38" max="38" width="8" style="1158" customWidth="1"/>
    <col min="39" max="39" width="9.140625" style="1609" hidden="1"/>
  </cols>
  <sheetData>
    <row r="1" spans="1:39" ht="11.25" hidden="1" customHeight="1">
      <c r="AM1" s="514" t="s">
        <v>1</v>
      </c>
    </row>
    <row r="2" spans="1:39" ht="11.25" hidden="1" customHeight="1">
      <c r="AM2" s="514">
        <v>0</v>
      </c>
    </row>
    <row r="3" spans="1:39" ht="11.45" customHeight="1">
      <c r="AM3" s="514">
        <v>11</v>
      </c>
    </row>
    <row r="4" spans="1:39" ht="35.65" customHeight="1">
      <c r="A4" s="516"/>
      <c r="B4" s="516"/>
      <c r="D4" s="2259"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260"/>
      <c r="F4" s="2260"/>
      <c r="G4" s="2260"/>
      <c r="H4" s="2260"/>
      <c r="I4" s="2261"/>
      <c r="J4" s="515"/>
      <c r="K4" s="515"/>
      <c r="L4" s="515"/>
      <c r="M4" s="515"/>
      <c r="AM4" s="514">
        <v>34</v>
      </c>
    </row>
    <row r="5" spans="1:39" s="520" customFormat="1" ht="14.65" customHeight="1">
      <c r="A5" s="516"/>
      <c r="B5" s="516"/>
      <c r="C5" s="516"/>
      <c r="D5" s="2262" t="str">
        <f>IF(org=0,"Не определено",org)</f>
        <v>ООО "Смоленскрегионтеплоэнерго"</v>
      </c>
      <c r="E5" s="2263"/>
      <c r="F5" s="2263"/>
      <c r="G5" s="2263"/>
      <c r="H5" s="2263"/>
      <c r="I5" s="2264"/>
      <c r="J5" s="517"/>
      <c r="K5" s="517"/>
      <c r="L5" s="517"/>
      <c r="M5" s="517"/>
      <c r="N5" s="517"/>
      <c r="O5" s="769"/>
      <c r="P5" s="769"/>
      <c r="Q5" s="769"/>
      <c r="R5" s="769"/>
      <c r="S5" s="769"/>
      <c r="T5" s="769"/>
      <c r="U5" s="1049"/>
      <c r="V5" s="1049"/>
      <c r="W5" s="1049"/>
      <c r="X5" s="1049"/>
      <c r="Y5" s="517"/>
      <c r="Z5" s="517"/>
      <c r="AA5" s="517"/>
      <c r="AB5" s="517"/>
      <c r="AC5" s="517"/>
      <c r="AD5" s="517"/>
      <c r="AE5" s="517"/>
      <c r="AF5" s="517"/>
      <c r="AG5" s="517"/>
      <c r="AH5" s="517"/>
      <c r="AI5" s="517"/>
      <c r="AJ5" s="517"/>
      <c r="AK5" s="517"/>
      <c r="AL5" s="517"/>
      <c r="AM5" s="518">
        <v>14</v>
      </c>
    </row>
    <row r="6" spans="1:39" s="520" customFormat="1" ht="6.4" customHeight="1">
      <c r="A6" s="2250"/>
      <c r="B6" s="2250"/>
      <c r="C6" s="2250"/>
      <c r="D6" s="2250"/>
      <c r="E6" s="2250"/>
      <c r="F6" s="2250"/>
      <c r="G6" s="519"/>
      <c r="H6" s="519"/>
      <c r="I6" s="519"/>
      <c r="J6" s="519"/>
      <c r="K6" s="519"/>
      <c r="N6" s="521"/>
      <c r="O6" s="1202"/>
      <c r="P6" s="1202"/>
      <c r="Q6" s="1202"/>
      <c r="R6" s="1202"/>
      <c r="S6" s="1202"/>
      <c r="T6" s="1202"/>
      <c r="U6" s="1052"/>
      <c r="V6" s="1052"/>
      <c r="W6" s="1052"/>
      <c r="X6" s="1052"/>
      <c r="Y6" s="521"/>
      <c r="Z6" s="521"/>
      <c r="AA6" s="521"/>
      <c r="AB6" s="521"/>
      <c r="AC6" s="521"/>
      <c r="AD6" s="521"/>
      <c r="AE6" s="521"/>
      <c r="AF6" s="521"/>
      <c r="AG6" s="521"/>
      <c r="AH6" s="521"/>
      <c r="AI6" s="521"/>
      <c r="AJ6" s="521"/>
      <c r="AK6" s="521"/>
      <c r="AL6" s="521"/>
      <c r="AM6" s="520">
        <v>6</v>
      </c>
    </row>
    <row r="7" spans="1:39" ht="45.75" hidden="1" customHeight="1">
      <c r="E7" s="226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70"/>
      <c r="G7" s="2270"/>
      <c r="H7" s="2270"/>
      <c r="I7" s="2270"/>
      <c r="J7" s="2270"/>
      <c r="K7" s="2270"/>
      <c r="L7" s="2270"/>
      <c r="M7" s="2270"/>
      <c r="AM7" s="514">
        <v>0</v>
      </c>
    </row>
    <row r="8" spans="1:39" s="520" customFormat="1" ht="6.4" customHeight="1">
      <c r="A8" s="522"/>
      <c r="B8" s="522"/>
      <c r="C8" s="522"/>
      <c r="D8" s="522"/>
      <c r="E8" s="522"/>
      <c r="F8" s="522"/>
      <c r="G8" s="522"/>
      <c r="H8" s="522"/>
      <c r="I8" s="522"/>
      <c r="J8" s="522"/>
      <c r="K8" s="522"/>
      <c r="L8" s="522"/>
      <c r="N8" s="517"/>
      <c r="O8" s="769"/>
      <c r="P8" s="769"/>
      <c r="Q8" s="769"/>
      <c r="R8" s="769"/>
      <c r="S8" s="769"/>
      <c r="T8" s="769"/>
      <c r="U8" s="1049"/>
      <c r="V8" s="1049"/>
      <c r="W8" s="1049"/>
      <c r="X8" s="1049"/>
      <c r="Y8" s="517"/>
      <c r="Z8" s="517"/>
      <c r="AA8" s="517"/>
      <c r="AB8" s="517"/>
      <c r="AC8" s="517"/>
      <c r="AD8" s="517"/>
      <c r="AE8" s="517"/>
      <c r="AF8" s="517"/>
      <c r="AG8" s="517"/>
      <c r="AH8" s="517"/>
      <c r="AI8" s="517"/>
      <c r="AJ8" s="517"/>
      <c r="AK8" s="517"/>
      <c r="AL8" s="517"/>
      <c r="AM8" s="518">
        <v>6</v>
      </c>
    </row>
    <row r="9" spans="1:39" ht="18.75" customHeight="1">
      <c r="A9" s="2265"/>
      <c r="B9" s="257"/>
      <c r="C9" s="257"/>
      <c r="D9" s="2266" t="s">
        <v>157</v>
      </c>
      <c r="E9" s="2266"/>
      <c r="F9" s="2267" t="s">
        <v>158</v>
      </c>
      <c r="G9" s="2268"/>
      <c r="H9" s="2268"/>
      <c r="I9" s="2268"/>
      <c r="J9" s="2271" t="s">
        <v>159</v>
      </c>
      <c r="K9" s="2271"/>
      <c r="L9" s="2271"/>
      <c r="M9" s="2271"/>
      <c r="AM9" s="514">
        <v>18</v>
      </c>
    </row>
    <row r="10" spans="1:39" ht="24" customHeight="1">
      <c r="A10" s="2265"/>
      <c r="B10" s="523"/>
      <c r="C10" s="458"/>
      <c r="D10" s="456" t="s">
        <v>75</v>
      </c>
      <c r="E10" s="456" t="s">
        <v>76</v>
      </c>
      <c r="F10" s="456" t="s">
        <v>160</v>
      </c>
      <c r="G10" s="2272" t="s">
        <v>75</v>
      </c>
      <c r="H10" s="2273"/>
      <c r="I10" s="456" t="s">
        <v>76</v>
      </c>
      <c r="J10" s="456" t="s">
        <v>160</v>
      </c>
      <c r="K10" s="2272" t="s">
        <v>75</v>
      </c>
      <c r="L10" s="2273"/>
      <c r="M10" s="456" t="s">
        <v>76</v>
      </c>
      <c r="N10" s="1415"/>
      <c r="AM10" s="514">
        <v>23</v>
      </c>
    </row>
    <row r="11" spans="1:39" s="1609" customFormat="1" ht="11.25" hidden="1" customHeight="1">
      <c r="A11" s="524"/>
      <c r="B11" s="524"/>
      <c r="C11" s="524"/>
      <c r="D11" s="525" t="s">
        <v>161</v>
      </c>
      <c r="E11" s="525" t="s">
        <v>89</v>
      </c>
      <c r="F11" s="525" t="s">
        <v>77</v>
      </c>
      <c r="G11" s="2255" t="s">
        <v>78</v>
      </c>
      <c r="H11" s="2256"/>
      <c r="I11" s="525" t="s">
        <v>115</v>
      </c>
      <c r="J11" s="525" t="s">
        <v>79</v>
      </c>
      <c r="K11" s="2257" t="s">
        <v>80</v>
      </c>
      <c r="L11" s="2258"/>
      <c r="M11" s="525" t="s">
        <v>131</v>
      </c>
      <c r="N11" s="1414"/>
      <c r="O11" s="1201"/>
      <c r="P11" s="1203"/>
      <c r="Q11" s="1203"/>
      <c r="R11" s="1203"/>
      <c r="S11" s="1203"/>
      <c r="T11" s="1203"/>
      <c r="U11" s="1053"/>
      <c r="V11" s="1053"/>
      <c r="W11" s="1053"/>
      <c r="X11" s="1053"/>
      <c r="Y11" s="526"/>
      <c r="Z11" s="526"/>
      <c r="AA11" s="526"/>
      <c r="AB11" s="526"/>
      <c r="AC11" s="526"/>
      <c r="AD11" s="526"/>
      <c r="AE11" s="526"/>
      <c r="AF11" s="526"/>
      <c r="AG11" s="526"/>
      <c r="AH11" s="526"/>
      <c r="AI11" s="526"/>
      <c r="AJ11" s="526"/>
      <c r="AK11" s="526"/>
      <c r="AL11" s="526"/>
      <c r="AM11" s="527">
        <v>0</v>
      </c>
    </row>
    <row r="12" spans="1:39" ht="1.1499999999999999" customHeight="1">
      <c r="A12" s="528"/>
      <c r="B12" s="529"/>
      <c r="C12" s="529"/>
      <c r="D12" s="530"/>
      <c r="E12" s="300"/>
      <c r="F12" s="531"/>
      <c r="G12" s="894"/>
      <c r="H12" s="894"/>
      <c r="I12" s="531"/>
      <c r="J12" s="531"/>
      <c r="K12" s="108"/>
      <c r="L12" s="300"/>
      <c r="M12" s="532"/>
      <c r="N12" s="1415"/>
      <c r="O12" s="1201" t="s">
        <v>162</v>
      </c>
      <c r="P12" s="1201" t="s">
        <v>163</v>
      </c>
      <c r="Q12" s="1201" t="s">
        <v>164</v>
      </c>
      <c r="R12" s="1201" t="s">
        <v>165</v>
      </c>
      <c r="AM12" s="514">
        <v>1</v>
      </c>
    </row>
    <row r="13" spans="1:39" s="1609" customFormat="1" ht="15.75" customHeight="1">
      <c r="A13" s="227"/>
      <c r="B13" s="227"/>
      <c r="C13" s="459"/>
      <c r="D13" s="2277" t="s">
        <v>161</v>
      </c>
      <c r="E13" s="2279"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F13" s="2282" t="s">
        <v>52</v>
      </c>
      <c r="G13" s="2283"/>
      <c r="H13" s="2284">
        <v>1</v>
      </c>
      <c r="I13" s="2274" t="str">
        <f>IF(U13="","",INDEX(TERRITORY_MR_LIST,MATCH(U13,TERRITORY_LIST_ID,0)))</f>
        <v>Территория 1</v>
      </c>
      <c r="J13" s="2276" t="s">
        <v>52</v>
      </c>
      <c r="K13" s="533"/>
      <c r="L13" s="460" t="s">
        <v>161</v>
      </c>
      <c r="M13" s="1881" t="s">
        <v>166</v>
      </c>
      <c r="N13" s="711"/>
      <c r="O13" s="1204" t="s">
        <v>167</v>
      </c>
      <c r="P13" s="1201" t="str">
        <f>$E$13</f>
        <v>Производство тепловой энергии. Некомбинированная выработка; Передача. Тепловая энергия; Сбыт. Тепловая энергия</v>
      </c>
      <c r="Q13" s="1201" t="str">
        <f>IF($F$13="нет","без дифференциации",$I$13)</f>
        <v>Территория 1</v>
      </c>
      <c r="R13" s="1201" t="str">
        <f>IF($J$13="нет","без дифференциации",M13)</f>
        <v>котельная г. Вязьма ул. Московская</v>
      </c>
      <c r="S13" s="1204"/>
      <c r="T13" s="1204"/>
      <c r="U13" s="1054" t="s">
        <v>85</v>
      </c>
      <c r="V13" s="1054" t="s">
        <v>168</v>
      </c>
      <c r="W13" s="1054"/>
      <c r="X13" s="1054"/>
      <c r="Y13" s="535" t="s">
        <v>169</v>
      </c>
      <c r="Z13" s="535">
        <v>1705000</v>
      </c>
      <c r="AA13" s="535"/>
      <c r="AB13" s="535"/>
      <c r="AC13" s="535"/>
      <c r="AD13" s="535"/>
      <c r="AE13" s="535"/>
      <c r="AF13" s="535"/>
      <c r="AG13" s="535"/>
      <c r="AH13" s="535"/>
      <c r="AI13" s="535"/>
      <c r="AJ13" s="535"/>
      <c r="AK13" s="535"/>
      <c r="AL13" s="535"/>
      <c r="AM13" s="537">
        <v>15</v>
      </c>
    </row>
    <row r="14" spans="1:39" s="1609" customFormat="1" ht="15.75" customHeight="1">
      <c r="A14" s="227"/>
      <c r="B14" s="227"/>
      <c r="C14" s="110"/>
      <c r="D14" s="2277"/>
      <c r="E14" s="2280"/>
      <c r="F14" s="2276"/>
      <c r="G14" s="2283"/>
      <c r="H14" s="2284"/>
      <c r="I14" s="2275"/>
      <c r="J14" s="2276"/>
      <c r="K14" s="354"/>
      <c r="L14" s="111"/>
      <c r="M14" s="538" t="s">
        <v>170</v>
      </c>
      <c r="N14" s="711"/>
      <c r="O14" s="1204"/>
      <c r="P14" s="1201"/>
      <c r="Q14" s="1201"/>
      <c r="R14" s="1201"/>
      <c r="S14" s="1204"/>
      <c r="T14" s="1204"/>
      <c r="U14" s="1054"/>
      <c r="V14" s="1054"/>
      <c r="W14" s="1054"/>
      <c r="X14" s="1054"/>
      <c r="Y14" s="535"/>
      <c r="Z14" s="535"/>
      <c r="AA14" s="535"/>
      <c r="AB14" s="535"/>
      <c r="AC14" s="535"/>
      <c r="AD14" s="535"/>
      <c r="AE14" s="535"/>
      <c r="AF14" s="535"/>
      <c r="AG14" s="535"/>
      <c r="AH14" s="535"/>
      <c r="AI14" s="535"/>
      <c r="AJ14" s="535"/>
      <c r="AK14" s="535"/>
      <c r="AL14" s="535"/>
      <c r="AM14" s="537">
        <v>15</v>
      </c>
    </row>
    <row r="15" spans="1:39" ht="15" customHeight="1">
      <c r="A15" s="356"/>
      <c r="B15" s="356"/>
      <c r="C15" s="110"/>
      <c r="D15" s="2278"/>
      <c r="E15" s="2278"/>
      <c r="F15" s="2278"/>
      <c r="G15" s="2285" t="s">
        <v>90</v>
      </c>
      <c r="H15" s="2246" t="s">
        <v>89</v>
      </c>
      <c r="I15" s="2286" t="str">
        <f>IF(U15="","",INDEX(TERRITORY_MR_LIST,MATCH(U15,TERRITORY_LIST_ID,0)))</f>
        <v>Территория 2</v>
      </c>
      <c r="J15" s="2276" t="s">
        <v>52</v>
      </c>
      <c r="K15" s="731"/>
      <c r="L15" s="1541" t="s">
        <v>161</v>
      </c>
      <c r="M15" s="1881" t="s">
        <v>171</v>
      </c>
      <c r="N15" s="535"/>
      <c r="O15" s="535" t="s">
        <v>172</v>
      </c>
      <c r="P15" s="535" t="str">
        <f>$E$13</f>
        <v>Производство тепловой энергии. Некомбинированная выработка; Передача. Тепловая энергия; Сбыт. Тепловая энергия</v>
      </c>
      <c r="Q15" s="535" t="str">
        <f>IF($F$15="нет","без дифференциации",$I$15)</f>
        <v>Территория 2</v>
      </c>
      <c r="R15" s="535" t="str">
        <f>IF($J$15="нет","без дифференциации",$M$15)</f>
        <v>Вяземский филиал</v>
      </c>
      <c r="S15" s="535"/>
      <c r="T15" s="535"/>
      <c r="U15" s="536" t="s">
        <v>91</v>
      </c>
      <c r="V15" s="535"/>
      <c r="W15" s="535"/>
      <c r="X15" s="526"/>
      <c r="Y15" s="526" t="s">
        <v>169</v>
      </c>
      <c r="Z15" s="526">
        <v>1705000</v>
      </c>
      <c r="AA15" s="526"/>
      <c r="AB15" s="526"/>
      <c r="AC15" s="526"/>
      <c r="AD15" s="526"/>
      <c r="AE15" s="526"/>
      <c r="AF15" s="526"/>
      <c r="AG15" s="526"/>
      <c r="AH15" s="526"/>
      <c r="AI15" s="526"/>
      <c r="AJ15" s="526"/>
      <c r="AK15" s="526"/>
      <c r="AL15" s="526"/>
    </row>
    <row r="16" spans="1:39" ht="15" customHeight="1">
      <c r="A16" s="356"/>
      <c r="B16" s="356"/>
      <c r="C16" s="110"/>
      <c r="D16" s="2278"/>
      <c r="E16" s="2278"/>
      <c r="F16" s="2278"/>
      <c r="G16" s="2285"/>
      <c r="H16" s="2246"/>
      <c r="I16" s="2286"/>
      <c r="J16" s="2276"/>
      <c r="K16" s="354"/>
      <c r="L16" s="111"/>
      <c r="M16" s="538" t="s">
        <v>170</v>
      </c>
      <c r="N16" s="535"/>
      <c r="O16" s="535"/>
      <c r="P16" s="535"/>
      <c r="Q16" s="535"/>
      <c r="R16" s="535"/>
      <c r="S16" s="535"/>
      <c r="T16" s="535"/>
      <c r="U16" s="536"/>
      <c r="V16" s="535"/>
      <c r="W16" s="535"/>
      <c r="X16" s="526"/>
      <c r="Y16" s="526"/>
      <c r="Z16" s="526"/>
      <c r="AA16" s="526"/>
      <c r="AB16" s="526"/>
      <c r="AC16" s="526"/>
      <c r="AD16" s="526"/>
      <c r="AE16" s="526"/>
      <c r="AF16" s="526"/>
      <c r="AG16" s="526"/>
      <c r="AH16" s="526"/>
      <c r="AI16" s="526"/>
      <c r="AJ16" s="526"/>
      <c r="AK16" s="526"/>
      <c r="AL16" s="526"/>
    </row>
    <row r="17" spans="1:38" ht="15" customHeight="1">
      <c r="A17" s="356"/>
      <c r="B17" s="356"/>
      <c r="C17" s="110"/>
      <c r="D17" s="2278"/>
      <c r="E17" s="2278"/>
      <c r="F17" s="2278"/>
      <c r="G17" s="2285" t="s">
        <v>90</v>
      </c>
      <c r="H17" s="2246" t="s">
        <v>77</v>
      </c>
      <c r="I17" s="2286" t="str">
        <f>IF(U17="","",INDEX(TERRITORY_MR_LIST,MATCH(U17,TERRITORY_LIST_ID,0)))</f>
        <v>Территория 3</v>
      </c>
      <c r="J17" s="2276" t="s">
        <v>52</v>
      </c>
      <c r="K17" s="731"/>
      <c r="L17" s="1541" t="s">
        <v>161</v>
      </c>
      <c r="M17" s="1881" t="s">
        <v>173</v>
      </c>
      <c r="N17" s="535"/>
      <c r="O17" s="535" t="s">
        <v>174</v>
      </c>
      <c r="P17" s="535" t="str">
        <f>$E$13</f>
        <v>Производство тепловой энергии. Некомбинированная выработка; Передача. Тепловая энергия; Сбыт. Тепловая энергия</v>
      </c>
      <c r="Q17" s="535" t="str">
        <f>IF($F$17="нет","без дифференциации",$I$17)</f>
        <v>Территория 3</v>
      </c>
      <c r="R17" s="535" t="str">
        <f>IF($J$17="нет","без дифференциации",$M$17)</f>
        <v>котельная с. Карманово, ул. Набережная, д. 18, стр. 3</v>
      </c>
      <c r="S17" s="535"/>
      <c r="T17" s="535"/>
      <c r="U17" s="536" t="s">
        <v>101</v>
      </c>
      <c r="V17" s="535"/>
      <c r="W17" s="535"/>
      <c r="X17" s="526"/>
      <c r="Y17" s="526" t="s">
        <v>169</v>
      </c>
      <c r="Z17" s="526">
        <v>1705000</v>
      </c>
      <c r="AA17" s="526"/>
      <c r="AB17" s="526"/>
      <c r="AC17" s="526"/>
      <c r="AD17" s="526"/>
      <c r="AE17" s="526"/>
      <c r="AF17" s="526"/>
      <c r="AG17" s="526"/>
      <c r="AH17" s="526"/>
      <c r="AI17" s="526"/>
      <c r="AJ17" s="526"/>
      <c r="AK17" s="526"/>
      <c r="AL17" s="526"/>
    </row>
    <row r="18" spans="1:38" ht="15" customHeight="1">
      <c r="A18" s="356"/>
      <c r="B18" s="356"/>
      <c r="C18" s="110"/>
      <c r="D18" s="2278"/>
      <c r="E18" s="2278"/>
      <c r="F18" s="2278"/>
      <c r="G18" s="2285"/>
      <c r="H18" s="2246"/>
      <c r="I18" s="2286"/>
      <c r="J18" s="2276"/>
      <c r="K18" s="354"/>
      <c r="L18" s="111"/>
      <c r="M18" s="538" t="s">
        <v>170</v>
      </c>
      <c r="N18" s="535"/>
      <c r="O18" s="535"/>
      <c r="P18" s="535"/>
      <c r="Q18" s="535"/>
      <c r="R18" s="535"/>
      <c r="S18" s="535"/>
      <c r="T18" s="535"/>
      <c r="U18" s="536"/>
      <c r="V18" s="535"/>
      <c r="W18" s="535"/>
      <c r="X18" s="526"/>
      <c r="Y18" s="526"/>
      <c r="Z18" s="526"/>
      <c r="AA18" s="526"/>
      <c r="AB18" s="526"/>
      <c r="AC18" s="526"/>
      <c r="AD18" s="526"/>
      <c r="AE18" s="526"/>
      <c r="AF18" s="526"/>
      <c r="AG18" s="526"/>
      <c r="AH18" s="526"/>
      <c r="AI18" s="526"/>
      <c r="AJ18" s="526"/>
      <c r="AK18" s="526"/>
      <c r="AL18" s="526"/>
    </row>
    <row r="19" spans="1:38" ht="15" customHeight="1">
      <c r="A19" s="356"/>
      <c r="B19" s="356"/>
      <c r="C19" s="110"/>
      <c r="D19" s="2278"/>
      <c r="E19" s="2278"/>
      <c r="F19" s="2278"/>
      <c r="G19" s="2285" t="s">
        <v>90</v>
      </c>
      <c r="H19" s="2246" t="s">
        <v>78</v>
      </c>
      <c r="I19" s="2286" t="str">
        <f>IF(U19="","",INDEX(TERRITORY_MR_LIST,MATCH(U19,TERRITORY_LIST_ID,0)))</f>
        <v>Территория 4</v>
      </c>
      <c r="J19" s="2276" t="s">
        <v>52</v>
      </c>
      <c r="K19" s="731"/>
      <c r="L19" s="1541" t="s">
        <v>161</v>
      </c>
      <c r="M19" s="1881" t="s">
        <v>175</v>
      </c>
      <c r="N19" s="535"/>
      <c r="O19" s="535" t="s">
        <v>176</v>
      </c>
      <c r="P19" s="535" t="str">
        <f>$E$13</f>
        <v>Производство тепловой энергии. Некомбинированная выработка; Передача. Тепловая энергия; Сбыт. Тепловая энергия</v>
      </c>
      <c r="Q19" s="535" t="str">
        <f>IF($F$19="нет","без дифференциации",$I$19)</f>
        <v>Территория 4</v>
      </c>
      <c r="R19" s="535" t="str">
        <f>IF($J$19="нет","без дифференциации",$M$19)</f>
        <v>Рославльский филиал</v>
      </c>
      <c r="S19" s="535"/>
      <c r="T19" s="535"/>
      <c r="U19" s="536" t="s">
        <v>102</v>
      </c>
      <c r="V19" s="535"/>
      <c r="W19" s="535"/>
      <c r="X19" s="526"/>
      <c r="Y19" s="526" t="s">
        <v>169</v>
      </c>
      <c r="Z19" s="526">
        <v>1705000</v>
      </c>
      <c r="AA19" s="526"/>
      <c r="AB19" s="526"/>
      <c r="AC19" s="526"/>
      <c r="AD19" s="526"/>
      <c r="AE19" s="526"/>
      <c r="AF19" s="526"/>
      <c r="AG19" s="526"/>
      <c r="AH19" s="526"/>
      <c r="AI19" s="526"/>
      <c r="AJ19" s="526"/>
      <c r="AK19" s="526"/>
      <c r="AL19" s="526"/>
    </row>
    <row r="20" spans="1:38" ht="15" customHeight="1">
      <c r="A20" s="356"/>
      <c r="B20" s="356"/>
      <c r="C20" s="110"/>
      <c r="D20" s="2278"/>
      <c r="E20" s="2278"/>
      <c r="F20" s="2278"/>
      <c r="G20" s="2285"/>
      <c r="H20" s="2246"/>
      <c r="I20" s="2286"/>
      <c r="J20" s="2276"/>
      <c r="K20" s="354"/>
      <c r="L20" s="111"/>
      <c r="M20" s="538" t="s">
        <v>170</v>
      </c>
      <c r="N20" s="535"/>
      <c r="O20" s="535"/>
      <c r="P20" s="535"/>
      <c r="Q20" s="535"/>
      <c r="R20" s="535"/>
      <c r="S20" s="535"/>
      <c r="T20" s="535"/>
      <c r="U20" s="536"/>
      <c r="V20" s="535"/>
      <c r="W20" s="535"/>
      <c r="X20" s="526"/>
      <c r="Y20" s="526"/>
      <c r="Z20" s="526"/>
      <c r="AA20" s="526"/>
      <c r="AB20" s="526"/>
      <c r="AC20" s="526"/>
      <c r="AD20" s="526"/>
      <c r="AE20" s="526"/>
      <c r="AF20" s="526"/>
      <c r="AG20" s="526"/>
      <c r="AH20" s="526"/>
      <c r="AI20" s="526"/>
      <c r="AJ20" s="526"/>
      <c r="AK20" s="526"/>
      <c r="AL20" s="526"/>
    </row>
    <row r="21" spans="1:38" ht="15" customHeight="1">
      <c r="A21" s="356"/>
      <c r="B21" s="356"/>
      <c r="C21" s="110"/>
      <c r="D21" s="2278"/>
      <c r="E21" s="2278"/>
      <c r="F21" s="2278"/>
      <c r="G21" s="2285" t="s">
        <v>90</v>
      </c>
      <c r="H21" s="2246" t="s">
        <v>115</v>
      </c>
      <c r="I21" s="2286" t="str">
        <f>IF(U21="","",INDEX(TERRITORY_MR_LIST,MATCH(U21,TERRITORY_LIST_ID,0)))</f>
        <v>Территория 5</v>
      </c>
      <c r="J21" s="2276" t="s">
        <v>52</v>
      </c>
      <c r="K21" s="731"/>
      <c r="L21" s="1541" t="s">
        <v>161</v>
      </c>
      <c r="M21" s="1881" t="s">
        <v>177</v>
      </c>
      <c r="N21" s="535"/>
      <c r="O21" s="535" t="s">
        <v>178</v>
      </c>
      <c r="P21" s="535" t="str">
        <f>$E$13</f>
        <v>Производство тепловой энергии. Некомбинированная выработка; Передача. Тепловая энергия; Сбыт. Тепловая энергия</v>
      </c>
      <c r="Q21" s="535" t="str">
        <f>IF($F$21="нет","без дифференциации",$I$21)</f>
        <v>Территория 5</v>
      </c>
      <c r="R21" s="535" t="str">
        <f>IF($J$21="нет","без дифференциации",$M$21)</f>
        <v>котельная г. Рославль, ул. Мичурина</v>
      </c>
      <c r="S21" s="535"/>
      <c r="T21" s="535"/>
      <c r="U21" s="536" t="s">
        <v>116</v>
      </c>
      <c r="V21" s="535"/>
      <c r="W21" s="535"/>
      <c r="X21" s="526"/>
      <c r="Y21" s="526" t="s">
        <v>169</v>
      </c>
      <c r="Z21" s="526">
        <v>1705000</v>
      </c>
      <c r="AA21" s="526"/>
      <c r="AB21" s="526"/>
      <c r="AC21" s="526"/>
      <c r="AD21" s="526"/>
      <c r="AE21" s="526"/>
      <c r="AF21" s="526"/>
      <c r="AG21" s="526"/>
      <c r="AH21" s="526"/>
      <c r="AI21" s="526"/>
      <c r="AJ21" s="526"/>
      <c r="AK21" s="526"/>
      <c r="AL21" s="526"/>
    </row>
    <row r="22" spans="1:38" ht="15" customHeight="1">
      <c r="A22" s="356"/>
      <c r="B22" s="356"/>
      <c r="C22" s="110"/>
      <c r="D22" s="2278"/>
      <c r="E22" s="2278"/>
      <c r="F22" s="2278"/>
      <c r="G22" s="2285"/>
      <c r="H22" s="2246"/>
      <c r="I22" s="2286"/>
      <c r="J22" s="2276"/>
      <c r="K22" s="354"/>
      <c r="L22" s="111"/>
      <c r="M22" s="538" t="s">
        <v>170</v>
      </c>
      <c r="N22" s="535"/>
      <c r="O22" s="535"/>
      <c r="P22" s="535"/>
      <c r="Q22" s="535"/>
      <c r="R22" s="535"/>
      <c r="S22" s="535"/>
      <c r="T22" s="535"/>
      <c r="U22" s="536"/>
      <c r="V22" s="535"/>
      <c r="W22" s="535"/>
      <c r="X22" s="526"/>
      <c r="Y22" s="526"/>
      <c r="Z22" s="526"/>
      <c r="AA22" s="526"/>
      <c r="AB22" s="526"/>
      <c r="AC22" s="526"/>
      <c r="AD22" s="526"/>
      <c r="AE22" s="526"/>
      <c r="AF22" s="526"/>
      <c r="AG22" s="526"/>
      <c r="AH22" s="526"/>
      <c r="AI22" s="526"/>
      <c r="AJ22" s="526"/>
      <c r="AK22" s="526"/>
      <c r="AL22" s="526"/>
    </row>
    <row r="23" spans="1:38" ht="15" customHeight="1">
      <c r="A23" s="356"/>
      <c r="B23" s="356"/>
      <c r="C23" s="110"/>
      <c r="D23" s="2278"/>
      <c r="E23" s="2278"/>
      <c r="F23" s="2278"/>
      <c r="G23" s="2285" t="s">
        <v>90</v>
      </c>
      <c r="H23" s="2246" t="s">
        <v>79</v>
      </c>
      <c r="I23" s="2286" t="str">
        <f>IF(U23="","",INDEX(TERRITORY_MR_LIST,MATCH(U23,TERRITORY_LIST_ID,0)))</f>
        <v>Территория 6</v>
      </c>
      <c r="J23" s="2276" t="s">
        <v>52</v>
      </c>
      <c r="K23" s="731"/>
      <c r="L23" s="1541" t="s">
        <v>161</v>
      </c>
      <c r="M23" s="1881" t="s">
        <v>179</v>
      </c>
      <c r="N23" s="535"/>
      <c r="O23" s="535" t="s">
        <v>180</v>
      </c>
      <c r="P23" s="535" t="str">
        <f>$E$13</f>
        <v>Производство тепловой энергии. Некомбинированная выработка; Передача. Тепловая энергия; Сбыт. Тепловая энергия</v>
      </c>
      <c r="Q23" s="535" t="str">
        <f>IF($F$23="нет","без дифференциации",$I$23)</f>
        <v>Территория 6</v>
      </c>
      <c r="R23" s="535" t="str">
        <f>IF($J$23="нет","без дифференциации",$M$23)</f>
        <v>котельная д. Даньково</v>
      </c>
      <c r="S23" s="535"/>
      <c r="T23" s="535"/>
      <c r="U23" s="536" t="s">
        <v>117</v>
      </c>
      <c r="V23" s="535"/>
      <c r="W23" s="535"/>
      <c r="X23" s="526"/>
      <c r="Y23" s="526" t="s">
        <v>169</v>
      </c>
      <c r="Z23" s="526">
        <v>1705000</v>
      </c>
      <c r="AA23" s="526"/>
      <c r="AB23" s="526"/>
      <c r="AC23" s="526"/>
      <c r="AD23" s="526"/>
      <c r="AE23" s="526"/>
      <c r="AF23" s="526"/>
      <c r="AG23" s="526"/>
      <c r="AH23" s="526"/>
      <c r="AI23" s="526"/>
      <c r="AJ23" s="526"/>
      <c r="AK23" s="526"/>
      <c r="AL23" s="526"/>
    </row>
    <row r="24" spans="1:38" ht="15" customHeight="1">
      <c r="A24" s="356"/>
      <c r="B24" s="356"/>
      <c r="C24" s="110"/>
      <c r="D24" s="2278"/>
      <c r="E24" s="2278"/>
      <c r="F24" s="2278"/>
      <c r="G24" s="2278"/>
      <c r="H24" s="2278"/>
      <c r="I24" s="2278"/>
      <c r="J24" s="2278"/>
      <c r="K24" s="1558" t="s">
        <v>90</v>
      </c>
      <c r="L24" s="1488" t="s">
        <v>89</v>
      </c>
      <c r="M24" s="710" t="s">
        <v>181</v>
      </c>
      <c r="N24" s="711"/>
      <c r="O24" s="535" t="s">
        <v>182</v>
      </c>
      <c r="P24" s="535" t="str">
        <f>$E$13</f>
        <v>Производство тепловой энергии. Некомбинированная выработка; Передача. Тепловая энергия; Сбыт. Тепловая энергия</v>
      </c>
      <c r="Q24" s="535" t="str">
        <f>IF($F$23="нет","без дифференциации",$I$23)</f>
        <v>Территория 6</v>
      </c>
      <c r="R24" s="535" t="str">
        <f>IF($J$24="нет","без дифференциации",$M$24)</f>
        <v>котельная д. Пересна</v>
      </c>
      <c r="S24" s="535"/>
      <c r="T24" s="535"/>
      <c r="U24" s="536"/>
      <c r="V24" s="535"/>
      <c r="W24" s="535"/>
      <c r="X24" s="526"/>
      <c r="Y24" s="526" t="s">
        <v>169</v>
      </c>
      <c r="Z24" s="526">
        <v>1705000</v>
      </c>
      <c r="AA24" s="526"/>
      <c r="AB24" s="526"/>
      <c r="AC24" s="526"/>
      <c r="AD24" s="526"/>
      <c r="AE24" s="526"/>
      <c r="AF24" s="526"/>
      <c r="AG24" s="526"/>
      <c r="AH24" s="526"/>
      <c r="AI24" s="526"/>
      <c r="AJ24" s="526"/>
      <c r="AK24" s="526"/>
      <c r="AL24" s="526"/>
    </row>
    <row r="25" spans="1:38" ht="15" customHeight="1">
      <c r="A25" s="356"/>
      <c r="B25" s="356"/>
      <c r="C25" s="110"/>
      <c r="D25" s="2278"/>
      <c r="E25" s="2278"/>
      <c r="F25" s="2278"/>
      <c r="G25" s="2278"/>
      <c r="H25" s="2278"/>
      <c r="I25" s="2278"/>
      <c r="J25" s="2278"/>
      <c r="K25" s="1558" t="s">
        <v>90</v>
      </c>
      <c r="L25" s="1488" t="s">
        <v>77</v>
      </c>
      <c r="M25" s="710" t="s">
        <v>183</v>
      </c>
      <c r="N25" s="711"/>
      <c r="O25" s="535" t="s">
        <v>184</v>
      </c>
      <c r="P25" s="535" t="str">
        <f>$E$13</f>
        <v>Производство тепловой энергии. Некомбинированная выработка; Передача. Тепловая энергия; Сбыт. Тепловая энергия</v>
      </c>
      <c r="Q25" s="535" t="str">
        <f>IF($F$23="нет","без дифференциации",$I$23)</f>
        <v>Территория 6</v>
      </c>
      <c r="R25" s="535" t="str">
        <f>IF($J$25="нет","без дифференциации",$M$25)</f>
        <v>котельная г. Починок, ул. Садовая</v>
      </c>
      <c r="S25" s="535"/>
      <c r="T25" s="535"/>
      <c r="U25" s="536"/>
      <c r="V25" s="535"/>
      <c r="W25" s="535"/>
      <c r="X25" s="526"/>
      <c r="Y25" s="526" t="s">
        <v>169</v>
      </c>
      <c r="Z25" s="526">
        <v>1705000</v>
      </c>
      <c r="AA25" s="526"/>
      <c r="AB25" s="526"/>
      <c r="AC25" s="526"/>
      <c r="AD25" s="526"/>
      <c r="AE25" s="526"/>
      <c r="AF25" s="526"/>
      <c r="AG25" s="526"/>
      <c r="AH25" s="526"/>
      <c r="AI25" s="526"/>
      <c r="AJ25" s="526"/>
      <c r="AK25" s="526"/>
      <c r="AL25" s="526"/>
    </row>
    <row r="26" spans="1:38" ht="15" customHeight="1">
      <c r="A26" s="356"/>
      <c r="B26" s="356"/>
      <c r="C26" s="110"/>
      <c r="D26" s="2278"/>
      <c r="E26" s="2278"/>
      <c r="F26" s="2278"/>
      <c r="G26" s="2285"/>
      <c r="H26" s="2246"/>
      <c r="I26" s="2286"/>
      <c r="J26" s="2276"/>
      <c r="K26" s="354"/>
      <c r="L26" s="111"/>
      <c r="M26" s="538" t="s">
        <v>170</v>
      </c>
      <c r="N26" s="535"/>
      <c r="O26" s="535"/>
      <c r="P26" s="535"/>
      <c r="Q26" s="535"/>
      <c r="R26" s="535"/>
      <c r="S26" s="535"/>
      <c r="T26" s="535"/>
      <c r="U26" s="536"/>
      <c r="V26" s="535"/>
      <c r="W26" s="535"/>
      <c r="X26" s="526"/>
      <c r="Y26" s="526"/>
      <c r="Z26" s="526"/>
      <c r="AA26" s="526"/>
      <c r="AB26" s="526"/>
      <c r="AC26" s="526"/>
      <c r="AD26" s="526"/>
      <c r="AE26" s="526"/>
      <c r="AF26" s="526"/>
      <c r="AG26" s="526"/>
      <c r="AH26" s="526"/>
      <c r="AI26" s="526"/>
      <c r="AJ26" s="526"/>
      <c r="AK26" s="526"/>
      <c r="AL26" s="526"/>
    </row>
    <row r="27" spans="1:38" ht="15" customHeight="1">
      <c r="A27" s="356"/>
      <c r="B27" s="356"/>
      <c r="C27" s="110"/>
      <c r="D27" s="2278"/>
      <c r="E27" s="2278"/>
      <c r="F27" s="2278"/>
      <c r="G27" s="2285" t="s">
        <v>90</v>
      </c>
      <c r="H27" s="2246" t="s">
        <v>80</v>
      </c>
      <c r="I27" s="2286" t="str">
        <f>IF(U27="","",INDEX(TERRITORY_MR_LIST,MATCH(U27,TERRITORY_LIST_ID,0)))</f>
        <v>Территория 7</v>
      </c>
      <c r="J27" s="2276" t="s">
        <v>52</v>
      </c>
      <c r="K27" s="731"/>
      <c r="L27" s="1541" t="s">
        <v>161</v>
      </c>
      <c r="M27" s="1881" t="s">
        <v>185</v>
      </c>
      <c r="N27" s="535"/>
      <c r="O27" s="535" t="s">
        <v>186</v>
      </c>
      <c r="P27" s="535" t="str">
        <f>$E$13</f>
        <v>Производство тепловой энергии. Некомбинированная выработка; Передача. Тепловая энергия; Сбыт. Тепловая энергия</v>
      </c>
      <c r="Q27" s="535" t="str">
        <f>IF($F$27="нет","без дифференциации",$I$27)</f>
        <v>Территория 7</v>
      </c>
      <c r="R27" s="535" t="str">
        <f>IF($J$27="нет","без дифференциации",$M$27)</f>
        <v>Сафоновский филиал</v>
      </c>
      <c r="S27" s="535"/>
      <c r="T27" s="535"/>
      <c r="U27" s="536" t="s">
        <v>118</v>
      </c>
      <c r="V27" s="535"/>
      <c r="W27" s="535"/>
      <c r="X27" s="526"/>
      <c r="Y27" s="526" t="s">
        <v>169</v>
      </c>
      <c r="Z27" s="526">
        <v>1705000</v>
      </c>
      <c r="AA27" s="526"/>
      <c r="AB27" s="526"/>
      <c r="AC27" s="526"/>
      <c r="AD27" s="526"/>
      <c r="AE27" s="526"/>
      <c r="AF27" s="526"/>
      <c r="AG27" s="526"/>
      <c r="AH27" s="526"/>
      <c r="AI27" s="526"/>
      <c r="AJ27" s="526"/>
      <c r="AK27" s="526"/>
      <c r="AL27" s="526"/>
    </row>
    <row r="28" spans="1:38" ht="15" customHeight="1">
      <c r="A28" s="356"/>
      <c r="B28" s="356"/>
      <c r="C28" s="110"/>
      <c r="D28" s="2278"/>
      <c r="E28" s="2278"/>
      <c r="F28" s="2278"/>
      <c r="G28" s="2285"/>
      <c r="H28" s="2246"/>
      <c r="I28" s="2286"/>
      <c r="J28" s="2276"/>
      <c r="K28" s="354"/>
      <c r="L28" s="111"/>
      <c r="M28" s="538" t="s">
        <v>170</v>
      </c>
      <c r="N28" s="535"/>
      <c r="O28" s="535"/>
      <c r="P28" s="535"/>
      <c r="Q28" s="535"/>
      <c r="R28" s="535"/>
      <c r="S28" s="535"/>
      <c r="T28" s="535"/>
      <c r="U28" s="536"/>
      <c r="V28" s="535"/>
      <c r="W28" s="535"/>
      <c r="X28" s="526"/>
      <c r="Y28" s="526"/>
      <c r="Z28" s="526"/>
      <c r="AA28" s="526"/>
      <c r="AB28" s="526"/>
      <c r="AC28" s="526"/>
      <c r="AD28" s="526"/>
      <c r="AE28" s="526"/>
      <c r="AF28" s="526"/>
      <c r="AG28" s="526"/>
      <c r="AH28" s="526"/>
      <c r="AI28" s="526"/>
      <c r="AJ28" s="526"/>
      <c r="AK28" s="526"/>
      <c r="AL28" s="526"/>
    </row>
    <row r="29" spans="1:38" ht="15" customHeight="1">
      <c r="A29" s="356"/>
      <c r="B29" s="356"/>
      <c r="C29" s="110"/>
      <c r="D29" s="2278"/>
      <c r="E29" s="2278"/>
      <c r="F29" s="2278"/>
      <c r="G29" s="2285" t="s">
        <v>90</v>
      </c>
      <c r="H29" s="2246" t="s">
        <v>131</v>
      </c>
      <c r="I29" s="2286" t="str">
        <f>IF(U29="","",INDEX(TERRITORY_MR_LIST,MATCH(U29,TERRITORY_LIST_ID,0)))</f>
        <v>Территория 8</v>
      </c>
      <c r="J29" s="2276" t="s">
        <v>52</v>
      </c>
      <c r="K29" s="731"/>
      <c r="L29" s="1541" t="s">
        <v>161</v>
      </c>
      <c r="M29" s="1881" t="s">
        <v>187</v>
      </c>
      <c r="N29" s="535"/>
      <c r="O29" s="535" t="s">
        <v>188</v>
      </c>
      <c r="P29" s="535" t="str">
        <f>$E$13</f>
        <v>Производство тепловой энергии. Некомбинированная выработка; Передача. Тепловая энергия; Сбыт. Тепловая энергия</v>
      </c>
      <c r="Q29" s="535" t="str">
        <f>IF($F$29="нет","без дифференциации",$I$29)</f>
        <v>Территория 8</v>
      </c>
      <c r="R29" s="535" t="str">
        <f>IF($J$29="нет","без дифференциации",$M$29)</f>
        <v>котельная г. Сафоново, ул. Советская</v>
      </c>
      <c r="S29" s="535"/>
      <c r="T29" s="535"/>
      <c r="U29" s="536" t="s">
        <v>132</v>
      </c>
      <c r="V29" s="535"/>
      <c r="W29" s="535"/>
      <c r="X29" s="526"/>
      <c r="Y29" s="526" t="s">
        <v>169</v>
      </c>
      <c r="Z29" s="526">
        <v>1705000</v>
      </c>
      <c r="AA29" s="526"/>
      <c r="AB29" s="526"/>
      <c r="AC29" s="526"/>
      <c r="AD29" s="526"/>
      <c r="AE29" s="526"/>
      <c r="AF29" s="526"/>
      <c r="AG29" s="526"/>
      <c r="AH29" s="526"/>
      <c r="AI29" s="526"/>
      <c r="AJ29" s="526"/>
      <c r="AK29" s="526"/>
      <c r="AL29" s="526"/>
    </row>
    <row r="30" spans="1:38" ht="15" customHeight="1">
      <c r="A30" s="356"/>
      <c r="B30" s="356"/>
      <c r="C30" s="110"/>
      <c r="D30" s="2278"/>
      <c r="E30" s="2278"/>
      <c r="F30" s="2278"/>
      <c r="G30" s="2278"/>
      <c r="H30" s="2278"/>
      <c r="I30" s="2278"/>
      <c r="J30" s="2278"/>
      <c r="K30" s="1558" t="s">
        <v>90</v>
      </c>
      <c r="L30" s="1488" t="s">
        <v>89</v>
      </c>
      <c r="M30" s="710" t="s">
        <v>189</v>
      </c>
      <c r="N30" s="711"/>
      <c r="O30" s="535" t="s">
        <v>190</v>
      </c>
      <c r="P30" s="535" t="str">
        <f>$E$13</f>
        <v>Производство тепловой энергии. Некомбинированная выработка; Передача. Тепловая энергия; Сбыт. Тепловая энергия</v>
      </c>
      <c r="Q30" s="535" t="str">
        <f>IF($F$29="нет","без дифференциации",$I$29)</f>
        <v>Территория 8</v>
      </c>
      <c r="R30" s="535" t="str">
        <f>IF($J$30="нет","без дифференциации",$M$30)</f>
        <v>котельная г. Сафоново, ул. Первомайская</v>
      </c>
      <c r="S30" s="535"/>
      <c r="T30" s="535"/>
      <c r="U30" s="536"/>
      <c r="V30" s="535"/>
      <c r="W30" s="535"/>
      <c r="X30" s="526"/>
      <c r="Y30" s="526" t="s">
        <v>169</v>
      </c>
      <c r="Z30" s="526">
        <v>1705000</v>
      </c>
      <c r="AA30" s="526"/>
      <c r="AB30" s="526"/>
      <c r="AC30" s="526"/>
      <c r="AD30" s="526"/>
      <c r="AE30" s="526"/>
      <c r="AF30" s="526"/>
      <c r="AG30" s="526"/>
      <c r="AH30" s="526"/>
      <c r="AI30" s="526"/>
      <c r="AJ30" s="526"/>
      <c r="AK30" s="526"/>
      <c r="AL30" s="526"/>
    </row>
    <row r="31" spans="1:38" ht="15" customHeight="1">
      <c r="A31" s="356"/>
      <c r="B31" s="356"/>
      <c r="C31" s="110"/>
      <c r="D31" s="2278"/>
      <c r="E31" s="2278"/>
      <c r="F31" s="2278"/>
      <c r="G31" s="2278"/>
      <c r="H31" s="2278"/>
      <c r="I31" s="2278"/>
      <c r="J31" s="2278"/>
      <c r="K31" s="1558" t="s">
        <v>90</v>
      </c>
      <c r="L31" s="1488" t="s">
        <v>77</v>
      </c>
      <c r="M31" s="710" t="s">
        <v>191</v>
      </c>
      <c r="N31" s="711"/>
      <c r="O31" s="535" t="s">
        <v>192</v>
      </c>
      <c r="P31" s="535" t="str">
        <f>$E$13</f>
        <v>Производство тепловой энергии. Некомбинированная выработка; Передача. Тепловая энергия; Сбыт. Тепловая энергия</v>
      </c>
      <c r="Q31" s="535" t="str">
        <f>IF($F$29="нет","без дифференциации",$I$29)</f>
        <v>Территория 8</v>
      </c>
      <c r="R31" s="535" t="str">
        <f>IF($J$31="нет","без дифференциации",$M$31)</f>
        <v>котельная с. Издешково</v>
      </c>
      <c r="S31" s="535"/>
      <c r="T31" s="535"/>
      <c r="U31" s="536"/>
      <c r="V31" s="535"/>
      <c r="W31" s="535"/>
      <c r="X31" s="526"/>
      <c r="Y31" s="526" t="s">
        <v>169</v>
      </c>
      <c r="Z31" s="526">
        <v>1705000</v>
      </c>
      <c r="AA31" s="526"/>
      <c r="AB31" s="526"/>
      <c r="AC31" s="526"/>
      <c r="AD31" s="526"/>
      <c r="AE31" s="526"/>
      <c r="AF31" s="526"/>
      <c r="AG31" s="526"/>
      <c r="AH31" s="526"/>
      <c r="AI31" s="526"/>
      <c r="AJ31" s="526"/>
      <c r="AK31" s="526"/>
      <c r="AL31" s="526"/>
    </row>
    <row r="32" spans="1:38" ht="15" customHeight="1">
      <c r="A32" s="356"/>
      <c r="B32" s="356"/>
      <c r="C32" s="110"/>
      <c r="D32" s="2278"/>
      <c r="E32" s="2278"/>
      <c r="F32" s="2278"/>
      <c r="G32" s="2285"/>
      <c r="H32" s="2246"/>
      <c r="I32" s="2286"/>
      <c r="J32" s="2276"/>
      <c r="K32" s="354"/>
      <c r="L32" s="111"/>
      <c r="M32" s="538" t="s">
        <v>170</v>
      </c>
      <c r="N32" s="535"/>
      <c r="O32" s="535"/>
      <c r="P32" s="535"/>
      <c r="Q32" s="535"/>
      <c r="R32" s="535"/>
      <c r="S32" s="535"/>
      <c r="T32" s="535"/>
      <c r="U32" s="536"/>
      <c r="V32" s="535"/>
      <c r="W32" s="535"/>
      <c r="X32" s="526"/>
      <c r="Y32" s="526"/>
      <c r="Z32" s="526"/>
      <c r="AA32" s="526"/>
      <c r="AB32" s="526"/>
      <c r="AC32" s="526"/>
      <c r="AD32" s="526"/>
      <c r="AE32" s="526"/>
      <c r="AF32" s="526"/>
      <c r="AG32" s="526"/>
      <c r="AH32" s="526"/>
      <c r="AI32" s="526"/>
      <c r="AJ32" s="526"/>
      <c r="AK32" s="526"/>
      <c r="AL32" s="526"/>
    </row>
    <row r="33" spans="1:39" ht="15" customHeight="1">
      <c r="A33" s="356"/>
      <c r="B33" s="356"/>
      <c r="C33" s="110"/>
      <c r="D33" s="2278"/>
      <c r="E33" s="2278"/>
      <c r="F33" s="2278"/>
      <c r="G33" s="2285" t="s">
        <v>90</v>
      </c>
      <c r="H33" s="2246" t="s">
        <v>133</v>
      </c>
      <c r="I33" s="2286" t="str">
        <f>IF(U33="","",INDEX(TERRITORY_MR_LIST,MATCH(U33,TERRITORY_LIST_ID,0)))</f>
        <v>Территория 9</v>
      </c>
      <c r="J33" s="2276" t="s">
        <v>52</v>
      </c>
      <c r="K33" s="731"/>
      <c r="L33" s="1541" t="s">
        <v>161</v>
      </c>
      <c r="M33" s="1881" t="s">
        <v>193</v>
      </c>
      <c r="N33" s="535"/>
      <c r="O33" s="535" t="s">
        <v>194</v>
      </c>
      <c r="P33" s="535" t="str">
        <f>$E$13</f>
        <v>Производство тепловой энергии. Некомбинированная выработка; Передача. Тепловая энергия; Сбыт. Тепловая энергия</v>
      </c>
      <c r="Q33" s="535" t="str">
        <f>IF($F$33="нет","без дифференциации",$I$33)</f>
        <v>Территория 9</v>
      </c>
      <c r="R33" s="535" t="str">
        <f>IF($J$33="нет","без дифференциации",$M$33)</f>
        <v>котельная БМК Михайловское</v>
      </c>
      <c r="S33" s="535"/>
      <c r="T33" s="535"/>
      <c r="U33" s="536" t="s">
        <v>134</v>
      </c>
      <c r="V33" s="535"/>
      <c r="W33" s="535"/>
      <c r="X33" s="526"/>
      <c r="Y33" s="526" t="s">
        <v>169</v>
      </c>
      <c r="Z33" s="526">
        <v>1705000</v>
      </c>
      <c r="AA33" s="526"/>
      <c r="AB33" s="526"/>
      <c r="AC33" s="526"/>
      <c r="AD33" s="526"/>
      <c r="AE33" s="526"/>
      <c r="AF33" s="526"/>
      <c r="AG33" s="526"/>
      <c r="AH33" s="526"/>
      <c r="AI33" s="526"/>
      <c r="AJ33" s="526"/>
      <c r="AK33" s="526"/>
      <c r="AL33" s="526"/>
    </row>
    <row r="34" spans="1:39" ht="15" customHeight="1">
      <c r="A34" s="356"/>
      <c r="B34" s="356"/>
      <c r="C34" s="110"/>
      <c r="D34" s="2278"/>
      <c r="E34" s="2278"/>
      <c r="F34" s="2278"/>
      <c r="G34" s="2285"/>
      <c r="H34" s="2246"/>
      <c r="I34" s="2286"/>
      <c r="J34" s="2276"/>
      <c r="K34" s="354"/>
      <c r="L34" s="111"/>
      <c r="M34" s="538" t="s">
        <v>170</v>
      </c>
      <c r="N34" s="535"/>
      <c r="O34" s="535"/>
      <c r="P34" s="535"/>
      <c r="Q34" s="535"/>
      <c r="R34" s="535"/>
      <c r="S34" s="535"/>
      <c r="T34" s="535"/>
      <c r="U34" s="536"/>
      <c r="V34" s="535"/>
      <c r="W34" s="535"/>
      <c r="X34" s="526"/>
      <c r="Y34" s="526"/>
      <c r="Z34" s="526"/>
      <c r="AA34" s="526"/>
      <c r="AB34" s="526"/>
      <c r="AC34" s="526"/>
      <c r="AD34" s="526"/>
      <c r="AE34" s="526"/>
      <c r="AF34" s="526"/>
      <c r="AG34" s="526"/>
      <c r="AH34" s="526"/>
      <c r="AI34" s="526"/>
      <c r="AJ34" s="526"/>
      <c r="AK34" s="526"/>
      <c r="AL34" s="526"/>
    </row>
    <row r="35" spans="1:39" ht="15" customHeight="1">
      <c r="A35" s="356"/>
      <c r="B35" s="356"/>
      <c r="C35" s="110"/>
      <c r="D35" s="2278"/>
      <c r="E35" s="2278"/>
      <c r="F35" s="2278"/>
      <c r="G35" s="2285" t="s">
        <v>90</v>
      </c>
      <c r="H35" s="2246" t="s">
        <v>138</v>
      </c>
      <c r="I35" s="2286" t="str">
        <f>IF(U35="","",INDEX(TERRITORY_MR_LIST,MATCH(U35,TERRITORY_LIST_ID,0)))</f>
        <v>Территория 10</v>
      </c>
      <c r="J35" s="2276" t="s">
        <v>52</v>
      </c>
      <c r="K35" s="731"/>
      <c r="L35" s="1541" t="s">
        <v>161</v>
      </c>
      <c r="M35" s="1881" t="s">
        <v>195</v>
      </c>
      <c r="N35" s="535"/>
      <c r="O35" s="535" t="s">
        <v>196</v>
      </c>
      <c r="P35" s="535" t="str">
        <f>$E$13</f>
        <v>Производство тепловой энергии. Некомбинированная выработка; Передача. Тепловая энергия; Сбыт. Тепловая энергия</v>
      </c>
      <c r="Q35" s="535" t="str">
        <f>IF($F$35="нет","без дифференциации",$I$35)</f>
        <v>Территория 10</v>
      </c>
      <c r="R35" s="535" t="str">
        <f>IF($J$35="нет","без дифференциации",$M$35)</f>
        <v>котельные пгт. Холм-Жирковское, ул. Кирова,ул. Советская</v>
      </c>
      <c r="S35" s="535"/>
      <c r="T35" s="535"/>
      <c r="U35" s="536" t="s">
        <v>139</v>
      </c>
      <c r="V35" s="535"/>
      <c r="W35" s="535"/>
      <c r="X35" s="526"/>
      <c r="Y35" s="526" t="s">
        <v>169</v>
      </c>
      <c r="Z35" s="526">
        <v>1705000</v>
      </c>
      <c r="AA35" s="526"/>
      <c r="AB35" s="526"/>
      <c r="AC35" s="526"/>
      <c r="AD35" s="526"/>
      <c r="AE35" s="526"/>
      <c r="AF35" s="526"/>
      <c r="AG35" s="526"/>
      <c r="AH35" s="526"/>
      <c r="AI35" s="526"/>
      <c r="AJ35" s="526"/>
      <c r="AK35" s="526"/>
      <c r="AL35" s="526"/>
    </row>
    <row r="36" spans="1:39" ht="15" customHeight="1">
      <c r="A36" s="356"/>
      <c r="B36" s="356"/>
      <c r="C36" s="110"/>
      <c r="D36" s="2278"/>
      <c r="E36" s="2278"/>
      <c r="F36" s="2278"/>
      <c r="G36" s="2278"/>
      <c r="H36" s="2278"/>
      <c r="I36" s="2278"/>
      <c r="J36" s="2278"/>
      <c r="K36" s="1558" t="s">
        <v>90</v>
      </c>
      <c r="L36" s="1488" t="s">
        <v>89</v>
      </c>
      <c r="M36" s="710" t="s">
        <v>197</v>
      </c>
      <c r="N36" s="711"/>
      <c r="O36" s="535" t="s">
        <v>198</v>
      </c>
      <c r="P36" s="535" t="str">
        <f>$E$13</f>
        <v>Производство тепловой энергии. Некомбинированная выработка; Передача. Тепловая энергия; Сбыт. Тепловая энергия</v>
      </c>
      <c r="Q36" s="535" t="str">
        <f>IF($F$35="нет","без дифференциации",$I$35)</f>
        <v>Территория 10</v>
      </c>
      <c r="R36" s="535" t="str">
        <f>IF($J$36="нет","без дифференциации",$M$36)</f>
        <v>котельная ст. Игоревская</v>
      </c>
      <c r="S36" s="535"/>
      <c r="T36" s="535"/>
      <c r="U36" s="536"/>
      <c r="V36" s="535"/>
      <c r="W36" s="535"/>
      <c r="X36" s="526"/>
      <c r="Y36" s="526" t="s">
        <v>169</v>
      </c>
      <c r="Z36" s="526">
        <v>1705000</v>
      </c>
      <c r="AA36" s="526"/>
      <c r="AB36" s="526"/>
      <c r="AC36" s="526"/>
      <c r="AD36" s="526"/>
      <c r="AE36" s="526"/>
      <c r="AF36" s="526"/>
      <c r="AG36" s="526"/>
      <c r="AH36" s="526"/>
      <c r="AI36" s="526"/>
      <c r="AJ36" s="526"/>
      <c r="AK36" s="526"/>
      <c r="AL36" s="526"/>
    </row>
    <row r="37" spans="1:39" ht="15" customHeight="1">
      <c r="A37" s="356"/>
      <c r="B37" s="356"/>
      <c r="C37" s="110"/>
      <c r="D37" s="2278"/>
      <c r="E37" s="2278"/>
      <c r="F37" s="2278"/>
      <c r="G37" s="2285"/>
      <c r="H37" s="2246"/>
      <c r="I37" s="2286"/>
      <c r="J37" s="2276"/>
      <c r="K37" s="354"/>
      <c r="L37" s="111"/>
      <c r="M37" s="538" t="s">
        <v>170</v>
      </c>
      <c r="N37" s="535"/>
      <c r="O37" s="535"/>
      <c r="P37" s="535"/>
      <c r="Q37" s="535"/>
      <c r="R37" s="535"/>
      <c r="S37" s="535"/>
      <c r="T37" s="535"/>
      <c r="U37" s="536"/>
      <c r="V37" s="535"/>
      <c r="W37" s="535"/>
      <c r="X37" s="526"/>
      <c r="Y37" s="526"/>
      <c r="Z37" s="526"/>
      <c r="AA37" s="526"/>
      <c r="AB37" s="526"/>
      <c r="AC37" s="526"/>
      <c r="AD37" s="526"/>
      <c r="AE37" s="526"/>
      <c r="AF37" s="526"/>
      <c r="AG37" s="526"/>
      <c r="AH37" s="526"/>
      <c r="AI37" s="526"/>
      <c r="AJ37" s="526"/>
      <c r="AK37" s="526"/>
      <c r="AL37" s="526"/>
    </row>
    <row r="38" spans="1:39" ht="15" customHeight="1">
      <c r="A38" s="356"/>
      <c r="B38" s="356"/>
      <c r="C38" s="110"/>
      <c r="D38" s="2278"/>
      <c r="E38" s="2278"/>
      <c r="F38" s="2278"/>
      <c r="G38" s="2285" t="s">
        <v>90</v>
      </c>
      <c r="H38" s="2246" t="s">
        <v>140</v>
      </c>
      <c r="I38" s="2286" t="str">
        <f>IF(U38="","",INDEX(TERRITORY_MR_LIST,MATCH(U38,TERRITORY_LIST_ID,0)))</f>
        <v>Территория 11</v>
      </c>
      <c r="J38" s="2276" t="s">
        <v>52</v>
      </c>
      <c r="K38" s="731"/>
      <c r="L38" s="1541" t="s">
        <v>161</v>
      </c>
      <c r="M38" s="1881" t="s">
        <v>199</v>
      </c>
      <c r="N38" s="535"/>
      <c r="O38" s="535" t="s">
        <v>200</v>
      </c>
      <c r="P38" s="535" t="str">
        <f>$E$13</f>
        <v>Производство тепловой энергии. Некомбинированная выработка; Передача. Тепловая энергия; Сбыт. Тепловая энергия</v>
      </c>
      <c r="Q38" s="535" t="str">
        <f>IF($F$38="нет","без дифференциации",$I$38)</f>
        <v>Территория 11</v>
      </c>
      <c r="R38" s="535" t="str">
        <f>IF($J$38="нет","без дифференциации",$M$38)</f>
        <v>Ярцевский филиал</v>
      </c>
      <c r="S38" s="535"/>
      <c r="T38" s="535"/>
      <c r="U38" s="536" t="s">
        <v>141</v>
      </c>
      <c r="V38" s="535"/>
      <c r="W38" s="535"/>
      <c r="X38" s="526"/>
      <c r="Y38" s="526" t="s">
        <v>169</v>
      </c>
      <c r="Z38" s="526">
        <v>1705000</v>
      </c>
      <c r="AA38" s="526"/>
      <c r="AB38" s="526"/>
      <c r="AC38" s="526"/>
      <c r="AD38" s="526"/>
      <c r="AE38" s="526"/>
      <c r="AF38" s="526"/>
      <c r="AG38" s="526"/>
      <c r="AH38" s="526"/>
      <c r="AI38" s="526"/>
      <c r="AJ38" s="526"/>
      <c r="AK38" s="526"/>
      <c r="AL38" s="526"/>
    </row>
    <row r="39" spans="1:39" ht="15" customHeight="1">
      <c r="A39" s="356"/>
      <c r="B39" s="356"/>
      <c r="C39" s="110"/>
      <c r="D39" s="2278"/>
      <c r="E39" s="2278"/>
      <c r="F39" s="2278"/>
      <c r="G39" s="2285"/>
      <c r="H39" s="2246"/>
      <c r="I39" s="2286"/>
      <c r="J39" s="2276"/>
      <c r="K39" s="354"/>
      <c r="L39" s="111"/>
      <c r="M39" s="538" t="s">
        <v>170</v>
      </c>
      <c r="N39" s="535"/>
      <c r="O39" s="535"/>
      <c r="P39" s="535"/>
      <c r="Q39" s="535"/>
      <c r="R39" s="535"/>
      <c r="S39" s="535"/>
      <c r="T39" s="535"/>
      <c r="U39" s="536"/>
      <c r="V39" s="535"/>
      <c r="W39" s="535"/>
      <c r="X39" s="526"/>
      <c r="Y39" s="526"/>
      <c r="Z39" s="526"/>
      <c r="AA39" s="526"/>
      <c r="AB39" s="526"/>
      <c r="AC39" s="526"/>
      <c r="AD39" s="526"/>
      <c r="AE39" s="526"/>
      <c r="AF39" s="526"/>
      <c r="AG39" s="526"/>
      <c r="AH39" s="526"/>
      <c r="AI39" s="526"/>
      <c r="AJ39" s="526"/>
      <c r="AK39" s="526"/>
      <c r="AL39" s="526"/>
    </row>
    <row r="40" spans="1:39" ht="15" customHeight="1">
      <c r="A40" s="356"/>
      <c r="B40" s="356"/>
      <c r="C40" s="110"/>
      <c r="D40" s="2278"/>
      <c r="E40" s="2278"/>
      <c r="F40" s="2278"/>
      <c r="G40" s="2285" t="s">
        <v>90</v>
      </c>
      <c r="H40" s="2246" t="s">
        <v>145</v>
      </c>
      <c r="I40" s="2286" t="str">
        <f>IF(U40="","",INDEX(TERRITORY_MR_LIST,MATCH(U40,TERRITORY_LIST_ID,0)))</f>
        <v>Территория 12</v>
      </c>
      <c r="J40" s="2276" t="s">
        <v>52</v>
      </c>
      <c r="K40" s="731"/>
      <c r="L40" s="1541" t="s">
        <v>161</v>
      </c>
      <c r="M40" s="1881" t="s">
        <v>201</v>
      </c>
      <c r="N40" s="535"/>
      <c r="O40" s="535" t="s">
        <v>202</v>
      </c>
      <c r="P40" s="535" t="str">
        <f>$E$13</f>
        <v>Производство тепловой энергии. Некомбинированная выработка; Передача. Тепловая энергия; Сбыт. Тепловая энергия</v>
      </c>
      <c r="Q40" s="535" t="str">
        <f>IF($F$40="нет","без дифференциации",$I$40)</f>
        <v>Территория 12</v>
      </c>
      <c r="R40" s="535" t="str">
        <f>IF($J$40="нет","без дифференциации",$M$40)</f>
        <v>п. Красный</v>
      </c>
      <c r="S40" s="535"/>
      <c r="T40" s="535"/>
      <c r="U40" s="536" t="s">
        <v>146</v>
      </c>
      <c r="V40" s="535"/>
      <c r="W40" s="535"/>
      <c r="X40" s="526"/>
      <c r="Y40" s="526" t="s">
        <v>169</v>
      </c>
      <c r="Z40" s="526">
        <v>1705000</v>
      </c>
      <c r="AA40" s="526"/>
      <c r="AB40" s="526"/>
      <c r="AC40" s="526"/>
      <c r="AD40" s="526"/>
      <c r="AE40" s="526"/>
      <c r="AF40" s="526"/>
      <c r="AG40" s="526"/>
      <c r="AH40" s="526"/>
      <c r="AI40" s="526"/>
      <c r="AJ40" s="526"/>
      <c r="AK40" s="526"/>
      <c r="AL40" s="526"/>
    </row>
    <row r="41" spans="1:39" ht="15" customHeight="1">
      <c r="A41" s="356"/>
      <c r="B41" s="356"/>
      <c r="C41" s="110"/>
      <c r="D41" s="2278"/>
      <c r="E41" s="2278"/>
      <c r="F41" s="2278"/>
      <c r="G41" s="2285"/>
      <c r="H41" s="2246"/>
      <c r="I41" s="2286"/>
      <c r="J41" s="2276"/>
      <c r="K41" s="354"/>
      <c r="L41" s="111"/>
      <c r="M41" s="538" t="s">
        <v>170</v>
      </c>
      <c r="N41" s="535"/>
      <c r="O41" s="535"/>
      <c r="P41" s="535"/>
      <c r="Q41" s="535"/>
      <c r="R41" s="535"/>
      <c r="S41" s="535"/>
      <c r="T41" s="535"/>
      <c r="U41" s="536"/>
      <c r="V41" s="535"/>
      <c r="W41" s="535"/>
      <c r="X41" s="526"/>
      <c r="Y41" s="526"/>
      <c r="Z41" s="526"/>
      <c r="AA41" s="526"/>
      <c r="AB41" s="526"/>
      <c r="AC41" s="526"/>
      <c r="AD41" s="526"/>
      <c r="AE41" s="526"/>
      <c r="AF41" s="526"/>
      <c r="AG41" s="526"/>
      <c r="AH41" s="526"/>
      <c r="AI41" s="526"/>
      <c r="AJ41" s="526"/>
      <c r="AK41" s="526"/>
      <c r="AL41" s="526"/>
    </row>
    <row r="42" spans="1:39" ht="15" customHeight="1">
      <c r="A42" s="356"/>
      <c r="B42" s="356"/>
      <c r="C42" s="110"/>
      <c r="D42" s="2278"/>
      <c r="E42" s="2278"/>
      <c r="F42" s="2278"/>
      <c r="G42" s="2285" t="s">
        <v>90</v>
      </c>
      <c r="H42" s="2246" t="s">
        <v>150</v>
      </c>
      <c r="I42" s="2286" t="str">
        <f>IF(U42="","",INDEX(TERRITORY_MR_LIST,MATCH(U42,TERRITORY_LIST_ID,0)))</f>
        <v>Территория 13</v>
      </c>
      <c r="J42" s="2276" t="s">
        <v>52</v>
      </c>
      <c r="K42" s="731"/>
      <c r="L42" s="1541" t="s">
        <v>161</v>
      </c>
      <c r="M42" s="1881" t="s">
        <v>203</v>
      </c>
      <c r="N42" s="535"/>
      <c r="O42" s="535" t="s">
        <v>204</v>
      </c>
      <c r="P42" s="535" t="str">
        <f>$E$13</f>
        <v>Производство тепловой энергии. Некомбинированная выработка; Передача. Тепловая энергия; Сбыт. Тепловая энергия</v>
      </c>
      <c r="Q42" s="535" t="str">
        <f>IF($F$42="нет","без дифференциации",$I$42)</f>
        <v>Территория 13</v>
      </c>
      <c r="R42" s="535" t="str">
        <f>IF($J$42="нет","без дифференциации",$M$42)</f>
        <v>котельная д. Богородицкое</v>
      </c>
      <c r="S42" s="535"/>
      <c r="T42" s="535"/>
      <c r="U42" s="536" t="s">
        <v>151</v>
      </c>
      <c r="V42" s="535"/>
      <c r="W42" s="535"/>
      <c r="X42" s="526"/>
      <c r="Y42" s="526" t="s">
        <v>169</v>
      </c>
      <c r="Z42" s="526">
        <v>1705000</v>
      </c>
      <c r="AA42" s="526"/>
      <c r="AB42" s="526"/>
      <c r="AC42" s="526"/>
      <c r="AD42" s="526"/>
      <c r="AE42" s="526"/>
      <c r="AF42" s="526"/>
      <c r="AG42" s="526"/>
      <c r="AH42" s="526"/>
      <c r="AI42" s="526"/>
      <c r="AJ42" s="526"/>
      <c r="AK42" s="526"/>
      <c r="AL42" s="526"/>
    </row>
    <row r="43" spans="1:39" ht="15" customHeight="1">
      <c r="A43" s="356"/>
      <c r="B43" s="356"/>
      <c r="C43" s="110"/>
      <c r="D43" s="2278"/>
      <c r="E43" s="2278"/>
      <c r="F43" s="2278"/>
      <c r="G43" s="2278"/>
      <c r="H43" s="2278"/>
      <c r="I43" s="2278"/>
      <c r="J43" s="2278"/>
      <c r="K43" s="1558" t="s">
        <v>90</v>
      </c>
      <c r="L43" s="1488" t="s">
        <v>89</v>
      </c>
      <c r="M43" s="710" t="s">
        <v>205</v>
      </c>
      <c r="N43" s="711"/>
      <c r="O43" s="535" t="s">
        <v>206</v>
      </c>
      <c r="P43" s="535" t="str">
        <f>$E$13</f>
        <v>Производство тепловой энергии. Некомбинированная выработка; Передача. Тепловая энергия; Сбыт. Тепловая энергия</v>
      </c>
      <c r="Q43" s="535" t="str">
        <f>IF($F$42="нет","без дифференциации",$I$42)</f>
        <v>Территория 13</v>
      </c>
      <c r="R43" s="535" t="str">
        <f>IF($J$43="нет","без дифференциации",$M$43)</f>
        <v>котельная д. Сметанино</v>
      </c>
      <c r="S43" s="535"/>
      <c r="T43" s="535"/>
      <c r="U43" s="536"/>
      <c r="V43" s="535"/>
      <c r="W43" s="535"/>
      <c r="X43" s="526"/>
      <c r="Y43" s="526" t="s">
        <v>169</v>
      </c>
      <c r="Z43" s="526">
        <v>1705000</v>
      </c>
      <c r="AA43" s="526"/>
      <c r="AB43" s="526"/>
      <c r="AC43" s="526"/>
      <c r="AD43" s="526"/>
      <c r="AE43" s="526"/>
      <c r="AF43" s="526"/>
      <c r="AG43" s="526"/>
      <c r="AH43" s="526"/>
      <c r="AI43" s="526"/>
      <c r="AJ43" s="526"/>
      <c r="AK43" s="526"/>
      <c r="AL43" s="526"/>
    </row>
    <row r="44" spans="1:39" ht="15" customHeight="1">
      <c r="A44" s="356"/>
      <c r="B44" s="356"/>
      <c r="C44" s="110"/>
      <c r="D44" s="2278"/>
      <c r="E44" s="2278"/>
      <c r="F44" s="2278"/>
      <c r="G44" s="2278"/>
      <c r="H44" s="2278"/>
      <c r="I44" s="2278"/>
      <c r="J44" s="2278"/>
      <c r="K44" s="1558" t="s">
        <v>90</v>
      </c>
      <c r="L44" s="1488" t="s">
        <v>77</v>
      </c>
      <c r="M44" s="710" t="s">
        <v>207</v>
      </c>
      <c r="N44" s="711"/>
      <c r="O44" s="535" t="s">
        <v>208</v>
      </c>
      <c r="P44" s="535" t="str">
        <f>$E$13</f>
        <v>Производство тепловой энергии. Некомбинированная выработка; Передача. Тепловая энергия; Сбыт. Тепловая энергия</v>
      </c>
      <c r="Q44" s="535" t="str">
        <f>IF($F$42="нет","без дифференциации",$I$42)</f>
        <v>Территория 13</v>
      </c>
      <c r="R44" s="535" t="str">
        <f>IF($J$44="нет","без дифференциации",$M$44)</f>
        <v>котельная с. Талашкино</v>
      </c>
      <c r="S44" s="535"/>
      <c r="T44" s="535"/>
      <c r="U44" s="536"/>
      <c r="V44" s="535"/>
      <c r="W44" s="535"/>
      <c r="X44" s="526"/>
      <c r="Y44" s="526" t="s">
        <v>169</v>
      </c>
      <c r="Z44" s="526">
        <v>1705000</v>
      </c>
      <c r="AA44" s="526"/>
      <c r="AB44" s="526"/>
      <c r="AC44" s="526"/>
      <c r="AD44" s="526"/>
      <c r="AE44" s="526"/>
      <c r="AF44" s="526"/>
      <c r="AG44" s="526"/>
      <c r="AH44" s="526"/>
      <c r="AI44" s="526"/>
      <c r="AJ44" s="526"/>
      <c r="AK44" s="526"/>
      <c r="AL44" s="526"/>
    </row>
    <row r="45" spans="1:39" ht="15" customHeight="1">
      <c r="A45" s="356"/>
      <c r="B45" s="356"/>
      <c r="C45" s="110"/>
      <c r="D45" s="2278"/>
      <c r="E45" s="2278"/>
      <c r="F45" s="2278"/>
      <c r="G45" s="2278"/>
      <c r="H45" s="2278"/>
      <c r="I45" s="2278"/>
      <c r="J45" s="2278"/>
      <c r="K45" s="1558" t="s">
        <v>90</v>
      </c>
      <c r="L45" s="1488" t="s">
        <v>78</v>
      </c>
      <c r="M45" s="710" t="s">
        <v>209</v>
      </c>
      <c r="N45" s="711"/>
      <c r="O45" s="535" t="s">
        <v>210</v>
      </c>
      <c r="P45" s="535" t="str">
        <f>$E$13</f>
        <v>Производство тепловой энергии. Некомбинированная выработка; Передача. Тепловая энергия; Сбыт. Тепловая энергия</v>
      </c>
      <c r="Q45" s="535" t="str">
        <f>IF($F$42="нет","без дифференциации",$I$42)</f>
        <v>Территория 13</v>
      </c>
      <c r="R45" s="535" t="str">
        <f>IF($J$45="нет","без дифференциации",$M$45)</f>
        <v>котельная д. Митино</v>
      </c>
      <c r="S45" s="535"/>
      <c r="T45" s="535"/>
      <c r="U45" s="536"/>
      <c r="V45" s="535"/>
      <c r="W45" s="535"/>
      <c r="X45" s="526"/>
      <c r="Y45" s="526" t="s">
        <v>169</v>
      </c>
      <c r="Z45" s="526">
        <v>1705000</v>
      </c>
      <c r="AA45" s="526"/>
      <c r="AB45" s="526"/>
      <c r="AC45" s="526"/>
      <c r="AD45" s="526"/>
      <c r="AE45" s="526"/>
      <c r="AF45" s="526"/>
      <c r="AG45" s="526"/>
      <c r="AH45" s="526"/>
      <c r="AI45" s="526"/>
      <c r="AJ45" s="526"/>
      <c r="AK45" s="526"/>
      <c r="AL45" s="526"/>
    </row>
    <row r="46" spans="1:39" ht="15" customHeight="1">
      <c r="A46" s="356"/>
      <c r="B46" s="356"/>
      <c r="C46" s="110"/>
      <c r="D46" s="2278"/>
      <c r="E46" s="2278"/>
      <c r="F46" s="2278"/>
      <c r="G46" s="2285"/>
      <c r="H46" s="2246"/>
      <c r="I46" s="2286"/>
      <c r="J46" s="2276"/>
      <c r="K46" s="354"/>
      <c r="L46" s="111"/>
      <c r="M46" s="538" t="s">
        <v>170</v>
      </c>
      <c r="N46" s="535"/>
      <c r="O46" s="535"/>
      <c r="P46" s="535"/>
      <c r="Q46" s="535"/>
      <c r="R46" s="535"/>
      <c r="S46" s="535"/>
      <c r="T46" s="535"/>
      <c r="U46" s="536"/>
      <c r="V46" s="535"/>
      <c r="W46" s="535"/>
      <c r="X46" s="526"/>
      <c r="Y46" s="526"/>
      <c r="Z46" s="526"/>
      <c r="AA46" s="526"/>
      <c r="AB46" s="526"/>
      <c r="AC46" s="526"/>
      <c r="AD46" s="526"/>
      <c r="AE46" s="526"/>
      <c r="AF46" s="526"/>
      <c r="AG46" s="526"/>
      <c r="AH46" s="526"/>
      <c r="AI46" s="526"/>
      <c r="AJ46" s="526"/>
      <c r="AK46" s="526"/>
      <c r="AL46" s="526"/>
    </row>
    <row r="47" spans="1:39" s="1609" customFormat="1" ht="15.75" customHeight="1">
      <c r="A47" s="227"/>
      <c r="B47" s="227"/>
      <c r="C47" s="110"/>
      <c r="D47" s="2277"/>
      <c r="E47" s="2281"/>
      <c r="F47" s="2276"/>
      <c r="G47" s="895"/>
      <c r="H47" s="896"/>
      <c r="I47" s="511" t="s">
        <v>211</v>
      </c>
      <c r="J47" s="111"/>
      <c r="K47" s="111"/>
      <c r="L47" s="111"/>
      <c r="M47" s="539"/>
      <c r="N47" s="711"/>
      <c r="O47" s="1204"/>
      <c r="P47" s="1201"/>
      <c r="Q47" s="1201"/>
      <c r="R47" s="1201"/>
      <c r="S47" s="1204"/>
      <c r="T47" s="1204"/>
      <c r="U47" s="1054"/>
      <c r="V47" s="1054"/>
      <c r="W47" s="1054"/>
      <c r="X47" s="1054"/>
      <c r="Y47" s="535"/>
      <c r="Z47" s="535"/>
      <c r="AA47" s="535"/>
      <c r="AB47" s="535"/>
      <c r="AC47" s="535"/>
      <c r="AD47" s="535"/>
      <c r="AE47" s="535"/>
      <c r="AF47" s="535"/>
      <c r="AG47" s="535"/>
      <c r="AH47" s="535"/>
      <c r="AI47" s="535"/>
      <c r="AJ47" s="535"/>
      <c r="AK47" s="535"/>
      <c r="AL47" s="535"/>
      <c r="AM47" s="537">
        <v>15</v>
      </c>
    </row>
    <row r="48" spans="1:39" ht="15.75" customHeight="1">
      <c r="A48" s="540"/>
      <c r="B48" s="71"/>
      <c r="C48" s="705"/>
      <c r="D48" s="354"/>
      <c r="E48" s="503" t="s">
        <v>212</v>
      </c>
      <c r="F48" s="111"/>
      <c r="G48" s="111"/>
      <c r="H48" s="111"/>
      <c r="I48" s="111"/>
      <c r="J48" s="111"/>
      <c r="K48" s="111" t="s">
        <v>9</v>
      </c>
      <c r="L48" s="111"/>
      <c r="M48" s="539"/>
      <c r="N48" s="1415"/>
      <c r="AM48" s="514">
        <v>15</v>
      </c>
    </row>
    <row r="49" spans="1:39" ht="11.25" hidden="1" customHeight="1">
      <c r="A49" s="514" t="s">
        <v>69</v>
      </c>
      <c r="B49" s="514">
        <v>0</v>
      </c>
      <c r="C49" s="514">
        <v>3</v>
      </c>
      <c r="D49" s="514">
        <v>4</v>
      </c>
      <c r="E49" s="514">
        <v>44</v>
      </c>
      <c r="F49" s="514">
        <v>6</v>
      </c>
      <c r="G49" s="514">
        <v>4</v>
      </c>
      <c r="H49" s="514">
        <v>5</v>
      </c>
      <c r="I49" s="514">
        <v>52</v>
      </c>
      <c r="J49" s="514">
        <v>6</v>
      </c>
      <c r="K49" s="514">
        <v>3</v>
      </c>
      <c r="L49" s="514">
        <v>6</v>
      </c>
      <c r="M49" s="514">
        <v>56</v>
      </c>
      <c r="N49" s="515">
        <v>8</v>
      </c>
      <c r="O49" s="1201">
        <v>0</v>
      </c>
      <c r="P49" s="1201">
        <v>0</v>
      </c>
      <c r="Q49" s="1201">
        <v>0</v>
      </c>
      <c r="R49" s="1201">
        <v>0</v>
      </c>
      <c r="S49" s="1201">
        <v>0</v>
      </c>
      <c r="T49" s="1201">
        <v>0</v>
      </c>
      <c r="U49" s="1051">
        <v>0</v>
      </c>
      <c r="V49" s="1051">
        <v>0</v>
      </c>
      <c r="W49" s="1051">
        <v>0</v>
      </c>
      <c r="X49" s="1051">
        <v>0</v>
      </c>
      <c r="Y49" s="515">
        <v>0</v>
      </c>
      <c r="Z49" s="515">
        <v>0</v>
      </c>
      <c r="AA49" s="515">
        <v>0</v>
      </c>
      <c r="AB49" s="515">
        <v>0</v>
      </c>
      <c r="AC49" s="515">
        <v>0</v>
      </c>
      <c r="AD49" s="515">
        <v>0</v>
      </c>
      <c r="AE49" s="515">
        <v>0</v>
      </c>
      <c r="AF49" s="515">
        <v>0</v>
      </c>
      <c r="AG49" s="515">
        <v>0</v>
      </c>
      <c r="AH49" s="515">
        <v>0</v>
      </c>
      <c r="AI49" s="515">
        <v>0</v>
      </c>
      <c r="AJ49" s="515">
        <v>0</v>
      </c>
      <c r="AK49" s="515">
        <v>0</v>
      </c>
      <c r="AL49" s="515">
        <v>8</v>
      </c>
      <c r="AM49" s="514">
        <v>11</v>
      </c>
    </row>
  </sheetData>
  <sheetProtection formatColumns="0" formatRows="0" insertRows="0" deleteColumns="0" deleteRows="0" sort="0" autoFilter="0"/>
  <mergeCells count="67">
    <mergeCell ref="G40:G41"/>
    <mergeCell ref="H40:H41"/>
    <mergeCell ref="I40:I41"/>
    <mergeCell ref="J40:J41"/>
    <mergeCell ref="G42:G46"/>
    <mergeCell ref="H42:H46"/>
    <mergeCell ref="I42:I46"/>
    <mergeCell ref="J42:J46"/>
    <mergeCell ref="G35:G37"/>
    <mergeCell ref="H35:H37"/>
    <mergeCell ref="I35:I37"/>
    <mergeCell ref="J35:J37"/>
    <mergeCell ref="G38:G39"/>
    <mergeCell ref="H38:H39"/>
    <mergeCell ref="I38:I39"/>
    <mergeCell ref="J38:J39"/>
    <mergeCell ref="G29:G32"/>
    <mergeCell ref="H29:H32"/>
    <mergeCell ref="I29:I32"/>
    <mergeCell ref="J29:J32"/>
    <mergeCell ref="G33:G34"/>
    <mergeCell ref="H33:H34"/>
    <mergeCell ref="I33:I34"/>
    <mergeCell ref="J33:J34"/>
    <mergeCell ref="G23:G26"/>
    <mergeCell ref="H23:H26"/>
    <mergeCell ref="I23:I26"/>
    <mergeCell ref="J23:J26"/>
    <mergeCell ref="G27:G28"/>
    <mergeCell ref="H27:H28"/>
    <mergeCell ref="I27:I28"/>
    <mergeCell ref="J27:J28"/>
    <mergeCell ref="H19:H20"/>
    <mergeCell ref="I19:I20"/>
    <mergeCell ref="J19:J20"/>
    <mergeCell ref="G21:G22"/>
    <mergeCell ref="H21:H22"/>
    <mergeCell ref="I21:I22"/>
    <mergeCell ref="J21:J22"/>
    <mergeCell ref="I13:I14"/>
    <mergeCell ref="J13:J14"/>
    <mergeCell ref="D13:D47"/>
    <mergeCell ref="E13:E47"/>
    <mergeCell ref="F13:F47"/>
    <mergeCell ref="G13:G14"/>
    <mergeCell ref="H13:H14"/>
    <mergeCell ref="G15:G16"/>
    <mergeCell ref="H15:H16"/>
    <mergeCell ref="I15:I16"/>
    <mergeCell ref="J15:J16"/>
    <mergeCell ref="G17:G18"/>
    <mergeCell ref="H17:H18"/>
    <mergeCell ref="I17:I18"/>
    <mergeCell ref="J17:J18"/>
    <mergeCell ref="G19:G20"/>
    <mergeCell ref="G11:H11"/>
    <mergeCell ref="K11:L11"/>
    <mergeCell ref="D4:I4"/>
    <mergeCell ref="D5:I5"/>
    <mergeCell ref="A6:F6"/>
    <mergeCell ref="A9:A10"/>
    <mergeCell ref="D9:E9"/>
    <mergeCell ref="F9:I9"/>
    <mergeCell ref="E7:M7"/>
    <mergeCell ref="J9:M9"/>
    <mergeCell ref="G10:H10"/>
    <mergeCell ref="K10:L10"/>
  </mergeCells>
  <dataValidations count="29">
    <dataValidation type="textLength" operator="lessThanOrEqual" allowBlank="1" showInputMessage="1" showErrorMessage="1" errorTitle="Ошибка" error="Допускается ввод не более 900 символов!" sqref="M44">
      <formula1>900</formula1>
    </dataValidation>
    <dataValidation type="list" allowBlank="1" showInputMessage="1" showErrorMessage="1" sqref="I44">
      <formula1>DESCRIPTION_TERRITORY</formula1>
    </dataValidation>
    <dataValidation type="textLength" operator="lessThanOrEqual" allowBlank="1" showInputMessage="1" showErrorMessage="1" errorTitle="Ошибка" error="Допускается ввод не более 900 символов!" sqref="M43">
      <formula1>900</formula1>
    </dataValidation>
    <dataValidation type="list" allowBlank="1" showInputMessage="1" showErrorMessage="1" sqref="I43">
      <formula1>DESCRIPTION_TERRITORY</formula1>
    </dataValidation>
    <dataValidation type="textLength" operator="lessThan" allowBlank="1" showInputMessage="1" showErrorMessage="1" error="Допускается ввод не более 900 символов!" sqref="M42">
      <formula1>900</formula1>
    </dataValidation>
    <dataValidation type="textLength" operator="lessThan" allowBlank="1" showInputMessage="1" showErrorMessage="1" error="Допускается ввод не более 900 символов!" sqref="M40">
      <formula1>900</formula1>
    </dataValidation>
    <dataValidation type="textLength" operator="lessThan" allowBlank="1" showInputMessage="1" showErrorMessage="1" error="Допускается ввод не более 900 символов!" sqref="M38">
      <formula1>900</formula1>
    </dataValidation>
    <dataValidation type="textLength" operator="lessThanOrEqual" allowBlank="1" showInputMessage="1" showErrorMessage="1" errorTitle="Ошибка" error="Допускается ввод не более 900 символов!" sqref="M36">
      <formula1>900</formula1>
    </dataValidation>
    <dataValidation type="list" allowBlank="1" showInputMessage="1" showErrorMessage="1" sqref="I36">
      <formula1>DESCRIPTION_TERRITORY</formula1>
    </dataValidation>
    <dataValidation type="textLength" operator="lessThan" allowBlank="1" showInputMessage="1" showErrorMessage="1" error="Допускается ввод не более 900 символов!" sqref="M35">
      <formula1>900</formula1>
    </dataValidation>
    <dataValidation type="textLength" operator="lessThan" allowBlank="1" showInputMessage="1" showErrorMessage="1" error="Допускается ввод не более 900 символов!" sqref="M33">
      <formula1>900</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 type="list" allowBlank="1" showInputMessage="1" showErrorMessage="1" sqref="I31">
      <formula1>DESCRIPTION_TERRITORY</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list" allowBlank="1" showInputMessage="1" showErrorMessage="1" sqref="I30">
      <formula1>DESCRIPTION_TERRITORY</formula1>
    </dataValidation>
    <dataValidation type="textLength" operator="lessThan" allowBlank="1" showInputMessage="1" showErrorMessage="1" error="Допускается ввод не более 900 символов!" sqref="M29">
      <formula1>900</formula1>
    </dataValidation>
    <dataValidation type="textLength" operator="lessThan" allowBlank="1" showInputMessage="1" showErrorMessage="1" error="Допускается ввод не более 900 символов!" sqref="M27">
      <formula1>900</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list" allowBlank="1" showInputMessage="1" showErrorMessage="1" sqref="I25">
      <formula1>DESCRIPTION_TERRITORY</formula1>
    </dataValidation>
    <dataValidation type="textLength" operator="lessThanOrEqual" allowBlank="1" showInputMessage="1" showErrorMessage="1" errorTitle="Ошибка" error="Допускается ввод не более 900 символов!" sqref="M24">
      <formula1>900</formula1>
    </dataValidation>
    <dataValidation type="list" allowBlank="1" showInputMessage="1" showErrorMessage="1" sqref="I24">
      <formula1>DESCRIPTION_TERRITORY</formula1>
    </dataValidation>
    <dataValidation type="textLength" operator="lessThan" allowBlank="1" showInputMessage="1" showErrorMessage="1" error="Допускается ввод не более 900 символов!" sqref="M23">
      <formula1>900</formula1>
    </dataValidation>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17">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3">
      <formula1>900</formula1>
    </dataValidation>
    <dataValidation type="list" allowBlank="1" showInputMessage="1" showErrorMessage="1" sqref="I45">
      <formula1>DESCRIPTION_TERRITORY</formula1>
    </dataValidation>
    <dataValidation type="textLength" operator="lessThanOrEqual" allowBlank="1" showInputMessage="1" showErrorMessage="1" errorTitle="Ошибка" error="Допускается ввод не более 900 символов!" sqref="M45">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154" hidden="1"/>
    <col min="2" max="2" width="11" style="1154" hidden="1" customWidth="1"/>
    <col min="3" max="3" width="10.5703125" style="1154" hidden="1"/>
    <col min="4" max="4" width="11.85546875" style="1154" hidden="1" customWidth="1"/>
    <col min="5" max="5" width="10" style="1154" hidden="1" customWidth="1"/>
    <col min="6" max="6" width="8.7109375" style="1154" hidden="1" customWidth="1"/>
    <col min="7" max="7" width="7.5703125" style="1154" hidden="1" customWidth="1"/>
    <col min="8" max="8" width="11.42578125" style="1154" hidden="1" customWidth="1"/>
    <col min="9" max="9" width="14.140625" style="1154" hidden="1" customWidth="1"/>
    <col min="10" max="10" width="9.85546875" style="1154" hidden="1" customWidth="1"/>
    <col min="11" max="11" width="14.7109375" style="1154" hidden="1" customWidth="1"/>
    <col min="12" max="12" width="19.140625" style="1866" hidden="1" customWidth="1"/>
    <col min="13" max="14" width="12.28515625" style="1535" hidden="1" customWidth="1"/>
    <col min="15" max="15" width="23.42578125" style="1535" hidden="1" customWidth="1"/>
    <col min="16" max="16" width="3" style="1857" customWidth="1"/>
    <col min="17" max="18" width="3" style="278" customWidth="1"/>
    <col min="19" max="19" width="12" style="1858" customWidth="1"/>
    <col min="20" max="20" width="35" style="1423" customWidth="1"/>
    <col min="21" max="21" width="0.140625" style="1423" customWidth="1"/>
    <col min="22" max="28" width="19.7109375" style="1423" hidden="1" customWidth="1"/>
    <col min="29" max="29" width="11.7109375" style="1423" hidden="1" customWidth="1"/>
    <col min="30" max="30" width="3.7109375" style="1423" hidden="1" customWidth="1"/>
    <col min="31" max="31" width="11.7109375" style="1423" hidden="1" customWidth="1"/>
    <col min="32" max="32" width="8.5703125" style="1423" hidden="1" customWidth="1"/>
    <col min="33" max="33" width="19.7109375" style="1423" customWidth="1"/>
    <col min="34" max="39" width="19" style="1423" customWidth="1"/>
    <col min="40" max="40" width="11" style="1423" customWidth="1"/>
    <col min="41" max="41" width="3.7109375" style="1423" customWidth="1"/>
    <col min="42" max="42" width="11" style="1423" customWidth="1"/>
    <col min="43" max="43" width="8.5703125" style="1423" hidden="1" customWidth="1"/>
    <col min="44" max="44" width="4" style="1423" customWidth="1"/>
    <col min="45" max="45" width="115" style="1423" customWidth="1"/>
    <col min="46" max="50" width="10" style="1430" customWidth="1"/>
    <col min="51" max="51" width="10.5703125" style="1423" hidden="1"/>
  </cols>
  <sheetData>
    <row r="1" spans="1:51" ht="22.5" hidden="1" customHeight="1">
      <c r="AB1" s="261"/>
      <c r="AC1" s="261"/>
      <c r="AM1" s="261"/>
      <c r="AN1" s="261"/>
      <c r="AY1" s="956" t="s">
        <v>1</v>
      </c>
    </row>
    <row r="2" spans="1:51" ht="23.25" hidden="1" customHeight="1">
      <c r="A2" s="1151"/>
      <c r="B2" s="1151"/>
      <c r="C2" s="1151"/>
      <c r="D2" s="1151"/>
      <c r="E2" s="2395">
        <v>1</v>
      </c>
      <c r="F2" s="1151"/>
      <c r="G2" s="1151"/>
      <c r="H2" s="1151"/>
      <c r="I2" s="1151"/>
      <c r="J2" s="1151"/>
      <c r="K2" s="1151"/>
      <c r="L2" s="1152"/>
      <c r="M2" s="1153"/>
      <c r="N2" s="1153"/>
      <c r="O2" s="1153"/>
      <c r="P2" s="294"/>
      <c r="Q2" s="293"/>
      <c r="R2" s="288"/>
      <c r="S2" s="1281" t="e">
        <f>INDEX(PT_DIFFERENTIATION_NUM_NTAR,MATCH(A2,PT_DIFFERENTIATION_NTAR_ID,0))</f>
        <v>#N/A</v>
      </c>
      <c r="T2" s="232" t="s">
        <v>214</v>
      </c>
      <c r="U2" s="234"/>
      <c r="V2" s="2389"/>
      <c r="W2" s="2390"/>
      <c r="X2" s="2390"/>
      <c r="Y2" s="2390"/>
      <c r="Z2" s="2390"/>
      <c r="AA2" s="2390"/>
      <c r="AB2" s="2390"/>
      <c r="AC2" s="2390"/>
      <c r="AD2" s="2390"/>
      <c r="AE2" s="2390"/>
      <c r="AF2" s="2391"/>
      <c r="AG2" s="2389" t="e">
        <f>INDEX(PT_DIFFERENTIATION_NTAR,MATCH(A2,PT_DIFFERENTIATION_NTAR_ID,0))</f>
        <v>#N/A</v>
      </c>
      <c r="AH2" s="2390"/>
      <c r="AI2" s="2390"/>
      <c r="AJ2" s="2390"/>
      <c r="AK2" s="2390"/>
      <c r="AL2" s="2390"/>
      <c r="AM2" s="2390"/>
      <c r="AN2" s="2390"/>
      <c r="AO2" s="2390"/>
      <c r="AP2" s="2390"/>
      <c r="AQ2" s="2390"/>
      <c r="AR2" s="2391"/>
      <c r="AS2" s="104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3"/>
      <c r="AV2" s="433" t="str">
        <f t="shared" ref="AV2:AV13" si="0">IF(T2="","",T2)</f>
        <v>Наименование тарифа</v>
      </c>
      <c r="AW2" s="433"/>
      <c r="AX2" s="433"/>
      <c r="AY2" s="956">
        <v>0</v>
      </c>
    </row>
    <row r="3" spans="1:51" ht="23.25" hidden="1" customHeight="1">
      <c r="A3" s="1151"/>
      <c r="B3" s="1151"/>
      <c r="C3" s="1151"/>
      <c r="D3" s="1151"/>
      <c r="E3" s="2396"/>
      <c r="F3" s="2395">
        <v>1</v>
      </c>
      <c r="G3" s="1151"/>
      <c r="H3" s="1151"/>
      <c r="I3" s="1151"/>
      <c r="J3" s="1151"/>
      <c r="K3" s="1151"/>
      <c r="L3" s="1152"/>
      <c r="M3" s="1153"/>
      <c r="N3" s="1153"/>
      <c r="O3" s="1153"/>
      <c r="P3" s="1275"/>
      <c r="Q3" s="285"/>
      <c r="R3" s="286"/>
      <c r="S3" s="1281" t="e">
        <f>INDEX(PT_DIFFERENTIATION_NUM_TER,MATCH(B3,PT_DIFFERENTIATION_TER_ID,0))</f>
        <v>#N/A</v>
      </c>
      <c r="T3" s="242" t="s">
        <v>481</v>
      </c>
      <c r="U3" s="234"/>
      <c r="V3" s="2389"/>
      <c r="W3" s="2390"/>
      <c r="X3" s="2390"/>
      <c r="Y3" s="2390"/>
      <c r="Z3" s="2390"/>
      <c r="AA3" s="2390"/>
      <c r="AB3" s="2390"/>
      <c r="AC3" s="2390"/>
      <c r="AD3" s="2390"/>
      <c r="AE3" s="2390"/>
      <c r="AF3" s="2391"/>
      <c r="AG3" s="2389" t="e">
        <f>INDEX(PT_DIFFERENTIATION_TER,MATCH(B3,PT_DIFFERENTIATION_TER_ID,0))</f>
        <v>#N/A</v>
      </c>
      <c r="AH3" s="2390"/>
      <c r="AI3" s="2390"/>
      <c r="AJ3" s="2390"/>
      <c r="AK3" s="2390"/>
      <c r="AL3" s="2390"/>
      <c r="AM3" s="2390"/>
      <c r="AN3" s="2390"/>
      <c r="AO3" s="2390"/>
      <c r="AP3" s="2390"/>
      <c r="AQ3" s="2390"/>
      <c r="AR3" s="2391"/>
      <c r="AS3" s="1046" t="s">
        <v>482</v>
      </c>
      <c r="AU3" s="433"/>
      <c r="AV3" s="433" t="str">
        <f t="shared" si="0"/>
        <v>Территория действия тарифа</v>
      </c>
      <c r="AW3" s="433"/>
      <c r="AX3" s="433"/>
      <c r="AY3" s="956">
        <v>0</v>
      </c>
    </row>
    <row r="4" spans="1:51" ht="23.25" hidden="1" customHeight="1">
      <c r="A4" s="1151"/>
      <c r="B4" s="1151"/>
      <c r="C4" s="1151"/>
      <c r="D4" s="1151"/>
      <c r="E4" s="2396"/>
      <c r="F4" s="2396"/>
      <c r="G4" s="2395">
        <v>1</v>
      </c>
      <c r="H4" s="1151"/>
      <c r="I4" s="1151"/>
      <c r="J4" s="1151"/>
      <c r="K4" s="1151"/>
      <c r="L4" s="1152"/>
      <c r="M4" s="1153"/>
      <c r="N4" s="1153"/>
      <c r="O4" s="1153"/>
      <c r="P4" s="287"/>
      <c r="Q4" s="285"/>
      <c r="R4" s="286"/>
      <c r="S4" s="1281" t="e">
        <f>INDEX(PT_DIFFERENTIATION_NUM_CS,MATCH(C4,PT_DIFFERENTIATION_CS_ID,0))</f>
        <v>#N/A</v>
      </c>
      <c r="T4" s="243" t="s">
        <v>614</v>
      </c>
      <c r="U4" s="234"/>
      <c r="V4" s="2389"/>
      <c r="W4" s="2390"/>
      <c r="X4" s="2390"/>
      <c r="Y4" s="2390"/>
      <c r="Z4" s="2390"/>
      <c r="AA4" s="2390"/>
      <c r="AB4" s="2390"/>
      <c r="AC4" s="2390"/>
      <c r="AD4" s="2390"/>
      <c r="AE4" s="2390"/>
      <c r="AF4" s="2391"/>
      <c r="AG4" s="2389" t="e">
        <f>INDEX(PT_DIFFERENTIATION_CS,MATCH(C4,PT_DIFFERENTIATION_CS_ID,0))</f>
        <v>#N/A</v>
      </c>
      <c r="AH4" s="2390"/>
      <c r="AI4" s="2390"/>
      <c r="AJ4" s="2390"/>
      <c r="AK4" s="2390"/>
      <c r="AL4" s="2390"/>
      <c r="AM4" s="2390"/>
      <c r="AN4" s="2390"/>
      <c r="AO4" s="2390"/>
      <c r="AP4" s="2390"/>
      <c r="AQ4" s="2390"/>
      <c r="AR4" s="2391"/>
      <c r="AS4" s="1046" t="s">
        <v>615</v>
      </c>
      <c r="AU4" s="433"/>
      <c r="AV4" s="433" t="str">
        <f t="shared" si="0"/>
        <v>Наименование централизованной системы горячего водоснабжения</v>
      </c>
      <c r="AW4" s="433"/>
      <c r="AX4" s="433"/>
      <c r="AY4" s="956">
        <v>0</v>
      </c>
    </row>
    <row r="5" spans="1:51" ht="23.25" hidden="1" customHeight="1">
      <c r="A5" s="1151"/>
      <c r="B5" s="1151"/>
      <c r="C5" s="1151"/>
      <c r="D5" s="1151"/>
      <c r="E5" s="2396"/>
      <c r="F5" s="2396"/>
      <c r="G5" s="2396"/>
      <c r="H5" s="2396"/>
      <c r="I5" s="2397" t="e">
        <f>S4&amp;".1"</f>
        <v>#N/A</v>
      </c>
      <c r="J5" s="1151"/>
      <c r="K5" s="1151"/>
      <c r="L5" s="1152"/>
      <c r="P5" s="2399">
        <v>1</v>
      </c>
      <c r="Q5" s="1269"/>
      <c r="R5" s="289"/>
      <c r="S5" s="1281" t="e">
        <f>$I5</f>
        <v>#N/A</v>
      </c>
      <c r="T5" s="219" t="s">
        <v>567</v>
      </c>
      <c r="U5" s="234"/>
      <c r="V5" s="2463"/>
      <c r="W5" s="2464"/>
      <c r="X5" s="2464"/>
      <c r="Y5" s="2464"/>
      <c r="Z5" s="2464"/>
      <c r="AA5" s="2464"/>
      <c r="AB5" s="2464"/>
      <c r="AC5" s="2464"/>
      <c r="AD5" s="2464"/>
      <c r="AE5" s="2464"/>
      <c r="AF5" s="2465"/>
      <c r="AG5" s="2466"/>
      <c r="AH5" s="2467"/>
      <c r="AI5" s="2467"/>
      <c r="AJ5" s="2467"/>
      <c r="AK5" s="2467"/>
      <c r="AL5" s="2467"/>
      <c r="AM5" s="2467"/>
      <c r="AN5" s="2467"/>
      <c r="AO5" s="2467"/>
      <c r="AP5" s="2467"/>
      <c r="AQ5" s="2467"/>
      <c r="AR5" s="2468"/>
      <c r="AS5" s="1046" t="s">
        <v>568</v>
      </c>
      <c r="AU5" s="433"/>
      <c r="AV5" s="433" t="str">
        <f t="shared" si="0"/>
        <v>Наименование признака дифференциации</v>
      </c>
      <c r="AW5" s="433"/>
      <c r="AX5" s="433"/>
      <c r="AY5" s="956">
        <v>0</v>
      </c>
    </row>
    <row r="6" spans="1:51" ht="23.25" hidden="1" customHeight="1">
      <c r="A6" s="1151"/>
      <c r="B6" s="1151"/>
      <c r="C6" s="1151"/>
      <c r="D6" s="1151"/>
      <c r="E6" s="2396"/>
      <c r="F6" s="2396"/>
      <c r="G6" s="2396"/>
      <c r="H6" s="2396"/>
      <c r="I6" s="2398"/>
      <c r="J6" s="2397" t="e">
        <f>I5&amp;".1"</f>
        <v>#N/A</v>
      </c>
      <c r="K6" s="1151"/>
      <c r="L6" s="1152" t="s">
        <v>490</v>
      </c>
      <c r="P6" s="2399"/>
      <c r="Q6" s="2399">
        <v>1</v>
      </c>
      <c r="R6" s="290"/>
      <c r="S6" s="1281" t="e">
        <f>$J6</f>
        <v>#N/A</v>
      </c>
      <c r="T6" s="220" t="s">
        <v>491</v>
      </c>
      <c r="U6" s="234"/>
      <c r="V6" s="2383"/>
      <c r="W6" s="2384"/>
      <c r="X6" s="2384"/>
      <c r="Y6" s="2384"/>
      <c r="Z6" s="2384"/>
      <c r="AA6" s="2384"/>
      <c r="AB6" s="2384"/>
      <c r="AC6" s="2384"/>
      <c r="AD6" s="2384"/>
      <c r="AE6" s="2384"/>
      <c r="AF6" s="2385"/>
      <c r="AG6" s="2383"/>
      <c r="AH6" s="2384"/>
      <c r="AI6" s="2384"/>
      <c r="AJ6" s="2384"/>
      <c r="AK6" s="2384"/>
      <c r="AL6" s="2384"/>
      <c r="AM6" s="2384"/>
      <c r="AN6" s="2384"/>
      <c r="AO6" s="2384"/>
      <c r="AP6" s="2384"/>
      <c r="AQ6" s="2384"/>
      <c r="AR6" s="2385"/>
      <c r="AS6" s="1095" t="s">
        <v>569</v>
      </c>
      <c r="AU6" s="433"/>
      <c r="AV6" s="433" t="str">
        <f t="shared" si="0"/>
        <v>Группа потребителей</v>
      </c>
      <c r="AW6" s="433"/>
      <c r="AX6" s="433"/>
      <c r="AY6" s="956">
        <v>0</v>
      </c>
    </row>
    <row r="7" spans="1:51" ht="23.25" hidden="1" customHeight="1">
      <c r="A7" s="1151"/>
      <c r="B7" s="1151"/>
      <c r="C7" s="1151"/>
      <c r="D7" s="1151"/>
      <c r="E7" s="2396"/>
      <c r="F7" s="2396"/>
      <c r="G7" s="2396"/>
      <c r="H7" s="2396"/>
      <c r="I7" s="2398"/>
      <c r="J7" s="2398"/>
      <c r="K7" s="2397" t="e">
        <f>J6&amp;".1"</f>
        <v>#N/A</v>
      </c>
      <c r="L7" s="1152"/>
      <c r="P7" s="2399"/>
      <c r="Q7" s="2399"/>
      <c r="R7" s="290">
        <v>1</v>
      </c>
      <c r="S7" s="1281" t="e">
        <f>$K7</f>
        <v>#N/A</v>
      </c>
      <c r="T7" s="1225"/>
      <c r="U7" s="234"/>
      <c r="V7" s="658"/>
      <c r="W7" s="658"/>
      <c r="X7" s="658"/>
      <c r="Y7" s="658"/>
      <c r="Z7" s="658"/>
      <c r="AA7" s="658"/>
      <c r="AB7" s="1045"/>
      <c r="AC7" s="2400"/>
      <c r="AD7" s="2276" t="s">
        <v>52</v>
      </c>
      <c r="AE7" s="2400"/>
      <c r="AF7" s="2276" t="s">
        <v>52</v>
      </c>
      <c r="AG7" s="658"/>
      <c r="AH7" s="658"/>
      <c r="AI7" s="658"/>
      <c r="AJ7" s="658"/>
      <c r="AK7" s="658"/>
      <c r="AL7" s="658"/>
      <c r="AM7" s="1045"/>
      <c r="AN7" s="2400"/>
      <c r="AO7" s="2276" t="s">
        <v>52</v>
      </c>
      <c r="AP7" s="2402"/>
      <c r="AQ7" s="2276" t="s">
        <v>52</v>
      </c>
      <c r="AR7" s="1226"/>
      <c r="AS7" s="24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4" t="e">
        <f ca="1">STRCHECKDATE(V8:AR8)</f>
        <v>#NAME?</v>
      </c>
      <c r="AU7" s="433"/>
      <c r="AV7" s="433" t="str">
        <f t="shared" si="0"/>
        <v/>
      </c>
      <c r="AW7" s="433"/>
      <c r="AX7" s="433"/>
      <c r="AY7" s="956">
        <v>0</v>
      </c>
    </row>
    <row r="8" spans="1:51" ht="14.25" hidden="1" customHeight="1">
      <c r="A8" s="1151"/>
      <c r="B8" s="1151"/>
      <c r="C8" s="1151"/>
      <c r="D8" s="1151"/>
      <c r="E8" s="2396"/>
      <c r="F8" s="2396"/>
      <c r="G8" s="2396"/>
      <c r="H8" s="2396"/>
      <c r="I8" s="2398"/>
      <c r="J8" s="2398"/>
      <c r="K8" s="2397"/>
      <c r="L8" s="1152"/>
      <c r="P8" s="2399"/>
      <c r="Q8" s="2399"/>
      <c r="R8" s="290"/>
      <c r="S8" s="1278"/>
      <c r="T8" s="234"/>
      <c r="U8" s="234"/>
      <c r="V8" s="259"/>
      <c r="W8" s="259"/>
      <c r="X8" s="259"/>
      <c r="Y8" s="259"/>
      <c r="Z8" s="259"/>
      <c r="AA8" s="259"/>
      <c r="AB8" s="262" t="str">
        <f>AC7&amp;"-"&amp;AE7</f>
        <v>-</v>
      </c>
      <c r="AC8" s="2401"/>
      <c r="AD8" s="2276"/>
      <c r="AE8" s="2401"/>
      <c r="AF8" s="2276"/>
      <c r="AG8" s="259"/>
      <c r="AH8" s="259"/>
      <c r="AI8" s="259"/>
      <c r="AJ8" s="259"/>
      <c r="AK8" s="259"/>
      <c r="AL8" s="259"/>
      <c r="AM8" s="262" t="str">
        <f>AN7&amp;"-"&amp;AP7</f>
        <v>-</v>
      </c>
      <c r="AN8" s="2401"/>
      <c r="AO8" s="2276"/>
      <c r="AP8" s="2403"/>
      <c r="AQ8" s="2276"/>
      <c r="AR8" s="1227"/>
      <c r="AS8" s="2469"/>
      <c r="AU8" s="433"/>
      <c r="AV8" s="433" t="str">
        <f t="shared" si="0"/>
        <v/>
      </c>
      <c r="AW8" s="433"/>
      <c r="AX8" s="433"/>
      <c r="AY8" s="956">
        <v>0</v>
      </c>
    </row>
    <row r="9" spans="1:51" ht="21" hidden="1" customHeight="1">
      <c r="A9" s="1151"/>
      <c r="B9" s="1151"/>
      <c r="C9" s="1151"/>
      <c r="D9" s="1151"/>
      <c r="E9" s="2396"/>
      <c r="F9" s="2396"/>
      <c r="G9" s="2396"/>
      <c r="H9" s="2396"/>
      <c r="I9" s="2398"/>
      <c r="J9" s="2397"/>
      <c r="K9" s="1151"/>
      <c r="L9" s="1152"/>
      <c r="P9" s="2399"/>
      <c r="Q9" s="2399"/>
      <c r="R9" s="289"/>
      <c r="S9" s="1066"/>
      <c r="T9" s="221" t="s">
        <v>570</v>
      </c>
      <c r="U9" s="300"/>
      <c r="V9" s="300"/>
      <c r="W9" s="531"/>
      <c r="X9" s="531"/>
      <c r="Y9" s="531"/>
      <c r="Z9" s="531"/>
      <c r="AA9" s="531"/>
      <c r="AB9" s="300"/>
      <c r="AC9" s="300"/>
      <c r="AD9" s="300"/>
      <c r="AE9" s="300"/>
      <c r="AF9" s="300"/>
      <c r="AG9" s="300"/>
      <c r="AH9" s="531"/>
      <c r="AI9" s="531"/>
      <c r="AJ9" s="531"/>
      <c r="AK9" s="531"/>
      <c r="AL9" s="531"/>
      <c r="AM9" s="300"/>
      <c r="AN9" s="300"/>
      <c r="AO9" s="300"/>
      <c r="AP9" s="300"/>
      <c r="AQ9" s="300"/>
      <c r="AR9" s="300"/>
      <c r="AS9" s="1046" t="s">
        <v>571</v>
      </c>
      <c r="AU9" s="433"/>
      <c r="AV9" s="433" t="str">
        <f t="shared" si="0"/>
        <v>Добавить значение признака дифференциации</v>
      </c>
      <c r="AW9" s="433"/>
      <c r="AX9" s="433"/>
      <c r="AY9" s="956">
        <v>0</v>
      </c>
    </row>
    <row r="10" spans="1:51" ht="21" hidden="1" customHeight="1">
      <c r="A10" s="1151"/>
      <c r="B10" s="1151"/>
      <c r="C10" s="1151"/>
      <c r="D10" s="1151"/>
      <c r="E10" s="2396"/>
      <c r="F10" s="2396"/>
      <c r="G10" s="2396"/>
      <c r="H10" s="2396"/>
      <c r="I10" s="2397"/>
      <c r="J10" s="1151"/>
      <c r="K10" s="1151"/>
      <c r="L10" s="1152"/>
      <c r="P10" s="2399"/>
      <c r="Q10" s="1269"/>
      <c r="R10" s="289"/>
      <c r="S10" s="1066"/>
      <c r="T10" s="298" t="s">
        <v>496</v>
      </c>
      <c r="U10" s="300"/>
      <c r="V10" s="300"/>
      <c r="W10" s="531"/>
      <c r="X10" s="531"/>
      <c r="Y10" s="531"/>
      <c r="Z10" s="531"/>
      <c r="AA10" s="531"/>
      <c r="AB10" s="300"/>
      <c r="AC10" s="300"/>
      <c r="AD10" s="300"/>
      <c r="AE10" s="300"/>
      <c r="AF10" s="299"/>
      <c r="AG10" s="300"/>
      <c r="AH10" s="531"/>
      <c r="AI10" s="531"/>
      <c r="AJ10" s="531"/>
      <c r="AK10" s="531"/>
      <c r="AL10" s="531"/>
      <c r="AM10" s="300"/>
      <c r="AN10" s="300"/>
      <c r="AO10" s="300"/>
      <c r="AP10" s="300"/>
      <c r="AQ10" s="299"/>
      <c r="AR10" s="300"/>
      <c r="AS10" s="1228"/>
      <c r="AU10" s="433"/>
      <c r="AV10" s="433" t="str">
        <f t="shared" si="0"/>
        <v>Добавить группу потребителей</v>
      </c>
      <c r="AW10" s="433"/>
      <c r="AX10" s="433"/>
      <c r="AY10" s="956">
        <v>0</v>
      </c>
    </row>
    <row r="11" spans="1:51" ht="21" hidden="1" customHeight="1">
      <c r="A11" s="1151"/>
      <c r="B11" s="1151"/>
      <c r="C11" s="1151"/>
      <c r="D11" s="1151"/>
      <c r="E11" s="2396"/>
      <c r="F11" s="2396"/>
      <c r="G11" s="2396"/>
      <c r="H11" s="2395"/>
      <c r="I11" s="1151"/>
      <c r="J11" s="1151"/>
      <c r="K11" s="1151"/>
      <c r="L11" s="1152"/>
      <c r="M11" s="1153"/>
      <c r="N11" s="1153"/>
      <c r="O11" s="469"/>
      <c r="P11" s="293"/>
      <c r="Q11" s="308"/>
      <c r="R11" s="288"/>
      <c r="S11" s="1066"/>
      <c r="T11" s="305" t="s">
        <v>572</v>
      </c>
      <c r="U11" s="300"/>
      <c r="V11" s="300"/>
      <c r="W11" s="531"/>
      <c r="X11" s="531"/>
      <c r="Y11" s="531"/>
      <c r="Z11" s="531"/>
      <c r="AA11" s="531"/>
      <c r="AB11" s="300"/>
      <c r="AC11" s="300"/>
      <c r="AD11" s="300"/>
      <c r="AE11" s="300"/>
      <c r="AF11" s="299"/>
      <c r="AG11" s="300"/>
      <c r="AH11" s="531"/>
      <c r="AI11" s="531"/>
      <c r="AJ11" s="531"/>
      <c r="AK11" s="531"/>
      <c r="AL11" s="531"/>
      <c r="AM11" s="300"/>
      <c r="AN11" s="300"/>
      <c r="AO11" s="300"/>
      <c r="AP11" s="300"/>
      <c r="AQ11" s="299"/>
      <c r="AR11" s="300"/>
      <c r="AS11" s="237"/>
      <c r="AU11" s="433"/>
      <c r="AV11" s="433" t="str">
        <f t="shared" si="0"/>
        <v>Добавить наименование признака дифференциации</v>
      </c>
      <c r="AW11" s="433"/>
      <c r="AX11" s="433"/>
      <c r="AY11" s="956">
        <v>0</v>
      </c>
    </row>
    <row r="12" spans="1:51" s="1430" customFormat="1" ht="14.25" hidden="1" customHeight="1">
      <c r="A12" s="1131"/>
      <c r="B12" s="1131"/>
      <c r="C12" s="1102"/>
      <c r="D12" s="1102"/>
      <c r="E12" s="2396"/>
      <c r="F12" s="2395"/>
      <c r="G12" s="1102"/>
      <c r="H12" s="1102"/>
      <c r="I12" s="1102"/>
      <c r="J12" s="1102"/>
      <c r="K12" s="1102"/>
      <c r="L12" s="1282"/>
      <c r="M12" s="1109"/>
      <c r="N12" s="1109"/>
      <c r="P12" s="1104"/>
      <c r="Q12" s="1105"/>
      <c r="R12" s="1104"/>
      <c r="S12" s="1110"/>
      <c r="T12" s="1113" t="s">
        <v>499</v>
      </c>
      <c r="U12" s="1112"/>
      <c r="V12" s="1112"/>
      <c r="W12" s="1112"/>
      <c r="X12" s="1112"/>
      <c r="Y12" s="1112"/>
      <c r="Z12" s="1112"/>
      <c r="AA12" s="1112"/>
      <c r="AB12" s="1112"/>
      <c r="AC12" s="1112"/>
      <c r="AD12" s="1112"/>
      <c r="AE12" s="1112"/>
      <c r="AF12" s="1112"/>
      <c r="AG12" s="1112"/>
      <c r="AH12" s="1112"/>
      <c r="AI12" s="1112"/>
      <c r="AJ12" s="1112"/>
      <c r="AK12" s="1112"/>
      <c r="AL12" s="1112"/>
      <c r="AM12" s="1112"/>
      <c r="AN12" s="1112"/>
      <c r="AO12" s="1112"/>
      <c r="AP12" s="1112"/>
      <c r="AQ12" s="1112"/>
      <c r="AR12" s="1112"/>
      <c r="AS12" s="1112"/>
      <c r="AU12" s="688"/>
      <c r="AV12" s="688" t="str">
        <f t="shared" si="0"/>
        <v>Добавить централизованную систему для дифференциации</v>
      </c>
      <c r="AW12" s="688"/>
      <c r="AX12" s="688"/>
      <c r="AY12" s="451">
        <v>0</v>
      </c>
    </row>
    <row r="13" spans="1:51" s="1430" customFormat="1" ht="14.25" hidden="1" customHeight="1">
      <c r="A13" s="1131"/>
      <c r="B13" s="1131"/>
      <c r="C13" s="1131"/>
      <c r="D13" s="1131"/>
      <c r="E13" s="2395"/>
      <c r="F13" s="1131"/>
      <c r="G13" s="1131"/>
      <c r="H13" s="1131"/>
      <c r="I13" s="1131"/>
      <c r="J13" s="1131"/>
      <c r="K13" s="1131"/>
      <c r="L13" s="1134"/>
      <c r="M13" s="1109"/>
      <c r="N13" s="1109"/>
      <c r="O13" s="451"/>
      <c r="P13" s="313"/>
      <c r="Q13" s="1132"/>
      <c r="R13" s="313"/>
      <c r="S13" s="1110"/>
      <c r="T13" s="1113" t="s">
        <v>500</v>
      </c>
      <c r="U13" s="1112"/>
      <c r="V13" s="1112"/>
      <c r="W13" s="1112"/>
      <c r="X13" s="1112"/>
      <c r="Y13" s="1112"/>
      <c r="Z13" s="1112"/>
      <c r="AA13" s="1112"/>
      <c r="AB13" s="1112"/>
      <c r="AC13" s="1112"/>
      <c r="AD13" s="1112"/>
      <c r="AE13" s="1112"/>
      <c r="AF13" s="1112"/>
      <c r="AG13" s="1112"/>
      <c r="AH13" s="1112"/>
      <c r="AI13" s="1112"/>
      <c r="AJ13" s="1112"/>
      <c r="AK13" s="1112"/>
      <c r="AL13" s="1112"/>
      <c r="AM13" s="1112"/>
      <c r="AN13" s="1112"/>
      <c r="AO13" s="1112"/>
      <c r="AP13" s="1112"/>
      <c r="AQ13" s="1112"/>
      <c r="AR13" s="1112"/>
      <c r="AS13" s="1112"/>
      <c r="AU13" s="433"/>
      <c r="AV13" s="433" t="str">
        <f t="shared" si="0"/>
        <v>Добавить территорию для дифференциации</v>
      </c>
      <c r="AW13" s="433"/>
      <c r="AX13" s="433"/>
      <c r="AY13" s="444">
        <v>0</v>
      </c>
    </row>
    <row r="14" spans="1:51" ht="14.25" hidden="1" customHeight="1">
      <c r="AF14" s="261"/>
      <c r="AQ14" s="261"/>
      <c r="AY14" s="956">
        <v>0</v>
      </c>
    </row>
    <row r="15" spans="1:51" ht="14.25" hidden="1" customHeight="1">
      <c r="AG15" s="1148"/>
      <c r="AH15" s="1148"/>
      <c r="AI15" s="1148"/>
      <c r="AJ15" s="1148"/>
      <c r="AK15" s="1148"/>
      <c r="AL15" s="1148"/>
      <c r="AM15" s="1149"/>
      <c r="AN15" s="2393"/>
      <c r="AO15" s="2392" t="s">
        <v>52</v>
      </c>
      <c r="AP15" s="2393"/>
      <c r="AQ15" s="2392" t="s">
        <v>52</v>
      </c>
      <c r="AY15" s="956">
        <v>0</v>
      </c>
    </row>
    <row r="16" spans="1:51" ht="14.25" hidden="1" customHeight="1">
      <c r="AG16" s="1148"/>
      <c r="AH16" s="1148"/>
      <c r="AI16" s="1148"/>
      <c r="AJ16" s="1148"/>
      <c r="AK16" s="1148"/>
      <c r="AL16" s="1148"/>
      <c r="AM16" s="262" t="str">
        <f>AN15&amp;"-"&amp;AP15</f>
        <v>-</v>
      </c>
      <c r="AN16" s="2392"/>
      <c r="AO16" s="2392"/>
      <c r="AP16" s="2392"/>
      <c r="AQ16" s="2392"/>
      <c r="AY16" s="956">
        <v>0</v>
      </c>
    </row>
    <row r="17" spans="1:51" ht="14.25" hidden="1" customHeight="1">
      <c r="AQ17" s="261"/>
      <c r="AY17" s="956">
        <v>0</v>
      </c>
    </row>
    <row r="18" spans="1:51" s="1154" customFormat="1" ht="22.5" hidden="1" customHeight="1">
      <c r="L18" s="1266"/>
      <c r="M18" s="1150"/>
      <c r="N18" s="1150"/>
      <c r="O18" s="1155" t="s">
        <v>501</v>
      </c>
      <c r="P18" s="1150"/>
      <c r="Q18" s="1159"/>
      <c r="R18" s="1159"/>
      <c r="S18" s="640"/>
      <c r="AC18" s="1155"/>
      <c r="AE18" s="1155"/>
      <c r="AN18" s="1155"/>
      <c r="AP18" s="1155"/>
      <c r="AT18" s="444"/>
      <c r="AU18" s="444"/>
      <c r="AV18" s="444"/>
      <c r="AW18" s="444"/>
      <c r="AX18" s="444"/>
      <c r="AY18" s="961">
        <v>0</v>
      </c>
    </row>
    <row r="19" spans="1:51" s="1154" customFormat="1" ht="14.25" hidden="1" customHeight="1">
      <c r="L19" s="1266"/>
      <c r="M19" s="1150"/>
      <c r="N19" s="1150"/>
      <c r="O19" s="1150"/>
      <c r="P19" s="1150"/>
      <c r="Q19" s="1159"/>
      <c r="R19" s="1159"/>
      <c r="S19" s="640"/>
      <c r="AT19" s="444"/>
      <c r="AU19" s="444"/>
      <c r="AV19" s="444"/>
      <c r="AW19" s="444"/>
      <c r="AX19" s="444"/>
      <c r="AY19" s="961">
        <v>0</v>
      </c>
    </row>
    <row r="20" spans="1:51" s="1154" customFormat="1" ht="12" hidden="1" customHeight="1">
      <c r="L20" s="1266"/>
      <c r="M20" s="1150"/>
      <c r="N20" s="1150"/>
      <c r="O20" s="1152" t="s">
        <v>502</v>
      </c>
      <c r="P20" s="1150"/>
      <c r="Q20" s="1230"/>
      <c r="R20" s="1230"/>
      <c r="S20" s="640"/>
      <c r="T20" s="961" t="s">
        <v>503</v>
      </c>
      <c r="AD20" s="120" t="s">
        <v>504</v>
      </c>
      <c r="AF20" s="120" t="s">
        <v>505</v>
      </c>
      <c r="AG20" s="961" t="s">
        <v>503</v>
      </c>
      <c r="AO20" s="120" t="s">
        <v>506</v>
      </c>
      <c r="AQ20" s="120" t="s">
        <v>505</v>
      </c>
      <c r="AY20" s="961">
        <v>0</v>
      </c>
    </row>
    <row r="21" spans="1:51" ht="14.25" hidden="1" customHeight="1">
      <c r="O21" s="1152"/>
      <c r="AY21" s="956">
        <v>0</v>
      </c>
    </row>
    <row r="22" spans="1:51" ht="14.25" hidden="1" customHeight="1">
      <c r="O22" s="1152"/>
      <c r="AY22" s="956">
        <v>0</v>
      </c>
    </row>
    <row r="23" spans="1:51" ht="14.65" customHeight="1">
      <c r="Q23" s="309"/>
      <c r="R23" s="309"/>
      <c r="S23" s="1063"/>
      <c r="T23" s="296"/>
      <c r="U23" s="296"/>
      <c r="V23" s="442"/>
      <c r="AB23" s="442"/>
      <c r="AC23" s="442"/>
      <c r="AD23" s="442"/>
      <c r="AE23" s="442"/>
      <c r="AF23" s="442"/>
      <c r="AG23" s="442"/>
      <c r="AM23" s="442"/>
      <c r="AN23" s="442"/>
      <c r="AO23" s="442"/>
      <c r="AP23" s="442"/>
      <c r="AQ23" s="442"/>
      <c r="AY23" s="956">
        <v>14</v>
      </c>
    </row>
    <row r="24" spans="1:51" ht="26.25" customHeight="1">
      <c r="Q24" s="309"/>
      <c r="R24" s="309"/>
      <c r="S24" s="237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1031"/>
      <c r="AY24" s="956">
        <v>25</v>
      </c>
    </row>
    <row r="25" spans="1:51" ht="14.65" customHeight="1">
      <c r="Q25" s="309"/>
      <c r="R25" s="309"/>
      <c r="S25" s="2349" t="str">
        <f>IF(org=0,"Не определено",org)</f>
        <v>ООО "Смоленскрегионтеплоэнерго"</v>
      </c>
      <c r="T25" s="2349"/>
      <c r="U25" s="2349"/>
      <c r="V25" s="2349"/>
      <c r="W25" s="2349"/>
      <c r="X25" s="2349"/>
      <c r="Y25" s="2349"/>
      <c r="Z25" s="2349"/>
      <c r="AA25" s="2349"/>
      <c r="AB25" s="2349"/>
      <c r="AC25" s="2349"/>
      <c r="AD25" s="2349"/>
      <c r="AE25" s="2349"/>
      <c r="AF25" s="2349"/>
      <c r="AG25" s="2349"/>
      <c r="AH25" s="2349"/>
      <c r="AI25" s="2349"/>
      <c r="AJ25" s="2349"/>
      <c r="AK25" s="2349"/>
      <c r="AL25" s="2349"/>
      <c r="AM25" s="2349"/>
      <c r="AN25" s="2349"/>
      <c r="AO25" s="2349"/>
      <c r="AP25" s="2349"/>
      <c r="AQ25" s="1031"/>
      <c r="AY25" s="956">
        <v>14</v>
      </c>
    </row>
    <row r="26" spans="1:51" ht="14.25" hidden="1" customHeight="1">
      <c r="Q26" s="309"/>
      <c r="R26" s="309"/>
      <c r="S26" s="1063"/>
      <c r="T26" s="296"/>
      <c r="U26" s="29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442"/>
      <c r="AY26" s="956">
        <v>0</v>
      </c>
    </row>
    <row r="27" spans="1:51" s="1609" customFormat="1" ht="25.5" hidden="1" customHeight="1">
      <c r="A27" s="1156"/>
      <c r="B27" s="1156"/>
      <c r="C27" s="1156"/>
      <c r="D27" s="1156"/>
      <c r="E27" s="1156"/>
      <c r="F27" s="1156"/>
      <c r="G27" s="1156"/>
      <c r="H27" s="1156"/>
      <c r="I27" s="1156"/>
      <c r="J27" s="1156"/>
      <c r="K27" s="1156"/>
      <c r="L27" s="1157"/>
      <c r="M27" s="1156"/>
      <c r="N27" s="1156"/>
      <c r="O27" s="1156"/>
      <c r="S27" s="2386" t="s">
        <v>28</v>
      </c>
      <c r="T27" s="2386"/>
      <c r="U27" s="1160"/>
      <c r="V27" s="2388" t="str">
        <f>IF(TITLE_NAME_OR_PR_CHANGE="",IF(TITLE_NAME_OR_PR="","",TITLE_NAME_OR_PR),TITLE_NAME_OR_PR_CHANGE)</f>
        <v/>
      </c>
      <c r="W27" s="2388"/>
      <c r="X27" s="2388"/>
      <c r="Y27" s="2388"/>
      <c r="Z27" s="2388"/>
      <c r="AA27" s="2388"/>
      <c r="AB27" s="2388"/>
      <c r="AC27" s="2388"/>
      <c r="AD27" s="2388"/>
      <c r="AE27" s="2388"/>
      <c r="AF27" s="260"/>
      <c r="AG27" s="2388" t="str">
        <f>IF(TITLE_NAME_OR_PR_CHANGE="",IF(TITLE_NAME_OR_PR="","",TITLE_NAME_OR_PR),TITLE_NAME_OR_PR_CHANGE)</f>
        <v/>
      </c>
      <c r="AH27" s="2388"/>
      <c r="AI27" s="2388"/>
      <c r="AJ27" s="2388"/>
      <c r="AK27" s="2388"/>
      <c r="AL27" s="2388"/>
      <c r="AM27" s="2388"/>
      <c r="AN27" s="2388"/>
      <c r="AO27" s="2388"/>
      <c r="AP27" s="2388"/>
      <c r="AQ27" s="260"/>
      <c r="AR27" s="260"/>
      <c r="AS27" s="214"/>
      <c r="AT27" s="301"/>
      <c r="AU27" s="301"/>
      <c r="AV27" s="301"/>
      <c r="AW27" s="301"/>
      <c r="AX27" s="301"/>
      <c r="AY27" s="351">
        <v>0</v>
      </c>
    </row>
    <row r="28" spans="1:51" s="1609" customFormat="1" ht="18.75" hidden="1" customHeight="1">
      <c r="A28" s="1156"/>
      <c r="B28" s="1156"/>
      <c r="C28" s="1156"/>
      <c r="D28" s="1156"/>
      <c r="E28" s="1156"/>
      <c r="F28" s="1156"/>
      <c r="G28" s="1156"/>
      <c r="H28" s="1156"/>
      <c r="I28" s="1156"/>
      <c r="J28" s="1156"/>
      <c r="K28" s="1156"/>
      <c r="L28" s="1157"/>
      <c r="M28" s="1156"/>
      <c r="N28" s="1156"/>
      <c r="O28" s="1156"/>
      <c r="S28" s="2386" t="s">
        <v>507</v>
      </c>
      <c r="T28" s="2386"/>
      <c r="U28" s="1160"/>
      <c r="V28" s="2387" t="str">
        <f>IF(TITLE_DATE_PR_CHANGE="",IF(TITLE_DATE_PR="","",TITLE_DATE_PR),TITLE_DATE_PR_CHANGE)</f>
        <v/>
      </c>
      <c r="W28" s="2387"/>
      <c r="X28" s="2387"/>
      <c r="Y28" s="2387"/>
      <c r="Z28" s="2387"/>
      <c r="AA28" s="2387"/>
      <c r="AB28" s="2387"/>
      <c r="AC28" s="2387"/>
      <c r="AD28" s="2387"/>
      <c r="AE28" s="2387"/>
      <c r="AF28" s="260"/>
      <c r="AG28" s="2387" t="str">
        <f>IF(TITLE_DATE_PR_CHANGE="",IF(TITLE_DATE_PR="","",TITLE_DATE_PR),TITLE_DATE_PR_CHANGE)</f>
        <v/>
      </c>
      <c r="AH28" s="2387"/>
      <c r="AI28" s="2387"/>
      <c r="AJ28" s="2387"/>
      <c r="AK28" s="2387"/>
      <c r="AL28" s="2387"/>
      <c r="AM28" s="2387"/>
      <c r="AN28" s="2387"/>
      <c r="AO28" s="2387"/>
      <c r="AP28" s="2387"/>
      <c r="AQ28" s="260"/>
      <c r="AR28" s="260"/>
      <c r="AS28" s="214"/>
      <c r="AT28" s="301"/>
      <c r="AU28" s="301"/>
      <c r="AV28" s="301"/>
      <c r="AW28" s="301"/>
      <c r="AX28" s="301"/>
      <c r="AY28" s="351">
        <v>0</v>
      </c>
    </row>
    <row r="29" spans="1:51" s="1609" customFormat="1" ht="18.75" hidden="1" customHeight="1">
      <c r="A29" s="1156"/>
      <c r="B29" s="1156"/>
      <c r="C29" s="1156"/>
      <c r="D29" s="1156"/>
      <c r="E29" s="1156"/>
      <c r="F29" s="1156"/>
      <c r="G29" s="1156"/>
      <c r="H29" s="1156"/>
      <c r="I29" s="1156"/>
      <c r="J29" s="1156"/>
      <c r="K29" s="1156"/>
      <c r="L29" s="1157"/>
      <c r="M29" s="1156"/>
      <c r="N29" s="1156"/>
      <c r="O29" s="1156"/>
      <c r="S29" s="2386" t="s">
        <v>508</v>
      </c>
      <c r="T29" s="2386"/>
      <c r="U29" s="1160"/>
      <c r="V29" s="2388" t="str">
        <f>IF(TITLE_NUMBER_PR_CHANGE="",IF(TITLE_NUMBER_PR="","",TITLE_NUMBER_PR),TITLE_NUMBER_PR_CHANGE)</f>
        <v/>
      </c>
      <c r="W29" s="2388"/>
      <c r="X29" s="2388"/>
      <c r="Y29" s="2388"/>
      <c r="Z29" s="2388"/>
      <c r="AA29" s="2388"/>
      <c r="AB29" s="2388"/>
      <c r="AC29" s="2388"/>
      <c r="AD29" s="2388"/>
      <c r="AE29" s="2388"/>
      <c r="AF29" s="260"/>
      <c r="AG29" s="2388" t="str">
        <f>IF(TITLE_NUMBER_PR_CHANGE="",IF(TITLE_NUMBER_PR="","",TITLE_NUMBER_PR),TITLE_NUMBER_PR_CHANGE)</f>
        <v/>
      </c>
      <c r="AH29" s="2388"/>
      <c r="AI29" s="2388"/>
      <c r="AJ29" s="2388"/>
      <c r="AK29" s="2388"/>
      <c r="AL29" s="2388"/>
      <c r="AM29" s="2388"/>
      <c r="AN29" s="2388"/>
      <c r="AO29" s="2388"/>
      <c r="AP29" s="2388"/>
      <c r="AQ29" s="260"/>
      <c r="AR29" s="260"/>
      <c r="AS29" s="214"/>
      <c r="AT29" s="301"/>
      <c r="AU29" s="301"/>
      <c r="AV29" s="301"/>
      <c r="AW29" s="301"/>
      <c r="AX29" s="301"/>
      <c r="AY29" s="351">
        <v>0</v>
      </c>
    </row>
    <row r="30" spans="1:51" s="1609" customFormat="1" ht="18.75" hidden="1" customHeight="1">
      <c r="A30" s="1156"/>
      <c r="B30" s="1156"/>
      <c r="C30" s="1156"/>
      <c r="D30" s="1156"/>
      <c r="E30" s="1156"/>
      <c r="F30" s="1156"/>
      <c r="G30" s="1156"/>
      <c r="H30" s="1156"/>
      <c r="I30" s="1156"/>
      <c r="J30" s="1156"/>
      <c r="K30" s="1156"/>
      <c r="L30" s="1157"/>
      <c r="M30" s="1156"/>
      <c r="N30" s="1156"/>
      <c r="O30" s="1156"/>
      <c r="S30" s="2386" t="s">
        <v>29</v>
      </c>
      <c r="T30" s="2386"/>
      <c r="U30" s="1160"/>
      <c r="V30" s="2388" t="str">
        <f>IF(TITLE_IST_PUB_CHANGE="",IF(TITLE_IST_PUB="","",TITLE_IST_PUB),TITLE_IST_PUB_CHANGE)</f>
        <v/>
      </c>
      <c r="W30" s="2388"/>
      <c r="X30" s="2388"/>
      <c r="Y30" s="2388"/>
      <c r="Z30" s="2388"/>
      <c r="AA30" s="2388"/>
      <c r="AB30" s="2388"/>
      <c r="AC30" s="2388"/>
      <c r="AD30" s="2388"/>
      <c r="AE30" s="2388"/>
      <c r="AF30" s="260"/>
      <c r="AG30" s="2388" t="str">
        <f>IF(TITLE_IST_PUB_CHANGE="",IF(TITLE_IST_PUB="","",TITLE_IST_PUB),TITLE_IST_PUB_CHANGE)</f>
        <v/>
      </c>
      <c r="AH30" s="2388"/>
      <c r="AI30" s="2388"/>
      <c r="AJ30" s="2388"/>
      <c r="AK30" s="2388"/>
      <c r="AL30" s="2388"/>
      <c r="AM30" s="2388"/>
      <c r="AN30" s="2388"/>
      <c r="AO30" s="2388"/>
      <c r="AP30" s="2388"/>
      <c r="AQ30" s="260"/>
      <c r="AR30" s="260"/>
      <c r="AS30" s="214"/>
      <c r="AT30" s="301"/>
      <c r="AU30" s="301"/>
      <c r="AV30" s="301"/>
      <c r="AW30" s="301"/>
      <c r="AX30" s="301"/>
      <c r="AY30" s="351">
        <v>0</v>
      </c>
    </row>
    <row r="31" spans="1:51" ht="14.25" hidden="1" customHeight="1">
      <c r="Q31" s="309"/>
      <c r="R31" s="309"/>
      <c r="S31" s="1063"/>
      <c r="T31" s="296"/>
      <c r="U31" s="29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442"/>
      <c r="AY31" s="956">
        <v>0</v>
      </c>
    </row>
    <row r="32" spans="1:51" s="1609" customFormat="1" ht="18.75" hidden="1" customHeight="1">
      <c r="A32" s="1156"/>
      <c r="B32" s="1156"/>
      <c r="C32" s="1156"/>
      <c r="D32" s="1156"/>
      <c r="E32" s="1156"/>
      <c r="F32" s="1156"/>
      <c r="G32" s="1156"/>
      <c r="H32" s="1156"/>
      <c r="I32" s="1156"/>
      <c r="J32" s="1156"/>
      <c r="K32" s="1156"/>
      <c r="L32" s="1157"/>
      <c r="M32" s="1156"/>
      <c r="N32" s="1156"/>
      <c r="O32" s="1156"/>
      <c r="S32" s="2386" t="s">
        <v>509</v>
      </c>
      <c r="T32" s="2386"/>
      <c r="U32" s="1160"/>
      <c r="V32" s="2387" t="str">
        <f>IF(TITLE_DATE_PR_CHANGE="",IF(TITLE_DATE_PR="","",TITLE_DATE_PR),TITLE_DATE_PR_CHANGE)</f>
        <v/>
      </c>
      <c r="W32" s="2387"/>
      <c r="X32" s="2387"/>
      <c r="Y32" s="2387"/>
      <c r="Z32" s="2387"/>
      <c r="AA32" s="2387"/>
      <c r="AB32" s="2387"/>
      <c r="AC32" s="2387"/>
      <c r="AD32" s="2387"/>
      <c r="AE32" s="2387"/>
      <c r="AF32" s="260"/>
      <c r="AG32" s="2387" t="str">
        <f>IF(TITLE_DATE_PR_CHANGE="",IF(TITLE_DATE_PR="","",TITLE_DATE_PR),TITLE_DATE_PR_CHANGE)</f>
        <v/>
      </c>
      <c r="AH32" s="2387"/>
      <c r="AI32" s="2387"/>
      <c r="AJ32" s="2387"/>
      <c r="AK32" s="2387"/>
      <c r="AL32" s="2387"/>
      <c r="AM32" s="2387"/>
      <c r="AN32" s="2387"/>
      <c r="AO32" s="2387"/>
      <c r="AP32" s="2387"/>
      <c r="AQ32" s="260"/>
      <c r="AR32" s="260"/>
      <c r="AS32" s="214"/>
      <c r="AT32" s="301"/>
      <c r="AU32" s="301"/>
      <c r="AV32" s="301"/>
      <c r="AW32" s="301"/>
      <c r="AX32" s="301"/>
      <c r="AY32" s="351">
        <v>0</v>
      </c>
    </row>
    <row r="33" spans="1:51" s="1609" customFormat="1" ht="18.75" hidden="1" customHeight="1">
      <c r="A33" s="1156"/>
      <c r="B33" s="1156"/>
      <c r="C33" s="1156"/>
      <c r="D33" s="1156"/>
      <c r="E33" s="1156"/>
      <c r="F33" s="1156"/>
      <c r="G33" s="1156"/>
      <c r="H33" s="1156"/>
      <c r="I33" s="1156"/>
      <c r="J33" s="1156"/>
      <c r="K33" s="1156"/>
      <c r="L33" s="1157"/>
      <c r="M33" s="1156"/>
      <c r="N33" s="1156"/>
      <c r="O33" s="1156"/>
      <c r="S33" s="2386" t="s">
        <v>510</v>
      </c>
      <c r="T33" s="2386"/>
      <c r="U33" s="1160"/>
      <c r="V33" s="2388" t="str">
        <f>IF(TITLE_NUMBER_PR_CHANGE="",IF(TITLE_NUMBER_PR="","",TITLE_NUMBER_PR),TITLE_NUMBER_PR_CHANGE)</f>
        <v/>
      </c>
      <c r="W33" s="2388"/>
      <c r="X33" s="2388"/>
      <c r="Y33" s="2388"/>
      <c r="Z33" s="2388"/>
      <c r="AA33" s="2388"/>
      <c r="AB33" s="2388"/>
      <c r="AC33" s="2388"/>
      <c r="AD33" s="2388"/>
      <c r="AE33" s="2388"/>
      <c r="AF33" s="260"/>
      <c r="AG33" s="2388" t="str">
        <f>IF(TITLE_NUMBER_PR_CHANGE="",IF(TITLE_NUMBER_PR="","",TITLE_NUMBER_PR),TITLE_NUMBER_PR_CHANGE)</f>
        <v/>
      </c>
      <c r="AH33" s="2388"/>
      <c r="AI33" s="2388"/>
      <c r="AJ33" s="2388"/>
      <c r="AK33" s="2388"/>
      <c r="AL33" s="2388"/>
      <c r="AM33" s="2388"/>
      <c r="AN33" s="2388"/>
      <c r="AO33" s="2388"/>
      <c r="AP33" s="2388"/>
      <c r="AQ33" s="260"/>
      <c r="AR33" s="260"/>
      <c r="AS33" s="214"/>
      <c r="AT33" s="301"/>
      <c r="AU33" s="301"/>
      <c r="AV33" s="301"/>
      <c r="AW33" s="301"/>
      <c r="AX33" s="301"/>
      <c r="AY33" s="351">
        <v>0</v>
      </c>
    </row>
    <row r="34" spans="1:51" s="1609" customFormat="1" ht="1.1499999999999999" customHeight="1">
      <c r="A34" s="1156"/>
      <c r="B34" s="1156"/>
      <c r="C34" s="1156"/>
      <c r="D34" s="1156"/>
      <c r="E34" s="1156"/>
      <c r="F34" s="1156"/>
      <c r="G34" s="1156"/>
      <c r="H34" s="1156"/>
      <c r="I34" s="1156"/>
      <c r="J34" s="1156"/>
      <c r="K34" s="1156"/>
      <c r="L34" s="1157"/>
      <c r="M34" s="1156"/>
      <c r="N34" s="1156"/>
      <c r="O34" s="1156"/>
      <c r="S34" s="257"/>
      <c r="T34" s="257"/>
      <c r="U34" s="1276"/>
      <c r="V34" s="260"/>
      <c r="W34" s="1423"/>
      <c r="X34" s="1423"/>
      <c r="Y34" s="1423"/>
      <c r="Z34" s="1423"/>
      <c r="AA34" s="1423"/>
      <c r="AB34" s="260"/>
      <c r="AC34" s="260"/>
      <c r="AD34" s="260"/>
      <c r="AE34" s="260"/>
      <c r="AF34" s="212" t="s">
        <v>511</v>
      </c>
      <c r="AG34" s="260"/>
      <c r="AH34" s="1423"/>
      <c r="AI34" s="1423"/>
      <c r="AJ34" s="1423"/>
      <c r="AK34" s="1423"/>
      <c r="AL34" s="1423"/>
      <c r="AM34" s="260"/>
      <c r="AN34" s="260"/>
      <c r="AO34" s="260"/>
      <c r="AP34" s="260"/>
      <c r="AQ34" s="212" t="s">
        <v>511</v>
      </c>
      <c r="AT34" s="301"/>
      <c r="AU34" s="301"/>
      <c r="AV34" s="301"/>
      <c r="AW34" s="301"/>
      <c r="AX34" s="301"/>
      <c r="AY34" s="351">
        <v>1</v>
      </c>
    </row>
    <row r="35" spans="1:51" ht="14.65" customHeight="1">
      <c r="Q35" s="309"/>
      <c r="R35" s="309"/>
      <c r="S35" s="1063"/>
      <c r="T35" s="296"/>
      <c r="U35" s="1032"/>
      <c r="V35" s="2407"/>
      <c r="W35" s="2407"/>
      <c r="X35" s="2407"/>
      <c r="Y35" s="2407"/>
      <c r="Z35" s="2407"/>
      <c r="AA35" s="2407"/>
      <c r="AB35" s="2407"/>
      <c r="AC35" s="2407"/>
      <c r="AD35" s="2407"/>
      <c r="AE35" s="2407"/>
      <c r="AF35" s="2407"/>
      <c r="AG35" s="2407"/>
      <c r="AH35" s="2407"/>
      <c r="AI35" s="2407"/>
      <c r="AJ35" s="2407"/>
      <c r="AK35" s="2407"/>
      <c r="AL35" s="2407"/>
      <c r="AM35" s="2407"/>
      <c r="AN35" s="2407"/>
      <c r="AO35" s="2407"/>
      <c r="AP35" s="2407"/>
      <c r="AQ35" s="2407"/>
      <c r="AY35" s="956">
        <v>14</v>
      </c>
    </row>
    <row r="36" spans="1:51" ht="14.65" customHeight="1">
      <c r="Q36" s="309"/>
      <c r="R36" s="309"/>
      <c r="S36" s="2266" t="s">
        <v>384</v>
      </c>
      <c r="T36" s="2266"/>
      <c r="U36" s="2266"/>
      <c r="V36" s="2266"/>
      <c r="W36" s="2266"/>
      <c r="X36" s="2266"/>
      <c r="Y36" s="2266"/>
      <c r="Z36" s="2266"/>
      <c r="AA36" s="2266"/>
      <c r="AB36" s="2266"/>
      <c r="AC36" s="2266"/>
      <c r="AD36" s="2266"/>
      <c r="AE36" s="2266"/>
      <c r="AF36" s="2266"/>
      <c r="AG36" s="2266"/>
      <c r="AH36" s="2266"/>
      <c r="AI36" s="2266"/>
      <c r="AJ36" s="2266"/>
      <c r="AK36" s="2266"/>
      <c r="AL36" s="2266"/>
      <c r="AM36" s="2266"/>
      <c r="AN36" s="2266"/>
      <c r="AO36" s="2266"/>
      <c r="AP36" s="2266"/>
      <c r="AQ36" s="2266"/>
      <c r="AR36" s="2266"/>
      <c r="AS36" s="2266" t="s">
        <v>385</v>
      </c>
      <c r="AY36" s="956">
        <v>14</v>
      </c>
    </row>
    <row r="37" spans="1:51" ht="14.65" customHeight="1">
      <c r="Q37" s="309"/>
      <c r="R37" s="309"/>
      <c r="S37" s="2408" t="s">
        <v>75</v>
      </c>
      <c r="T37" s="2357" t="s">
        <v>512</v>
      </c>
      <c r="U37" s="235"/>
      <c r="V37" s="2409" t="s">
        <v>513</v>
      </c>
      <c r="W37" s="2410"/>
      <c r="X37" s="2410"/>
      <c r="Y37" s="2410"/>
      <c r="Z37" s="2410"/>
      <c r="AA37" s="2410"/>
      <c r="AB37" s="2410"/>
      <c r="AC37" s="2410"/>
      <c r="AD37" s="2410"/>
      <c r="AE37" s="2411"/>
      <c r="AF37" s="2412" t="s">
        <v>514</v>
      </c>
      <c r="AG37" s="2409" t="s">
        <v>513</v>
      </c>
      <c r="AH37" s="2410"/>
      <c r="AI37" s="2410"/>
      <c r="AJ37" s="2410"/>
      <c r="AK37" s="2410"/>
      <c r="AL37" s="2410"/>
      <c r="AM37" s="2410"/>
      <c r="AN37" s="2410"/>
      <c r="AO37" s="2410"/>
      <c r="AP37" s="2411"/>
      <c r="AQ37" s="2412" t="s">
        <v>515</v>
      </c>
      <c r="AR37" s="2415" t="s">
        <v>516</v>
      </c>
      <c r="AS37" s="2266"/>
      <c r="AY37" s="956">
        <v>14</v>
      </c>
    </row>
    <row r="38" spans="1:51" s="1423" customFormat="1" ht="19.899999999999999" customHeight="1">
      <c r="A38" s="1154"/>
      <c r="B38" s="1154"/>
      <c r="C38" s="1154"/>
      <c r="D38" s="1154"/>
      <c r="E38" s="1154"/>
      <c r="F38" s="1154"/>
      <c r="G38" s="1154"/>
      <c r="H38" s="1154"/>
      <c r="I38" s="1154"/>
      <c r="J38" s="1154"/>
      <c r="K38" s="1154"/>
      <c r="L38" s="1730"/>
      <c r="M38" s="1150"/>
      <c r="N38" s="1150"/>
      <c r="O38" s="1150"/>
      <c r="P38" s="1731"/>
      <c r="Q38" s="309"/>
      <c r="R38" s="309"/>
      <c r="S38" s="2408"/>
      <c r="T38" s="2357"/>
      <c r="U38" s="874"/>
      <c r="V38" s="2266" t="s">
        <v>616</v>
      </c>
      <c r="W38" s="2479" t="s">
        <v>617</v>
      </c>
      <c r="X38" s="2479"/>
      <c r="Y38" s="2479"/>
      <c r="Z38" s="2479" t="s">
        <v>618</v>
      </c>
      <c r="AA38" s="2479"/>
      <c r="AB38" s="2479"/>
      <c r="AC38" s="2328" t="s">
        <v>520</v>
      </c>
      <c r="AD38" s="2437"/>
      <c r="AE38" s="2329"/>
      <c r="AF38" s="2413"/>
      <c r="AG38" s="2266" t="s">
        <v>616</v>
      </c>
      <c r="AH38" s="2479" t="s">
        <v>617</v>
      </c>
      <c r="AI38" s="2479"/>
      <c r="AJ38" s="2479"/>
      <c r="AK38" s="2479" t="s">
        <v>618</v>
      </c>
      <c r="AL38" s="2479"/>
      <c r="AM38" s="2479"/>
      <c r="AN38" s="2328" t="s">
        <v>520</v>
      </c>
      <c r="AO38" s="2437"/>
      <c r="AP38" s="2329"/>
      <c r="AQ38" s="2413"/>
      <c r="AR38" s="2416"/>
      <c r="AS38" s="2266"/>
      <c r="AT38" s="1424"/>
      <c r="AU38" s="1424"/>
      <c r="AV38" s="1424"/>
      <c r="AW38" s="1424"/>
      <c r="AX38" s="1424"/>
      <c r="AY38" s="1419">
        <v>19</v>
      </c>
    </row>
    <row r="39" spans="1:51" ht="19.899999999999999" customHeight="1">
      <c r="Q39" s="309"/>
      <c r="R39" s="309"/>
      <c r="S39" s="2408"/>
      <c r="T39" s="2357"/>
      <c r="U39" s="874"/>
      <c r="V39" s="2266"/>
      <c r="W39" s="2479" t="s">
        <v>619</v>
      </c>
      <c r="X39" s="2479" t="s">
        <v>620</v>
      </c>
      <c r="Y39" s="2479"/>
      <c r="Z39" s="2479" t="s">
        <v>621</v>
      </c>
      <c r="AA39" s="2479" t="s">
        <v>620</v>
      </c>
      <c r="AB39" s="2479"/>
      <c r="AC39" s="2333"/>
      <c r="AD39" s="2438"/>
      <c r="AE39" s="2334"/>
      <c r="AF39" s="2413"/>
      <c r="AG39" s="2266"/>
      <c r="AH39" s="2479" t="s">
        <v>619</v>
      </c>
      <c r="AI39" s="2479" t="s">
        <v>620</v>
      </c>
      <c r="AJ39" s="2479"/>
      <c r="AK39" s="2479" t="s">
        <v>621</v>
      </c>
      <c r="AL39" s="2479" t="s">
        <v>620</v>
      </c>
      <c r="AM39" s="2479"/>
      <c r="AN39" s="2333"/>
      <c r="AO39" s="2438"/>
      <c r="AP39" s="2334"/>
      <c r="AQ39" s="2413"/>
      <c r="AR39" s="2416"/>
      <c r="AS39" s="2266"/>
      <c r="AY39" s="956">
        <v>19</v>
      </c>
    </row>
    <row r="40" spans="1:51" ht="61.9" customHeight="1">
      <c r="A40" s="1158"/>
      <c r="B40" s="1158" t="s">
        <v>226</v>
      </c>
      <c r="C40" s="1158" t="s">
        <v>227</v>
      </c>
      <c r="D40" s="1158" t="s">
        <v>228</v>
      </c>
      <c r="E40" s="1152" t="s">
        <v>521</v>
      </c>
      <c r="F40" s="1152" t="s">
        <v>522</v>
      </c>
      <c r="G40" s="1152" t="s">
        <v>523</v>
      </c>
      <c r="H40" s="1152"/>
      <c r="I40" s="1152" t="s">
        <v>574</v>
      </c>
      <c r="J40" s="1152" t="s">
        <v>526</v>
      </c>
      <c r="K40" s="1152" t="s">
        <v>575</v>
      </c>
      <c r="L40" s="1152" t="s">
        <v>502</v>
      </c>
      <c r="Q40" s="309"/>
      <c r="R40" s="309"/>
      <c r="S40" s="2408"/>
      <c r="T40" s="2357"/>
      <c r="U40" s="236"/>
      <c r="V40" s="2266"/>
      <c r="W40" s="2479"/>
      <c r="X40" s="1733" t="s">
        <v>622</v>
      </c>
      <c r="Y40" s="1733" t="s">
        <v>623</v>
      </c>
      <c r="Z40" s="2479"/>
      <c r="AA40" s="1733" t="s">
        <v>624</v>
      </c>
      <c r="AB40" s="1733" t="s">
        <v>625</v>
      </c>
      <c r="AC40" s="1277" t="s">
        <v>530</v>
      </c>
      <c r="AD40" s="2362" t="s">
        <v>531</v>
      </c>
      <c r="AE40" s="2375"/>
      <c r="AF40" s="2414"/>
      <c r="AG40" s="2266"/>
      <c r="AH40" s="2479"/>
      <c r="AI40" s="1733" t="s">
        <v>622</v>
      </c>
      <c r="AJ40" s="1733" t="s">
        <v>623</v>
      </c>
      <c r="AK40" s="2479"/>
      <c r="AL40" s="1733" t="s">
        <v>624</v>
      </c>
      <c r="AM40" s="1733" t="s">
        <v>625</v>
      </c>
      <c r="AN40" s="1277" t="s">
        <v>530</v>
      </c>
      <c r="AO40" s="2362" t="s">
        <v>531</v>
      </c>
      <c r="AP40" s="2375"/>
      <c r="AQ40" s="2414"/>
      <c r="AR40" s="2417"/>
      <c r="AS40" s="2266"/>
      <c r="AY40" s="956">
        <v>59</v>
      </c>
    </row>
    <row r="41" spans="1:51" s="1429" customFormat="1" ht="11.25" hidden="1" customHeight="1">
      <c r="A41" s="1158"/>
      <c r="B41" s="1158"/>
      <c r="C41" s="1158"/>
      <c r="D41" s="1158"/>
      <c r="E41" s="1158"/>
      <c r="F41" s="1158"/>
      <c r="G41" s="1158"/>
      <c r="H41" s="1158"/>
      <c r="I41" s="1158"/>
      <c r="J41" s="1158"/>
      <c r="K41" s="1158"/>
      <c r="L41" s="1152"/>
      <c r="M41" s="1150"/>
      <c r="N41" s="1150"/>
      <c r="O41" s="1150"/>
      <c r="P41" s="1034"/>
      <c r="Q41" s="1035"/>
      <c r="R41" s="1042">
        <v>1</v>
      </c>
      <c r="S41" s="1065" t="s">
        <v>161</v>
      </c>
      <c r="T41" s="1043" t="s">
        <v>89</v>
      </c>
      <c r="U41" s="1033" t="str">
        <f ca="1">OFFSET(U41,0,-1)</f>
        <v>2</v>
      </c>
      <c r="V41" s="1270">
        <f ca="1">OFFSET(V41,0,-1)+1</f>
        <v>3</v>
      </c>
      <c r="W41" s="1729"/>
      <c r="X41" s="1729"/>
      <c r="Y41" s="1729"/>
      <c r="Z41" s="1729"/>
      <c r="AA41" s="1729"/>
      <c r="AB41" s="1270">
        <f ca="1">OFFSET(AB41,0,-1)+1</f>
        <v>1</v>
      </c>
      <c r="AC41" s="1270">
        <f ca="1">OFFSET(AC41,0,-1)+1</f>
        <v>2</v>
      </c>
      <c r="AD41" s="2406">
        <f ca="1">OFFSET(AD41,0,-1)+1</f>
        <v>3</v>
      </c>
      <c r="AE41" s="2406"/>
      <c r="AF41" s="1270">
        <f ca="1">OFFSET(AF41,0,-2)+1</f>
        <v>4</v>
      </c>
      <c r="AG41" s="1270">
        <f ca="1">OFFSET(AG41,0,-1)+1</f>
        <v>5</v>
      </c>
      <c r="AH41" s="1729"/>
      <c r="AI41" s="1729"/>
      <c r="AJ41" s="1729"/>
      <c r="AK41" s="1729"/>
      <c r="AL41" s="1729"/>
      <c r="AM41" s="1270">
        <f ca="1">OFFSET(AM41,0,-1)+1</f>
        <v>1</v>
      </c>
      <c r="AN41" s="1270">
        <f ca="1">OFFSET(AN41,0,-1)+1</f>
        <v>2</v>
      </c>
      <c r="AO41" s="2406">
        <f ca="1">OFFSET(AO41,0,-1)+1</f>
        <v>3</v>
      </c>
      <c r="AP41" s="2406"/>
      <c r="AQ41" s="1270">
        <f ca="1">OFFSET(AQ41,0,-2)+1</f>
        <v>4</v>
      </c>
      <c r="AR41" s="1033">
        <f ca="1">OFFSET(AR41,0,-1)</f>
        <v>4</v>
      </c>
      <c r="AS41" s="1270">
        <f ca="1">OFFSET(AS41,0,-1)+1</f>
        <v>5</v>
      </c>
      <c r="AT41" s="444"/>
      <c r="AU41" s="444"/>
      <c r="AV41" s="444"/>
      <c r="AW41" s="444"/>
      <c r="AX41" s="444"/>
      <c r="AY41" s="429">
        <v>0</v>
      </c>
    </row>
    <row r="42" spans="1:51" ht="24" customHeight="1">
      <c r="A42" s="1151" t="s">
        <v>340</v>
      </c>
      <c r="B42" s="1151"/>
      <c r="C42" s="1151"/>
      <c r="D42" s="1151"/>
      <c r="E42" s="2395">
        <v>1</v>
      </c>
      <c r="F42" s="1151"/>
      <c r="G42" s="1151"/>
      <c r="H42" s="1151"/>
      <c r="I42" s="1151"/>
      <c r="J42" s="1151"/>
      <c r="K42" s="1151"/>
      <c r="L42" s="1152"/>
      <c r="M42" s="1153"/>
      <c r="N42" s="1153"/>
      <c r="O42" s="1153"/>
      <c r="P42" s="294"/>
      <c r="Q42" s="293"/>
      <c r="R42" s="288"/>
      <c r="S42" s="1281">
        <f>INDEX(PT_DIFFERENTIATION_NUM_NTAR,MATCH(A42,PT_DIFFERENTIATION_NTAR_ID,0))</f>
        <v>0</v>
      </c>
      <c r="T42" s="232" t="s">
        <v>214</v>
      </c>
      <c r="U42" s="234"/>
      <c r="V42" s="2389"/>
      <c r="W42" s="2390"/>
      <c r="X42" s="2390"/>
      <c r="Y42" s="2390"/>
      <c r="Z42" s="2390"/>
      <c r="AA42" s="2390"/>
      <c r="AB42" s="2390"/>
      <c r="AC42" s="2390"/>
      <c r="AD42" s="2390"/>
      <c r="AE42" s="2390"/>
      <c r="AF42" s="2391"/>
      <c r="AG42" s="2389" t="str">
        <f>INDEX(PT_DIFFERENTIATION_NTAR,MATCH(A42,PT_DIFFERENTIATION_NTAR_ID,0))</f>
        <v/>
      </c>
      <c r="AH42" s="2390"/>
      <c r="AI42" s="2390"/>
      <c r="AJ42" s="2390"/>
      <c r="AK42" s="2390"/>
      <c r="AL42" s="2390"/>
      <c r="AM42" s="2390"/>
      <c r="AN42" s="2390"/>
      <c r="AO42" s="2390"/>
      <c r="AP42" s="2390"/>
      <c r="AQ42" s="2390"/>
      <c r="AR42" s="2391"/>
      <c r="AS42" s="104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3"/>
      <c r="AV42" s="433" t="str">
        <f t="shared" ref="AV42:AV54" si="1">IF(T42="","",T42)</f>
        <v>Наименование тарифа</v>
      </c>
      <c r="AW42" s="433"/>
      <c r="AX42" s="433"/>
      <c r="AY42" s="956">
        <v>23</v>
      </c>
    </row>
    <row r="43" spans="1:51" ht="24" customHeight="1">
      <c r="A43" s="1151" t="s">
        <v>340</v>
      </c>
      <c r="B43" s="1151" t="s">
        <v>341</v>
      </c>
      <c r="C43" s="1151"/>
      <c r="D43" s="1151"/>
      <c r="E43" s="2396"/>
      <c r="F43" s="2395">
        <v>1</v>
      </c>
      <c r="G43" s="1151"/>
      <c r="H43" s="1151"/>
      <c r="I43" s="1151"/>
      <c r="J43" s="1151"/>
      <c r="K43" s="1151"/>
      <c r="L43" s="1152"/>
      <c r="M43" s="1153"/>
      <c r="N43" s="1153"/>
      <c r="O43" s="1153"/>
      <c r="P43" s="1275"/>
      <c r="Q43" s="285"/>
      <c r="R43" s="286"/>
      <c r="S43" s="1281" t="str">
        <f>INDEX(PT_DIFFERENTIATION_NUM_TER,MATCH(B43,PT_DIFFERENTIATION_TER_ID,0))</f>
        <v>.</v>
      </c>
      <c r="T43" s="242" t="s">
        <v>481</v>
      </c>
      <c r="U43" s="234"/>
      <c r="V43" s="2389"/>
      <c r="W43" s="2390"/>
      <c r="X43" s="2390"/>
      <c r="Y43" s="2390"/>
      <c r="Z43" s="2390"/>
      <c r="AA43" s="2390"/>
      <c r="AB43" s="2390"/>
      <c r="AC43" s="2390"/>
      <c r="AD43" s="2390"/>
      <c r="AE43" s="2390"/>
      <c r="AF43" s="2391"/>
      <c r="AG43" s="2389" t="str">
        <f>INDEX(PT_DIFFERENTIATION_TER,MATCH(B43,PT_DIFFERENTIATION_TER_ID,0))</f>
        <v/>
      </c>
      <c r="AH43" s="2390"/>
      <c r="AI43" s="2390"/>
      <c r="AJ43" s="2390"/>
      <c r="AK43" s="2390"/>
      <c r="AL43" s="2390"/>
      <c r="AM43" s="2390"/>
      <c r="AN43" s="2390"/>
      <c r="AO43" s="2390"/>
      <c r="AP43" s="2390"/>
      <c r="AQ43" s="2390"/>
      <c r="AR43" s="2391"/>
      <c r="AS43" s="1046" t="s">
        <v>482</v>
      </c>
      <c r="AU43" s="433"/>
      <c r="AV43" s="433" t="str">
        <f t="shared" si="1"/>
        <v>Территория действия тарифа</v>
      </c>
      <c r="AW43" s="433"/>
      <c r="AX43" s="433"/>
      <c r="AY43" s="956">
        <v>23</v>
      </c>
    </row>
    <row r="44" spans="1:51" ht="24" customHeight="1">
      <c r="A44" s="1151" t="s">
        <v>340</v>
      </c>
      <c r="B44" s="1151" t="s">
        <v>341</v>
      </c>
      <c r="C44" s="1151" t="s">
        <v>342</v>
      </c>
      <c r="D44" s="1151"/>
      <c r="E44" s="2396"/>
      <c r="F44" s="2396"/>
      <c r="G44" s="2395">
        <v>1</v>
      </c>
      <c r="H44" s="1151"/>
      <c r="I44" s="1151"/>
      <c r="J44" s="1151"/>
      <c r="K44" s="1151"/>
      <c r="L44" s="1152"/>
      <c r="M44" s="1153"/>
      <c r="N44" s="1153"/>
      <c r="O44" s="1153"/>
      <c r="P44" s="287"/>
      <c r="Q44" s="285"/>
      <c r="R44" s="286"/>
      <c r="S44" s="1281" t="str">
        <f>INDEX(PT_DIFFERENTIATION_NUM_CS,MATCH(C44,PT_DIFFERENTIATION_CS_ID,0))</f>
        <v>..</v>
      </c>
      <c r="T44" s="243" t="s">
        <v>614</v>
      </c>
      <c r="U44" s="234"/>
      <c r="V44" s="2389"/>
      <c r="W44" s="2390"/>
      <c r="X44" s="2390"/>
      <c r="Y44" s="2390"/>
      <c r="Z44" s="2390"/>
      <c r="AA44" s="2390"/>
      <c r="AB44" s="2390"/>
      <c r="AC44" s="2390"/>
      <c r="AD44" s="2390"/>
      <c r="AE44" s="2390"/>
      <c r="AF44" s="2391"/>
      <c r="AG44" s="2389" t="str">
        <f>INDEX(PT_DIFFERENTIATION_CS,MATCH(C44,PT_DIFFERENTIATION_CS_ID,0))</f>
        <v/>
      </c>
      <c r="AH44" s="2390"/>
      <c r="AI44" s="2390"/>
      <c r="AJ44" s="2390"/>
      <c r="AK44" s="2390"/>
      <c r="AL44" s="2390"/>
      <c r="AM44" s="2390"/>
      <c r="AN44" s="2390"/>
      <c r="AO44" s="2390"/>
      <c r="AP44" s="2390"/>
      <c r="AQ44" s="2390"/>
      <c r="AR44" s="2391"/>
      <c r="AS44" s="1046" t="s">
        <v>615</v>
      </c>
      <c r="AU44" s="433"/>
      <c r="AV44" s="433" t="str">
        <f t="shared" si="1"/>
        <v>Наименование централизованной системы горячего водоснабжения</v>
      </c>
      <c r="AW44" s="433"/>
      <c r="AX44" s="433"/>
      <c r="AY44" s="956">
        <v>23</v>
      </c>
    </row>
    <row r="45" spans="1:51" ht="24" customHeight="1">
      <c r="A45" s="1151" t="s">
        <v>340</v>
      </c>
      <c r="B45" s="1151" t="s">
        <v>341</v>
      </c>
      <c r="C45" s="1151" t="s">
        <v>342</v>
      </c>
      <c r="D45" s="1151" t="s">
        <v>627</v>
      </c>
      <c r="E45" s="2396"/>
      <c r="F45" s="2396"/>
      <c r="G45" s="2396"/>
      <c r="H45" s="2396"/>
      <c r="I45" s="2397" t="str">
        <f>S44&amp;".1"</f>
        <v>...1</v>
      </c>
      <c r="J45" s="1151"/>
      <c r="K45" s="1151"/>
      <c r="L45" s="1152"/>
      <c r="P45" s="2399">
        <v>1</v>
      </c>
      <c r="Q45" s="1269"/>
      <c r="R45" s="289"/>
      <c r="S45" s="1281" t="str">
        <f>$I45</f>
        <v>...1</v>
      </c>
      <c r="T45" s="219" t="s">
        <v>567</v>
      </c>
      <c r="U45" s="234"/>
      <c r="V45" s="2463"/>
      <c r="W45" s="2464"/>
      <c r="X45" s="2464"/>
      <c r="Y45" s="2464"/>
      <c r="Z45" s="2464"/>
      <c r="AA45" s="2464"/>
      <c r="AB45" s="2464"/>
      <c r="AC45" s="2464"/>
      <c r="AD45" s="2464"/>
      <c r="AE45" s="2464"/>
      <c r="AF45" s="2465"/>
      <c r="AG45" s="2466"/>
      <c r="AH45" s="2467"/>
      <c r="AI45" s="2467"/>
      <c r="AJ45" s="2467"/>
      <c r="AK45" s="2467"/>
      <c r="AL45" s="2467"/>
      <c r="AM45" s="2467"/>
      <c r="AN45" s="2467"/>
      <c r="AO45" s="2467"/>
      <c r="AP45" s="2467"/>
      <c r="AQ45" s="2467"/>
      <c r="AR45" s="2468"/>
      <c r="AS45" s="1046" t="s">
        <v>568</v>
      </c>
      <c r="AU45" s="433"/>
      <c r="AV45" s="433" t="str">
        <f t="shared" si="1"/>
        <v>Наименование признака дифференциации</v>
      </c>
      <c r="AW45" s="433"/>
      <c r="AX45" s="433"/>
      <c r="AY45" s="956">
        <v>23</v>
      </c>
    </row>
    <row r="46" spans="1:51" ht="24" customHeight="1">
      <c r="A46" s="1151" t="s">
        <v>340</v>
      </c>
      <c r="B46" s="1151" t="s">
        <v>341</v>
      </c>
      <c r="C46" s="1151" t="s">
        <v>342</v>
      </c>
      <c r="D46" s="1151" t="s">
        <v>627</v>
      </c>
      <c r="E46" s="2396"/>
      <c r="F46" s="2396"/>
      <c r="G46" s="2396"/>
      <c r="H46" s="2396"/>
      <c r="I46" s="2398"/>
      <c r="J46" s="2397" t="str">
        <f>I45&amp;".1"</f>
        <v>...1.1</v>
      </c>
      <c r="K46" s="1151"/>
      <c r="L46" s="1152" t="s">
        <v>490</v>
      </c>
      <c r="P46" s="2399"/>
      <c r="Q46" s="2399">
        <v>1</v>
      </c>
      <c r="R46" s="290"/>
      <c r="S46" s="1281" t="str">
        <f>$J46</f>
        <v>...1.1</v>
      </c>
      <c r="T46" s="220" t="s">
        <v>491</v>
      </c>
      <c r="U46" s="234"/>
      <c r="V46" s="2383"/>
      <c r="W46" s="2384"/>
      <c r="X46" s="2384"/>
      <c r="Y46" s="2384"/>
      <c r="Z46" s="2384"/>
      <c r="AA46" s="2384"/>
      <c r="AB46" s="2384"/>
      <c r="AC46" s="2384"/>
      <c r="AD46" s="2384"/>
      <c r="AE46" s="2384"/>
      <c r="AF46" s="2385"/>
      <c r="AG46" s="2383"/>
      <c r="AH46" s="2384"/>
      <c r="AI46" s="2384"/>
      <c r="AJ46" s="2384"/>
      <c r="AK46" s="2384"/>
      <c r="AL46" s="2384"/>
      <c r="AM46" s="2384"/>
      <c r="AN46" s="2384"/>
      <c r="AO46" s="2384"/>
      <c r="AP46" s="2384"/>
      <c r="AQ46" s="2384"/>
      <c r="AR46" s="2385"/>
      <c r="AS46" s="1095" t="s">
        <v>569</v>
      </c>
      <c r="AU46" s="433"/>
      <c r="AV46" s="433" t="str">
        <f t="shared" si="1"/>
        <v>Группа потребителей</v>
      </c>
      <c r="AW46" s="433"/>
      <c r="AX46" s="433"/>
      <c r="AY46" s="956">
        <v>23</v>
      </c>
    </row>
    <row r="47" spans="1:51" ht="24" customHeight="1">
      <c r="A47" s="1151" t="s">
        <v>340</v>
      </c>
      <c r="B47" s="1151" t="s">
        <v>341</v>
      </c>
      <c r="C47" s="1151" t="s">
        <v>342</v>
      </c>
      <c r="D47" s="1151" t="s">
        <v>627</v>
      </c>
      <c r="E47" s="2396"/>
      <c r="F47" s="2396"/>
      <c r="G47" s="2396"/>
      <c r="H47" s="2396"/>
      <c r="I47" s="2398"/>
      <c r="J47" s="2398"/>
      <c r="K47" s="2397" t="str">
        <f>J46&amp;".1"</f>
        <v>...1.1.1</v>
      </c>
      <c r="L47" s="1152"/>
      <c r="P47" s="2399"/>
      <c r="Q47" s="2399"/>
      <c r="R47" s="290">
        <v>1</v>
      </c>
      <c r="S47" s="1281" t="str">
        <f>$K47</f>
        <v>...1.1.1</v>
      </c>
      <c r="T47" s="1225"/>
      <c r="U47" s="234"/>
      <c r="V47" s="1148"/>
      <c r="W47" s="1148"/>
      <c r="X47" s="1148"/>
      <c r="Y47" s="1148"/>
      <c r="Z47" s="1148"/>
      <c r="AA47" s="1148"/>
      <c r="AB47" s="1149"/>
      <c r="AC47" s="2393"/>
      <c r="AD47" s="2392" t="s">
        <v>52</v>
      </c>
      <c r="AE47" s="2393"/>
      <c r="AF47" s="2392" t="s">
        <v>52</v>
      </c>
      <c r="AG47" s="658"/>
      <c r="AH47" s="658"/>
      <c r="AI47" s="658"/>
      <c r="AJ47" s="658"/>
      <c r="AK47" s="658"/>
      <c r="AL47" s="658"/>
      <c r="AM47" s="1045"/>
      <c r="AN47" s="2400"/>
      <c r="AO47" s="2276" t="s">
        <v>52</v>
      </c>
      <c r="AP47" s="2402"/>
      <c r="AQ47" s="2276" t="s">
        <v>6</v>
      </c>
      <c r="AR47" s="1226"/>
      <c r="AS47" s="246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4" t="e">
        <f ca="1">STRCHECKDATE(V48:AR48)</f>
        <v>#NAME?</v>
      </c>
      <c r="AU47" s="433"/>
      <c r="AV47" s="433" t="str">
        <f t="shared" si="1"/>
        <v/>
      </c>
      <c r="AW47" s="433"/>
      <c r="AX47" s="433"/>
      <c r="AY47" s="956">
        <v>23</v>
      </c>
    </row>
    <row r="48" spans="1:51" ht="0" hidden="1" customHeight="1">
      <c r="A48" s="1151" t="s">
        <v>340</v>
      </c>
      <c r="B48" s="1151" t="s">
        <v>341</v>
      </c>
      <c r="C48" s="1151" t="s">
        <v>342</v>
      </c>
      <c r="D48" s="1151" t="s">
        <v>627</v>
      </c>
      <c r="E48" s="2396"/>
      <c r="F48" s="2396"/>
      <c r="G48" s="2396"/>
      <c r="H48" s="2396"/>
      <c r="I48" s="2398"/>
      <c r="J48" s="2398"/>
      <c r="K48" s="2397"/>
      <c r="L48" s="1152"/>
      <c r="P48" s="2399"/>
      <c r="Q48" s="2399"/>
      <c r="R48" s="290"/>
      <c r="S48" s="1278"/>
      <c r="T48" s="234"/>
      <c r="U48" s="234"/>
      <c r="V48" s="1148"/>
      <c r="W48" s="1148"/>
      <c r="X48" s="1148"/>
      <c r="Y48" s="1148"/>
      <c r="Z48" s="1148"/>
      <c r="AA48" s="1148"/>
      <c r="AB48" s="262" t="str">
        <f>AC47&amp;"-"&amp;AE47</f>
        <v>-</v>
      </c>
      <c r="AC48" s="2392"/>
      <c r="AD48" s="2392"/>
      <c r="AE48" s="2392"/>
      <c r="AF48" s="2392"/>
      <c r="AG48" s="259"/>
      <c r="AH48" s="259"/>
      <c r="AI48" s="259"/>
      <c r="AJ48" s="259"/>
      <c r="AK48" s="259"/>
      <c r="AL48" s="259"/>
      <c r="AM48" s="262" t="str">
        <f>AN47&amp;"-"&amp;AP47</f>
        <v>-</v>
      </c>
      <c r="AN48" s="2401"/>
      <c r="AO48" s="2276"/>
      <c r="AP48" s="2403"/>
      <c r="AQ48" s="2276"/>
      <c r="AR48" s="1227"/>
      <c r="AS48" s="2469"/>
      <c r="AU48" s="433"/>
      <c r="AV48" s="433" t="str">
        <f t="shared" si="1"/>
        <v/>
      </c>
      <c r="AW48" s="433"/>
      <c r="AX48" s="433"/>
      <c r="AY48" s="956">
        <v>0</v>
      </c>
    </row>
    <row r="49" spans="1:51" ht="21" customHeight="1">
      <c r="A49" s="1151" t="s">
        <v>340</v>
      </c>
      <c r="B49" s="1151" t="s">
        <v>341</v>
      </c>
      <c r="C49" s="1151" t="s">
        <v>342</v>
      </c>
      <c r="D49" s="1151" t="s">
        <v>627</v>
      </c>
      <c r="E49" s="2396"/>
      <c r="F49" s="2396"/>
      <c r="G49" s="2396"/>
      <c r="H49" s="2396"/>
      <c r="I49" s="2398"/>
      <c r="J49" s="2397"/>
      <c r="K49" s="1151"/>
      <c r="L49" s="1152"/>
      <c r="P49" s="2399"/>
      <c r="Q49" s="2399"/>
      <c r="R49" s="289"/>
      <c r="S49" s="1066"/>
      <c r="T49" s="221" t="s">
        <v>570</v>
      </c>
      <c r="U49" s="300"/>
      <c r="V49" s="300"/>
      <c r="W49" s="531"/>
      <c r="X49" s="531"/>
      <c r="Y49" s="531"/>
      <c r="Z49" s="531"/>
      <c r="AA49" s="531"/>
      <c r="AB49" s="300"/>
      <c r="AC49" s="300"/>
      <c r="AD49" s="300"/>
      <c r="AE49" s="300"/>
      <c r="AF49" s="300"/>
      <c r="AG49" s="300"/>
      <c r="AH49" s="531"/>
      <c r="AI49" s="531"/>
      <c r="AJ49" s="531"/>
      <c r="AK49" s="531"/>
      <c r="AL49" s="531"/>
      <c r="AM49" s="300"/>
      <c r="AN49" s="300"/>
      <c r="AO49" s="300"/>
      <c r="AP49" s="300"/>
      <c r="AQ49" s="300"/>
      <c r="AR49" s="300"/>
      <c r="AS49" s="1046" t="s">
        <v>571</v>
      </c>
      <c r="AU49" s="433"/>
      <c r="AV49" s="433" t="str">
        <f t="shared" si="1"/>
        <v>Добавить значение признака дифференциации</v>
      </c>
      <c r="AW49" s="433"/>
      <c r="AX49" s="433"/>
      <c r="AY49" s="956">
        <v>20</v>
      </c>
    </row>
    <row r="50" spans="1:51" ht="21.95" customHeight="1">
      <c r="A50" s="1151" t="s">
        <v>340</v>
      </c>
      <c r="B50" s="1151" t="s">
        <v>341</v>
      </c>
      <c r="C50" s="1151" t="s">
        <v>342</v>
      </c>
      <c r="D50" s="1151" t="s">
        <v>627</v>
      </c>
      <c r="E50" s="2396"/>
      <c r="F50" s="2396"/>
      <c r="G50" s="2396"/>
      <c r="H50" s="2396"/>
      <c r="I50" s="2397"/>
      <c r="J50" s="1151"/>
      <c r="K50" s="1151"/>
      <c r="L50" s="1152"/>
      <c r="P50" s="2399"/>
      <c r="Q50" s="1269"/>
      <c r="R50" s="289"/>
      <c r="S50" s="1066"/>
      <c r="T50" s="298" t="s">
        <v>496</v>
      </c>
      <c r="U50" s="300"/>
      <c r="V50" s="300"/>
      <c r="W50" s="531"/>
      <c r="X50" s="531"/>
      <c r="Y50" s="531"/>
      <c r="Z50" s="531"/>
      <c r="AA50" s="531"/>
      <c r="AB50" s="300"/>
      <c r="AC50" s="300"/>
      <c r="AD50" s="300"/>
      <c r="AE50" s="300"/>
      <c r="AF50" s="299"/>
      <c r="AG50" s="300"/>
      <c r="AH50" s="531"/>
      <c r="AI50" s="531"/>
      <c r="AJ50" s="531"/>
      <c r="AK50" s="531"/>
      <c r="AL50" s="531"/>
      <c r="AM50" s="300"/>
      <c r="AN50" s="300"/>
      <c r="AO50" s="300"/>
      <c r="AP50" s="300"/>
      <c r="AQ50" s="299"/>
      <c r="AR50" s="300"/>
      <c r="AS50" s="1228"/>
      <c r="AU50" s="433"/>
      <c r="AV50" s="433" t="str">
        <f t="shared" si="1"/>
        <v>Добавить группу потребителей</v>
      </c>
      <c r="AW50" s="433"/>
      <c r="AX50" s="433"/>
      <c r="AY50" s="956">
        <v>21</v>
      </c>
    </row>
    <row r="51" spans="1:51" ht="21.95" customHeight="1">
      <c r="A51" s="1151" t="s">
        <v>340</v>
      </c>
      <c r="B51" s="1151" t="s">
        <v>341</v>
      </c>
      <c r="C51" s="1151" t="s">
        <v>342</v>
      </c>
      <c r="D51" s="1151" t="s">
        <v>627</v>
      </c>
      <c r="E51" s="2396"/>
      <c r="F51" s="2396"/>
      <c r="G51" s="2396"/>
      <c r="H51" s="2395"/>
      <c r="I51" s="1151"/>
      <c r="J51" s="1151"/>
      <c r="K51" s="1151"/>
      <c r="L51" s="1152"/>
      <c r="M51" s="1153"/>
      <c r="N51" s="1153"/>
      <c r="O51" s="469"/>
      <c r="P51" s="293"/>
      <c r="Q51" s="308"/>
      <c r="R51" s="288"/>
      <c r="S51" s="1066"/>
      <c r="T51" s="305" t="s">
        <v>572</v>
      </c>
      <c r="U51" s="300"/>
      <c r="V51" s="300"/>
      <c r="W51" s="531"/>
      <c r="X51" s="531"/>
      <c r="Y51" s="531"/>
      <c r="Z51" s="531"/>
      <c r="AA51" s="531"/>
      <c r="AB51" s="300"/>
      <c r="AC51" s="300"/>
      <c r="AD51" s="300"/>
      <c r="AE51" s="300"/>
      <c r="AF51" s="299"/>
      <c r="AG51" s="300"/>
      <c r="AH51" s="531"/>
      <c r="AI51" s="531"/>
      <c r="AJ51" s="531"/>
      <c r="AK51" s="531"/>
      <c r="AL51" s="531"/>
      <c r="AM51" s="300"/>
      <c r="AN51" s="300"/>
      <c r="AO51" s="300"/>
      <c r="AP51" s="300"/>
      <c r="AQ51" s="299"/>
      <c r="AR51" s="300"/>
      <c r="AS51" s="237"/>
      <c r="AU51" s="433"/>
      <c r="AV51" s="433" t="str">
        <f t="shared" si="1"/>
        <v>Добавить наименование признака дифференциации</v>
      </c>
      <c r="AW51" s="433"/>
      <c r="AX51" s="433"/>
      <c r="AY51" s="956">
        <v>21</v>
      </c>
    </row>
    <row r="52" spans="1:51" s="1430" customFormat="1" ht="0" hidden="1" customHeight="1">
      <c r="A52" s="1131" t="s">
        <v>340</v>
      </c>
      <c r="B52" s="1131" t="s">
        <v>341</v>
      </c>
      <c r="C52" s="1102"/>
      <c r="D52" s="1102"/>
      <c r="E52" s="2396"/>
      <c r="F52" s="2395"/>
      <c r="G52" s="1102"/>
      <c r="H52" s="1102"/>
      <c r="I52" s="1102"/>
      <c r="J52" s="1102"/>
      <c r="K52" s="1102"/>
      <c r="L52" s="1282"/>
      <c r="M52" s="1109"/>
      <c r="N52" s="1109"/>
      <c r="P52" s="1104"/>
      <c r="Q52" s="1105"/>
      <c r="R52" s="1104"/>
      <c r="S52" s="1110"/>
      <c r="T52" s="1113" t="s">
        <v>499</v>
      </c>
      <c r="U52" s="1112"/>
      <c r="V52" s="1112"/>
      <c r="W52" s="1112"/>
      <c r="X52" s="1112"/>
      <c r="Y52" s="1112"/>
      <c r="Z52" s="1112"/>
      <c r="AA52" s="1112"/>
      <c r="AB52" s="1112"/>
      <c r="AC52" s="1112"/>
      <c r="AD52" s="1112"/>
      <c r="AE52" s="1112"/>
      <c r="AF52" s="1112"/>
      <c r="AG52" s="1112"/>
      <c r="AH52" s="1112"/>
      <c r="AI52" s="1112"/>
      <c r="AJ52" s="1112"/>
      <c r="AK52" s="1112"/>
      <c r="AL52" s="1112"/>
      <c r="AM52" s="1112"/>
      <c r="AN52" s="1112"/>
      <c r="AO52" s="1112"/>
      <c r="AP52" s="1112"/>
      <c r="AQ52" s="1112"/>
      <c r="AR52" s="1112"/>
      <c r="AS52" s="1112"/>
      <c r="AU52" s="688"/>
      <c r="AV52" s="688" t="str">
        <f t="shared" si="1"/>
        <v>Добавить централизованную систему для дифференциации</v>
      </c>
      <c r="AW52" s="688"/>
      <c r="AX52" s="688"/>
      <c r="AY52" s="451">
        <v>0</v>
      </c>
    </row>
    <row r="53" spans="1:51" s="1430" customFormat="1" ht="0" hidden="1" customHeight="1">
      <c r="A53" s="1131" t="s">
        <v>340</v>
      </c>
      <c r="B53" s="1131"/>
      <c r="C53" s="1131"/>
      <c r="D53" s="1131"/>
      <c r="E53" s="2395"/>
      <c r="F53" s="1131"/>
      <c r="G53" s="1131"/>
      <c r="H53" s="1131"/>
      <c r="I53" s="1131"/>
      <c r="J53" s="1131"/>
      <c r="K53" s="1131"/>
      <c r="L53" s="1134"/>
      <c r="M53" s="1109"/>
      <c r="N53" s="1109"/>
      <c r="O53" s="451"/>
      <c r="P53" s="313"/>
      <c r="Q53" s="1132"/>
      <c r="R53" s="313"/>
      <c r="S53" s="1110"/>
      <c r="T53" s="1113" t="s">
        <v>500</v>
      </c>
      <c r="U53" s="1112"/>
      <c r="V53" s="1112"/>
      <c r="W53" s="1112"/>
      <c r="X53" s="1112"/>
      <c r="Y53" s="1112"/>
      <c r="Z53" s="1112"/>
      <c r="AA53" s="1112"/>
      <c r="AB53" s="1112"/>
      <c r="AC53" s="1112"/>
      <c r="AD53" s="1112"/>
      <c r="AE53" s="1112"/>
      <c r="AF53" s="1112"/>
      <c r="AG53" s="1112"/>
      <c r="AH53" s="1112"/>
      <c r="AI53" s="1112"/>
      <c r="AJ53" s="1112"/>
      <c r="AK53" s="1112"/>
      <c r="AL53" s="1112"/>
      <c r="AM53" s="1112"/>
      <c r="AN53" s="1112"/>
      <c r="AO53" s="1112"/>
      <c r="AP53" s="1112"/>
      <c r="AQ53" s="1112"/>
      <c r="AR53" s="1112"/>
      <c r="AS53" s="1112"/>
      <c r="AU53" s="433"/>
      <c r="AV53" s="433" t="str">
        <f t="shared" si="1"/>
        <v>Добавить территорию для дифференциации</v>
      </c>
      <c r="AW53" s="433"/>
      <c r="AX53" s="433"/>
      <c r="AY53" s="444">
        <v>0</v>
      </c>
    </row>
    <row r="54" spans="1:51" s="1430" customFormat="1" ht="0" hidden="1" customHeight="1">
      <c r="A54" s="1102"/>
      <c r="B54" s="1102"/>
      <c r="C54" s="1102"/>
      <c r="D54" s="1102"/>
      <c r="E54" s="1131"/>
      <c r="F54" s="1102"/>
      <c r="G54" s="1102"/>
      <c r="H54" s="1102"/>
      <c r="I54" s="1102"/>
      <c r="J54" s="1102"/>
      <c r="K54" s="1102"/>
      <c r="L54" s="1282"/>
      <c r="M54" s="1109"/>
      <c r="N54" s="1109"/>
      <c r="P54" s="1104"/>
      <c r="Q54" s="1105"/>
      <c r="R54" s="1104"/>
      <c r="S54" s="1110"/>
      <c r="T54" s="1113" t="s">
        <v>532</v>
      </c>
      <c r="U54" s="1112"/>
      <c r="V54" s="1112"/>
      <c r="W54" s="1112"/>
      <c r="X54" s="1112"/>
      <c r="Y54" s="1112"/>
      <c r="Z54" s="1112"/>
      <c r="AA54" s="1112"/>
      <c r="AB54" s="1112"/>
      <c r="AC54" s="1112"/>
      <c r="AD54" s="1112"/>
      <c r="AE54" s="1112"/>
      <c r="AF54" s="1112"/>
      <c r="AG54" s="1112"/>
      <c r="AH54" s="1112"/>
      <c r="AI54" s="1112"/>
      <c r="AJ54" s="1112"/>
      <c r="AK54" s="1112"/>
      <c r="AL54" s="1112"/>
      <c r="AM54" s="1112"/>
      <c r="AN54" s="1112"/>
      <c r="AO54" s="1112"/>
      <c r="AP54" s="1112"/>
      <c r="AQ54" s="1112"/>
      <c r="AR54" s="1112"/>
      <c r="AS54" s="1112"/>
      <c r="AU54" s="688"/>
      <c r="AV54" s="688" t="str">
        <f t="shared" si="1"/>
        <v>Добавить наименование тарифа</v>
      </c>
      <c r="AW54" s="688"/>
      <c r="AX54" s="688"/>
      <c r="AY54" s="451">
        <v>0</v>
      </c>
    </row>
    <row r="55" spans="1:51" ht="11.45" customHeight="1">
      <c r="M55" s="961"/>
      <c r="N55" s="961"/>
      <c r="O55" s="469"/>
      <c r="P55" s="956"/>
      <c r="Q55" s="956"/>
      <c r="R55" s="956"/>
      <c r="S55" s="956"/>
      <c r="AT55" s="956"/>
      <c r="AU55" s="956"/>
      <c r="AV55" s="956"/>
      <c r="AW55" s="956"/>
      <c r="AX55" s="956"/>
      <c r="AY55" s="956">
        <v>11</v>
      </c>
    </row>
    <row r="56" spans="1:51" ht="14.65" customHeight="1">
      <c r="O56" s="469"/>
      <c r="S56" s="1041"/>
      <c r="T56" s="2394"/>
      <c r="U56" s="2394"/>
      <c r="V56" s="2394"/>
      <c r="W56" s="2394"/>
      <c r="X56" s="2394"/>
      <c r="Y56" s="2394"/>
      <c r="Z56" s="2394"/>
      <c r="AA56" s="2394"/>
      <c r="AB56" s="2394"/>
      <c r="AC56" s="2394"/>
      <c r="AD56" s="2394"/>
      <c r="AE56" s="2394"/>
      <c r="AF56" s="2394"/>
      <c r="AG56" s="2394"/>
      <c r="AH56" s="2394"/>
      <c r="AI56" s="2394"/>
      <c r="AJ56" s="2394"/>
      <c r="AK56" s="2394"/>
      <c r="AL56" s="2394"/>
      <c r="AM56" s="2394"/>
      <c r="AN56" s="2394"/>
      <c r="AO56" s="2394"/>
      <c r="AP56" s="2394"/>
      <c r="AQ56" s="2394"/>
      <c r="AR56" s="2394"/>
      <c r="AS56" s="2394"/>
      <c r="AY56" s="956">
        <v>14</v>
      </c>
    </row>
    <row r="57" spans="1:51" ht="14.65" customHeight="1">
      <c r="O57" s="469"/>
      <c r="AY57" s="956">
        <v>14</v>
      </c>
    </row>
    <row r="58" spans="1:51" ht="14.65" customHeight="1">
      <c r="O58" s="469"/>
      <c r="S58" s="1041"/>
      <c r="T58" s="2394"/>
      <c r="U58" s="2394"/>
      <c r="V58" s="2394"/>
      <c r="W58" s="2394"/>
      <c r="X58" s="2394"/>
      <c r="Y58" s="2394"/>
      <c r="Z58" s="2394"/>
      <c r="AA58" s="2394"/>
      <c r="AB58" s="2394"/>
      <c r="AC58" s="2394"/>
      <c r="AD58" s="2394"/>
      <c r="AE58" s="2394"/>
      <c r="AF58" s="2394"/>
      <c r="AG58" s="2394"/>
      <c r="AH58" s="2394"/>
      <c r="AI58" s="2394"/>
      <c r="AJ58" s="2394"/>
      <c r="AK58" s="2394"/>
      <c r="AL58" s="2394"/>
      <c r="AM58" s="2394"/>
      <c r="AN58" s="2394"/>
      <c r="AO58" s="2394"/>
      <c r="AP58" s="2394"/>
      <c r="AQ58" s="2394"/>
      <c r="AR58" s="2394"/>
      <c r="AS58" s="2394"/>
      <c r="AY58" s="956">
        <v>14</v>
      </c>
    </row>
    <row r="59" spans="1:51" ht="22.5" hidden="1" customHeight="1">
      <c r="A59" s="961" t="s">
        <v>69</v>
      </c>
      <c r="B59" s="961">
        <v>0</v>
      </c>
      <c r="C59" s="961">
        <v>0</v>
      </c>
      <c r="D59" s="961">
        <v>0</v>
      </c>
      <c r="E59" s="961">
        <v>0</v>
      </c>
      <c r="F59" s="961">
        <v>0</v>
      </c>
      <c r="G59" s="961">
        <v>0</v>
      </c>
      <c r="H59" s="961">
        <v>0</v>
      </c>
      <c r="I59" s="961">
        <v>0</v>
      </c>
      <c r="J59" s="961">
        <v>0</v>
      </c>
      <c r="K59" s="961">
        <v>0</v>
      </c>
      <c r="L59" s="1266">
        <v>0</v>
      </c>
      <c r="M59" s="1150">
        <v>0</v>
      </c>
      <c r="N59" s="1150">
        <v>0</v>
      </c>
      <c r="O59" s="1150">
        <v>0</v>
      </c>
      <c r="P59" s="1261">
        <v>3</v>
      </c>
      <c r="Q59" s="278">
        <v>3</v>
      </c>
      <c r="R59" s="278">
        <v>3</v>
      </c>
      <c r="S59" s="512">
        <v>12</v>
      </c>
      <c r="T59" s="956">
        <v>35</v>
      </c>
      <c r="U59" s="956">
        <v>0</v>
      </c>
      <c r="V59" s="956">
        <v>0</v>
      </c>
      <c r="W59" s="1419">
        <v>0</v>
      </c>
      <c r="X59" s="1419">
        <v>0</v>
      </c>
      <c r="Y59" s="1419">
        <v>0</v>
      </c>
      <c r="Z59" s="1419">
        <v>0</v>
      </c>
      <c r="AA59" s="1419">
        <v>0</v>
      </c>
      <c r="AB59" s="956">
        <v>0</v>
      </c>
      <c r="AC59" s="956">
        <v>0</v>
      </c>
      <c r="AD59" s="956">
        <v>0</v>
      </c>
      <c r="AE59" s="956">
        <v>0</v>
      </c>
      <c r="AF59" s="956">
        <v>0</v>
      </c>
      <c r="AG59" s="956">
        <v>19</v>
      </c>
      <c r="AH59" s="1419">
        <v>19</v>
      </c>
      <c r="AI59" s="1419">
        <v>19</v>
      </c>
      <c r="AJ59" s="1419">
        <v>19</v>
      </c>
      <c r="AK59" s="1419">
        <v>19</v>
      </c>
      <c r="AL59" s="1419">
        <v>19</v>
      </c>
      <c r="AM59" s="956">
        <v>19</v>
      </c>
      <c r="AN59" s="956">
        <v>11</v>
      </c>
      <c r="AO59" s="956">
        <v>3</v>
      </c>
      <c r="AP59" s="956">
        <v>11</v>
      </c>
      <c r="AQ59" s="956">
        <v>0</v>
      </c>
      <c r="AR59" s="956">
        <v>4</v>
      </c>
      <c r="AS59" s="956">
        <v>115</v>
      </c>
      <c r="AT59" s="444">
        <v>10</v>
      </c>
      <c r="AU59" s="444">
        <v>10</v>
      </c>
      <c r="AV59" s="444">
        <v>10</v>
      </c>
      <c r="AW59" s="444">
        <v>10</v>
      </c>
      <c r="AX59" s="444">
        <v>10</v>
      </c>
      <c r="AY59" s="956">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154" hidden="1" customWidth="1"/>
    <col min="2" max="2" width="11" style="1154" hidden="1" customWidth="1"/>
    <col min="3" max="3" width="10.5703125" style="1154" hidden="1"/>
    <col min="4" max="4" width="12.85546875" style="1154" hidden="1" customWidth="1"/>
    <col min="5" max="5" width="10" style="1154" hidden="1" customWidth="1"/>
    <col min="6" max="6" width="8.7109375" style="1154" hidden="1" customWidth="1"/>
    <col min="7" max="7" width="7.5703125" style="1154" hidden="1" customWidth="1"/>
    <col min="8" max="8" width="11.42578125" style="1154" hidden="1" customWidth="1"/>
    <col min="9" max="9" width="12" style="1154" hidden="1" customWidth="1"/>
    <col min="10" max="10" width="9.85546875" style="1154" hidden="1" customWidth="1"/>
    <col min="11" max="11" width="11.42578125" style="1154" hidden="1" customWidth="1"/>
    <col min="12" max="12" width="19.140625" style="1866" hidden="1" customWidth="1"/>
    <col min="13" max="14" width="12.28515625" style="1535" hidden="1" customWidth="1"/>
    <col min="15" max="15" width="23.42578125" style="1535" hidden="1" customWidth="1"/>
    <col min="16" max="16" width="3.7109375" style="1535" hidden="1" customWidth="1"/>
    <col min="17" max="17" width="3.7109375" style="1159" hidden="1" customWidth="1"/>
    <col min="18" max="18" width="3" style="278" customWidth="1"/>
    <col min="19" max="19" width="12" style="1858" customWidth="1"/>
    <col min="20" max="20" width="31" style="1423" customWidth="1"/>
    <col min="21" max="21" width="0.140625" style="1423" customWidth="1"/>
    <col min="22" max="25" width="21.7109375" style="1423" hidden="1" customWidth="1"/>
    <col min="26" max="26" width="11.7109375" style="1423" hidden="1" customWidth="1"/>
    <col min="27" max="27" width="3.7109375" style="1423" hidden="1" customWidth="1"/>
    <col min="28" max="28" width="11.7109375" style="1423" hidden="1" customWidth="1"/>
    <col min="29" max="29" width="8.5703125" style="1423" hidden="1" customWidth="1"/>
    <col min="30" max="30" width="3.7109375" style="1423" customWidth="1"/>
    <col min="31" max="32" width="3" style="1423" customWidth="1"/>
    <col min="33" max="33" width="24" style="1423" customWidth="1"/>
    <col min="34" max="34" width="3.7109375" style="1423" customWidth="1"/>
    <col min="35" max="36" width="3" style="1423" customWidth="1"/>
    <col min="37" max="37" width="24" style="1423" customWidth="1"/>
    <col min="38" max="38" width="3.7109375" style="1423" customWidth="1"/>
    <col min="39" max="40" width="3" style="1423" customWidth="1"/>
    <col min="41" max="41" width="18" style="1423" customWidth="1"/>
    <col min="42" max="42" width="3.7109375" style="1423" customWidth="1"/>
    <col min="43" max="44" width="3" style="1423" customWidth="1"/>
    <col min="45" max="45" width="18" style="1423" customWidth="1"/>
    <col min="46" max="49" width="21" style="1423" customWidth="1"/>
    <col min="50" max="50" width="11" style="1423" customWidth="1"/>
    <col min="51" max="51" width="3.7109375" style="1423" customWidth="1"/>
    <col min="52" max="52" width="11" style="1423" customWidth="1"/>
    <col min="53" max="53" width="8.5703125" style="1423" hidden="1" customWidth="1"/>
    <col min="54" max="54" width="4" style="1423" customWidth="1"/>
    <col min="55" max="55" width="115" style="1423" customWidth="1"/>
    <col min="56" max="60" width="10" style="1430" customWidth="1"/>
    <col min="61" max="61" width="10.5703125" style="1423" hidden="1"/>
  </cols>
  <sheetData>
    <row r="1" spans="1:61" ht="22.5" hidden="1" customHeight="1">
      <c r="W1" s="261"/>
      <c r="Y1" s="261"/>
      <c r="Z1" s="261"/>
      <c r="AW1" s="261"/>
      <c r="AX1" s="261"/>
      <c r="BI1" s="956" t="s">
        <v>1</v>
      </c>
    </row>
    <row r="2" spans="1:61" ht="21" hidden="1" customHeight="1">
      <c r="A2" s="1151"/>
      <c r="B2" s="1151"/>
      <c r="C2" s="1151"/>
      <c r="D2" s="1151"/>
      <c r="E2" s="2395">
        <v>1</v>
      </c>
      <c r="F2" s="1151"/>
      <c r="G2" s="1151"/>
      <c r="H2" s="1151"/>
      <c r="I2" s="1151"/>
      <c r="J2" s="1151"/>
      <c r="K2" s="1151"/>
      <c r="L2" s="1152"/>
      <c r="M2" s="1153"/>
      <c r="N2" s="1153"/>
      <c r="O2" s="1153"/>
      <c r="P2" s="1197"/>
      <c r="Q2" s="772"/>
      <c r="R2" s="288"/>
      <c r="S2" s="1281" t="e">
        <f>INDEX(PT_DIFFERENTIATION_NUM_NTAR,MATCH(A2,PT_DIFFERENTIATION_NTAR_ID,0))</f>
        <v>#N/A</v>
      </c>
      <c r="T2" s="232" t="s">
        <v>214</v>
      </c>
      <c r="U2" s="234"/>
      <c r="V2" s="2390"/>
      <c r="W2" s="2390"/>
      <c r="X2" s="2390"/>
      <c r="Y2" s="2390"/>
      <c r="Z2" s="2390"/>
      <c r="AA2" s="2390"/>
      <c r="AB2" s="2390"/>
      <c r="AC2" s="2391"/>
      <c r="AD2" s="2389" t="e">
        <f>INDEX(PT_DIFFERENTIATION_NTAR,MATCH(A2,PT_DIFFERENTIATION_NTAR_ID,0))</f>
        <v>#N/A</v>
      </c>
      <c r="AE2" s="2390"/>
      <c r="AF2" s="2390"/>
      <c r="AG2" s="2390"/>
      <c r="AH2" s="2390"/>
      <c r="AI2" s="2390"/>
      <c r="AJ2" s="2390"/>
      <c r="AK2" s="2390"/>
      <c r="AL2" s="2390"/>
      <c r="AM2" s="2390"/>
      <c r="AN2" s="2390"/>
      <c r="AO2" s="2390"/>
      <c r="AP2" s="2390"/>
      <c r="AQ2" s="2390"/>
      <c r="AR2" s="2390"/>
      <c r="AS2" s="2390"/>
      <c r="AT2" s="2390"/>
      <c r="AU2" s="2390"/>
      <c r="AV2" s="2390"/>
      <c r="AW2" s="2390"/>
      <c r="AX2" s="2390"/>
      <c r="AY2" s="2390"/>
      <c r="AZ2" s="2390"/>
      <c r="BA2" s="2390"/>
      <c r="BB2" s="2391"/>
      <c r="BC2" s="104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3"/>
      <c r="BF2" s="433" t="str">
        <f t="shared" ref="BF2:BF8" si="0">IF(T2="","",T2)</f>
        <v>Наименование тарифа</v>
      </c>
      <c r="BG2" s="433"/>
      <c r="BH2" s="433"/>
      <c r="BI2" s="956">
        <v>0</v>
      </c>
    </row>
    <row r="3" spans="1:61" ht="21" hidden="1" customHeight="1">
      <c r="A3" s="1151"/>
      <c r="B3" s="1151"/>
      <c r="C3" s="1151"/>
      <c r="D3" s="1151"/>
      <c r="E3" s="2396"/>
      <c r="F3" s="2395">
        <v>1</v>
      </c>
      <c r="G3" s="1151"/>
      <c r="H3" s="1151"/>
      <c r="I3" s="1151"/>
      <c r="J3" s="1151"/>
      <c r="K3" s="1151"/>
      <c r="L3" s="1152"/>
      <c r="M3" s="1153"/>
      <c r="N3" s="1153"/>
      <c r="O3" s="1153"/>
      <c r="P3" s="1198"/>
      <c r="Q3" s="1199"/>
      <c r="R3" s="286"/>
      <c r="S3" s="1281" t="e">
        <f>INDEX(PT_DIFFERENTIATION_NUM_TER,MATCH(B3,PT_DIFFERENTIATION_TER_ID,0))</f>
        <v>#N/A</v>
      </c>
      <c r="T3" s="242" t="s">
        <v>481</v>
      </c>
      <c r="U3" s="234"/>
      <c r="V3" s="2390"/>
      <c r="W3" s="2390"/>
      <c r="X3" s="2390"/>
      <c r="Y3" s="2390"/>
      <c r="Z3" s="2390"/>
      <c r="AA3" s="2390"/>
      <c r="AB3" s="2390"/>
      <c r="AC3" s="2391"/>
      <c r="AD3" s="2389" t="e">
        <f>INDEX(PT_DIFFERENTIATION_TER,MATCH(B3,PT_DIFFERENTIATION_TER_ID,0))</f>
        <v>#N/A</v>
      </c>
      <c r="AE3" s="2390"/>
      <c r="AF3" s="2390"/>
      <c r="AG3" s="2390"/>
      <c r="AH3" s="2390"/>
      <c r="AI3" s="2390"/>
      <c r="AJ3" s="2390"/>
      <c r="AK3" s="2390"/>
      <c r="AL3" s="2390"/>
      <c r="AM3" s="2390"/>
      <c r="AN3" s="2390"/>
      <c r="AO3" s="2390"/>
      <c r="AP3" s="2390"/>
      <c r="AQ3" s="2390"/>
      <c r="AR3" s="2390"/>
      <c r="AS3" s="2390"/>
      <c r="AT3" s="2390"/>
      <c r="AU3" s="2390"/>
      <c r="AV3" s="2390"/>
      <c r="AW3" s="2390"/>
      <c r="AX3" s="2390"/>
      <c r="AY3" s="2390"/>
      <c r="AZ3" s="2390"/>
      <c r="BA3" s="2390"/>
      <c r="BB3" s="2391"/>
      <c r="BC3" s="1046" t="s">
        <v>482</v>
      </c>
      <c r="BE3" s="433"/>
      <c r="BF3" s="433" t="str">
        <f t="shared" si="0"/>
        <v>Территория действия тарифа</v>
      </c>
      <c r="BG3" s="433"/>
      <c r="BH3" s="433"/>
      <c r="BI3" s="956">
        <v>0</v>
      </c>
    </row>
    <row r="4" spans="1:61" ht="33.75" hidden="1" customHeight="1">
      <c r="A4" s="1151"/>
      <c r="B4" s="1151"/>
      <c r="C4" s="1151"/>
      <c r="D4" s="1151"/>
      <c r="E4" s="2396"/>
      <c r="F4" s="2396"/>
      <c r="G4" s="2395">
        <v>1</v>
      </c>
      <c r="H4" s="1151"/>
      <c r="I4" s="1151"/>
      <c r="J4" s="1151"/>
      <c r="K4" s="1151"/>
      <c r="L4" s="1152"/>
      <c r="M4" s="1153"/>
      <c r="N4" s="1153"/>
      <c r="O4" s="1153"/>
      <c r="P4" s="1200"/>
      <c r="Q4" s="1199"/>
      <c r="R4" s="286"/>
      <c r="S4" s="1281" t="e">
        <f>INDEX(PT_DIFFERENTIATION_NUM_CS,MATCH(C4,PT_DIFFERENTIATION_CS_ID,0))</f>
        <v>#N/A</v>
      </c>
      <c r="T4" s="243" t="s">
        <v>614</v>
      </c>
      <c r="U4" s="234"/>
      <c r="V4" s="2390"/>
      <c r="W4" s="2390"/>
      <c r="X4" s="2390"/>
      <c r="Y4" s="2390"/>
      <c r="Z4" s="2390"/>
      <c r="AA4" s="2390"/>
      <c r="AB4" s="2390"/>
      <c r="AC4" s="2391"/>
      <c r="AD4" s="2389" t="e">
        <f>INDEX(PT_DIFFERENTIATION_CS,MATCH(C4,PT_DIFFERENTIATION_CS_ID,0))</f>
        <v>#N/A</v>
      </c>
      <c r="AE4" s="2390"/>
      <c r="AF4" s="2390"/>
      <c r="AG4" s="2390"/>
      <c r="AH4" s="2390"/>
      <c r="AI4" s="2390"/>
      <c r="AJ4" s="2390"/>
      <c r="AK4" s="2390"/>
      <c r="AL4" s="2390"/>
      <c r="AM4" s="2390"/>
      <c r="AN4" s="2390"/>
      <c r="AO4" s="2390"/>
      <c r="AP4" s="2390"/>
      <c r="AQ4" s="2390"/>
      <c r="AR4" s="2390"/>
      <c r="AS4" s="2390"/>
      <c r="AT4" s="2390"/>
      <c r="AU4" s="2390"/>
      <c r="AV4" s="2390"/>
      <c r="AW4" s="2390"/>
      <c r="AX4" s="2390"/>
      <c r="AY4" s="2390"/>
      <c r="AZ4" s="2390"/>
      <c r="BA4" s="2390"/>
      <c r="BB4" s="2391"/>
      <c r="BC4" s="1046" t="s">
        <v>615</v>
      </c>
      <c r="BE4" s="433"/>
      <c r="BF4" s="433" t="str">
        <f t="shared" si="0"/>
        <v>Наименование централизованной системы горячего водоснабжения</v>
      </c>
      <c r="BG4" s="433"/>
      <c r="BH4" s="433"/>
      <c r="BI4" s="956">
        <v>0</v>
      </c>
    </row>
    <row r="5" spans="1:61" s="1430" customFormat="1" ht="14.25" hidden="1" customHeight="1">
      <c r="A5" s="1131"/>
      <c r="B5" s="1131"/>
      <c r="C5" s="1131"/>
      <c r="D5" s="1131"/>
      <c r="E5" s="2396"/>
      <c r="F5" s="2396"/>
      <c r="G5" s="2396"/>
      <c r="H5" s="2395">
        <v>1</v>
      </c>
      <c r="I5" s="1131"/>
      <c r="J5" s="1131"/>
      <c r="K5" s="1131"/>
      <c r="L5" s="1134"/>
      <c r="M5" s="1103"/>
      <c r="N5" s="1103"/>
      <c r="O5" s="1103"/>
      <c r="P5" s="1285"/>
      <c r="Q5" s="1286"/>
      <c r="R5" s="290"/>
      <c r="S5" s="881"/>
      <c r="T5" s="1287"/>
      <c r="U5" s="1172"/>
      <c r="V5" s="2427"/>
      <c r="W5" s="2427"/>
      <c r="X5" s="2427"/>
      <c r="Y5" s="2427"/>
      <c r="Z5" s="2427"/>
      <c r="AA5" s="2427"/>
      <c r="AB5" s="2427"/>
      <c r="AC5" s="2428"/>
      <c r="AD5" s="2426"/>
      <c r="AE5" s="2427"/>
      <c r="AF5" s="2427"/>
      <c r="AG5" s="2427"/>
      <c r="AH5" s="2427"/>
      <c r="AI5" s="2427"/>
      <c r="AJ5" s="2427"/>
      <c r="AK5" s="2427"/>
      <c r="AL5" s="2427"/>
      <c r="AM5" s="2427"/>
      <c r="AN5" s="2427"/>
      <c r="AO5" s="2427"/>
      <c r="AP5" s="2427"/>
      <c r="AQ5" s="2427"/>
      <c r="AR5" s="2427"/>
      <c r="AS5" s="2427"/>
      <c r="AT5" s="2427"/>
      <c r="AU5" s="2427"/>
      <c r="AV5" s="2427"/>
      <c r="AW5" s="2427"/>
      <c r="AX5" s="2427"/>
      <c r="AY5" s="2427"/>
      <c r="AZ5" s="2427"/>
      <c r="BA5" s="2427"/>
      <c r="BB5" s="2428"/>
      <c r="BC5" s="1173" t="s">
        <v>486</v>
      </c>
      <c r="BE5" s="433"/>
      <c r="BF5" s="433" t="str">
        <f t="shared" si="0"/>
        <v/>
      </c>
      <c r="BG5" s="433"/>
      <c r="BH5" s="433"/>
      <c r="BI5" s="444">
        <v>0</v>
      </c>
    </row>
    <row r="6" spans="1:61" s="1430" customFormat="1" ht="14.25" hidden="1" customHeight="1">
      <c r="A6" s="1131"/>
      <c r="B6" s="1131"/>
      <c r="C6" s="1131"/>
      <c r="D6" s="1131"/>
      <c r="E6" s="2396"/>
      <c r="F6" s="2396"/>
      <c r="G6" s="2396"/>
      <c r="H6" s="2396"/>
      <c r="I6" s="2397" t="str">
        <f>S5&amp;".1"</f>
        <v>.1</v>
      </c>
      <c r="J6" s="1131"/>
      <c r="K6" s="1131"/>
      <c r="L6" s="1134" t="s">
        <v>487</v>
      </c>
      <c r="M6" s="443"/>
      <c r="N6" s="443"/>
      <c r="O6" s="443"/>
      <c r="P6" s="2399">
        <v>1</v>
      </c>
      <c r="Q6" s="1269"/>
      <c r="R6" s="289"/>
      <c r="S6" s="881"/>
      <c r="T6" s="1171"/>
      <c r="U6" s="1172"/>
      <c r="V6" s="2427"/>
      <c r="W6" s="2427"/>
      <c r="X6" s="2427"/>
      <c r="Y6" s="2427"/>
      <c r="Z6" s="2427"/>
      <c r="AA6" s="2427"/>
      <c r="AB6" s="2427"/>
      <c r="AC6" s="2428"/>
      <c r="AD6" s="2426"/>
      <c r="AE6" s="2427"/>
      <c r="AF6" s="2427"/>
      <c r="AG6" s="2427"/>
      <c r="AH6" s="2427"/>
      <c r="AI6" s="2427"/>
      <c r="AJ6" s="2427"/>
      <c r="AK6" s="2427"/>
      <c r="AL6" s="2427"/>
      <c r="AM6" s="2427"/>
      <c r="AN6" s="2427"/>
      <c r="AO6" s="2427"/>
      <c r="AP6" s="2427"/>
      <c r="AQ6" s="2427"/>
      <c r="AR6" s="2427"/>
      <c r="AS6" s="2427"/>
      <c r="AT6" s="2427"/>
      <c r="AU6" s="2427"/>
      <c r="AV6" s="2427"/>
      <c r="AW6" s="2427"/>
      <c r="AX6" s="2427"/>
      <c r="AY6" s="2427"/>
      <c r="AZ6" s="2427"/>
      <c r="BA6" s="2427"/>
      <c r="BB6" s="2428"/>
      <c r="BC6" s="1173"/>
      <c r="BE6" s="433"/>
      <c r="BF6" s="433" t="str">
        <f t="shared" si="0"/>
        <v/>
      </c>
      <c r="BG6" s="433"/>
      <c r="BH6" s="433"/>
      <c r="BI6" s="444">
        <v>0</v>
      </c>
    </row>
    <row r="7" spans="1:61" s="1430" customFormat="1" ht="14.25" hidden="1" customHeight="1">
      <c r="A7" s="1131"/>
      <c r="B7" s="1131"/>
      <c r="C7" s="1131"/>
      <c r="D7" s="1131"/>
      <c r="E7" s="2396"/>
      <c r="F7" s="2396"/>
      <c r="G7" s="2396"/>
      <c r="H7" s="2396"/>
      <c r="I7" s="2398"/>
      <c r="J7" s="2397" t="str">
        <f>S5&amp;".1"</f>
        <v>.1</v>
      </c>
      <c r="K7" s="1131"/>
      <c r="L7" s="1134"/>
      <c r="M7" s="443"/>
      <c r="N7" s="443"/>
      <c r="O7" s="443"/>
      <c r="P7" s="2399"/>
      <c r="Q7" s="2399">
        <v>1</v>
      </c>
      <c r="R7" s="290"/>
      <c r="S7" s="881"/>
      <c r="T7" s="1187"/>
      <c r="U7" s="1172"/>
      <c r="V7" s="2427"/>
      <c r="W7" s="2427"/>
      <c r="X7" s="2427"/>
      <c r="Y7" s="2427"/>
      <c r="Z7" s="2427"/>
      <c r="AA7" s="2427"/>
      <c r="AB7" s="2427"/>
      <c r="AC7" s="2428"/>
      <c r="AD7" s="2426"/>
      <c r="AE7" s="2427"/>
      <c r="AF7" s="2427"/>
      <c r="AG7" s="2427"/>
      <c r="AH7" s="2427"/>
      <c r="AI7" s="2427"/>
      <c r="AJ7" s="2427"/>
      <c r="AK7" s="2427"/>
      <c r="AL7" s="2427"/>
      <c r="AM7" s="2427"/>
      <c r="AN7" s="2427"/>
      <c r="AO7" s="2427"/>
      <c r="AP7" s="2427"/>
      <c r="AQ7" s="2427"/>
      <c r="AR7" s="2427"/>
      <c r="AS7" s="2427"/>
      <c r="AT7" s="2427"/>
      <c r="AU7" s="2427"/>
      <c r="AV7" s="2427"/>
      <c r="AW7" s="2427"/>
      <c r="AX7" s="2427"/>
      <c r="AY7" s="2427"/>
      <c r="AZ7" s="2427"/>
      <c r="BA7" s="2427"/>
      <c r="BB7" s="2428"/>
      <c r="BC7" s="1173"/>
      <c r="BE7" s="433"/>
      <c r="BF7" s="433" t="str">
        <f t="shared" si="0"/>
        <v/>
      </c>
      <c r="BG7" s="433"/>
      <c r="BH7" s="433"/>
      <c r="BI7" s="444">
        <v>0</v>
      </c>
    </row>
    <row r="8" spans="1:61" ht="11.25" hidden="1" customHeight="1">
      <c r="A8" s="1151"/>
      <c r="B8" s="1151"/>
      <c r="C8" s="1151"/>
      <c r="D8" s="1151"/>
      <c r="E8" s="2396"/>
      <c r="F8" s="2396"/>
      <c r="G8" s="2396"/>
      <c r="H8" s="2396"/>
      <c r="I8" s="2398"/>
      <c r="J8" s="2398"/>
      <c r="K8" s="2397" t="e">
        <f>S4&amp;".1"</f>
        <v>#N/A</v>
      </c>
      <c r="L8" s="1152"/>
      <c r="P8" s="2399"/>
      <c r="Q8" s="2399"/>
      <c r="R8" s="2455">
        <v>1</v>
      </c>
      <c r="S8" s="2452" t="e">
        <f>$K8</f>
        <v>#N/A</v>
      </c>
      <c r="T8" s="2472"/>
      <c r="U8" s="234"/>
      <c r="V8" s="658"/>
      <c r="W8" s="1045"/>
      <c r="X8" s="658"/>
      <c r="Y8" s="1045"/>
      <c r="Z8" s="1493"/>
      <c r="AA8" s="1257" t="s">
        <v>52</v>
      </c>
      <c r="AB8" s="1493"/>
      <c r="AC8" s="1257" t="s">
        <v>52</v>
      </c>
      <c r="AD8" s="2340" t="s">
        <v>52</v>
      </c>
      <c r="AE8" s="2448"/>
      <c r="AF8" s="2353">
        <v>1</v>
      </c>
      <c r="AG8" s="2471"/>
      <c r="AH8" s="2276" t="s">
        <v>52</v>
      </c>
      <c r="AI8" s="2448"/>
      <c r="AJ8" s="2353">
        <v>1</v>
      </c>
      <c r="AK8" s="2462" t="s">
        <v>9</v>
      </c>
      <c r="AL8" s="2276" t="s">
        <v>52</v>
      </c>
      <c r="AM8" s="2328"/>
      <c r="AN8" s="2353">
        <v>1</v>
      </c>
      <c r="AO8" s="2475"/>
      <c r="AP8" s="2476" t="s">
        <v>52</v>
      </c>
      <c r="AQ8" s="245"/>
      <c r="AR8" s="1274">
        <v>1</v>
      </c>
      <c r="AS8" s="1280" t="s">
        <v>9</v>
      </c>
      <c r="AT8" s="658"/>
      <c r="AU8" s="1045"/>
      <c r="AV8" s="658"/>
      <c r="AW8" s="1045"/>
      <c r="AX8" s="1493"/>
      <c r="AY8" s="1257" t="s">
        <v>52</v>
      </c>
      <c r="AZ8" s="1493"/>
      <c r="BA8" s="1257" t="s">
        <v>52</v>
      </c>
      <c r="BB8" s="1136"/>
      <c r="BC8" s="2418" t="s">
        <v>585</v>
      </c>
      <c r="BE8" s="433"/>
      <c r="BF8" s="433" t="str">
        <f t="shared" si="0"/>
        <v/>
      </c>
      <c r="BG8" s="433"/>
      <c r="BH8" s="433"/>
      <c r="BI8" s="956">
        <v>0</v>
      </c>
    </row>
    <row r="9" spans="1:61" ht="11.25" hidden="1" customHeight="1">
      <c r="A9" s="1151"/>
      <c r="B9" s="1151"/>
      <c r="C9" s="1151"/>
      <c r="D9" s="1151"/>
      <c r="E9" s="2396"/>
      <c r="F9" s="2396"/>
      <c r="G9" s="2396"/>
      <c r="H9" s="2396"/>
      <c r="I9" s="2398"/>
      <c r="J9" s="2398"/>
      <c r="K9" s="2397"/>
      <c r="L9" s="1152"/>
      <c r="P9" s="2399"/>
      <c r="Q9" s="2399"/>
      <c r="R9" s="2455"/>
      <c r="S9" s="2453"/>
      <c r="T9" s="2473"/>
      <c r="U9" s="234"/>
      <c r="V9" s="1181"/>
      <c r="W9" s="1284"/>
      <c r="X9" s="1181"/>
      <c r="Y9" s="1284"/>
      <c r="Z9" s="1181"/>
      <c r="AA9" s="1181"/>
      <c r="AB9" s="1181"/>
      <c r="AC9" s="1181"/>
      <c r="AD9" s="2341"/>
      <c r="AE9" s="2448"/>
      <c r="AF9" s="2353"/>
      <c r="AG9" s="2471"/>
      <c r="AH9" s="2276"/>
      <c r="AI9" s="2448"/>
      <c r="AJ9" s="2353"/>
      <c r="AK9" s="2462"/>
      <c r="AL9" s="2276"/>
      <c r="AM9" s="2333"/>
      <c r="AN9" s="2353"/>
      <c r="AO9" s="2475"/>
      <c r="AP9" s="2477"/>
      <c r="AQ9" s="250"/>
      <c r="AR9" s="349"/>
      <c r="AS9" s="349" t="s">
        <v>586</v>
      </c>
      <c r="AT9" s="1181"/>
      <c r="AU9" s="1284"/>
      <c r="AV9" s="1181"/>
      <c r="AW9" s="1284"/>
      <c r="AX9" s="1181"/>
      <c r="AY9" s="1181"/>
      <c r="AZ9" s="1181"/>
      <c r="BA9" s="1181"/>
      <c r="BB9" s="1185"/>
      <c r="BC9" s="2419"/>
      <c r="BE9" s="433"/>
      <c r="BF9" s="433"/>
      <c r="BG9" s="433"/>
      <c r="BH9" s="433"/>
      <c r="BI9" s="956">
        <v>0</v>
      </c>
    </row>
    <row r="10" spans="1:61" ht="11.25" hidden="1" customHeight="1">
      <c r="A10" s="1151"/>
      <c r="B10" s="1151"/>
      <c r="C10" s="1151"/>
      <c r="D10" s="1151"/>
      <c r="E10" s="2396"/>
      <c r="F10" s="2396"/>
      <c r="G10" s="2396"/>
      <c r="H10" s="2396"/>
      <c r="I10" s="2398"/>
      <c r="J10" s="2398"/>
      <c r="K10" s="2397"/>
      <c r="L10" s="1152"/>
      <c r="P10" s="2399"/>
      <c r="Q10" s="2399"/>
      <c r="R10" s="2455"/>
      <c r="S10" s="2453"/>
      <c r="T10" s="2473"/>
      <c r="U10" s="234"/>
      <c r="V10" s="1181"/>
      <c r="W10" s="1284"/>
      <c r="X10" s="1181"/>
      <c r="Y10" s="1284"/>
      <c r="Z10" s="1181"/>
      <c r="AA10" s="1181"/>
      <c r="AB10" s="1181"/>
      <c r="AC10" s="1181"/>
      <c r="AD10" s="2341"/>
      <c r="AE10" s="2448"/>
      <c r="AF10" s="2353"/>
      <c r="AG10" s="2471"/>
      <c r="AH10" s="2276"/>
      <c r="AI10" s="2448"/>
      <c r="AJ10" s="2353"/>
      <c r="AK10" s="2462"/>
      <c r="AL10" s="2276"/>
      <c r="AM10" s="250"/>
      <c r="AN10" s="1288"/>
      <c r="AO10" s="1288" t="s">
        <v>587</v>
      </c>
      <c r="AP10" s="349"/>
      <c r="AQ10" s="349"/>
      <c r="AR10" s="349"/>
      <c r="AS10" s="1181"/>
      <c r="AT10" s="1181"/>
      <c r="AU10" s="1284"/>
      <c r="AV10" s="1181"/>
      <c r="AW10" s="1284"/>
      <c r="AX10" s="1181"/>
      <c r="AY10" s="1181"/>
      <c r="AZ10" s="1181"/>
      <c r="BA10" s="1181"/>
      <c r="BB10" s="1185"/>
      <c r="BC10" s="2419"/>
      <c r="BE10" s="433"/>
      <c r="BF10" s="433"/>
      <c r="BG10" s="433"/>
      <c r="BH10" s="433"/>
      <c r="BI10" s="956">
        <v>0</v>
      </c>
    </row>
    <row r="11" spans="1:61" ht="11.25" hidden="1" customHeight="1">
      <c r="A11" s="1151"/>
      <c r="B11" s="1151"/>
      <c r="C11" s="1151"/>
      <c r="D11" s="1151"/>
      <c r="E11" s="2396"/>
      <c r="F11" s="2396"/>
      <c r="G11" s="2396"/>
      <c r="H11" s="2396"/>
      <c r="I11" s="2398"/>
      <c r="J11" s="2398"/>
      <c r="K11" s="2397"/>
      <c r="L11" s="1152"/>
      <c r="P11" s="2399"/>
      <c r="Q11" s="2399"/>
      <c r="R11" s="2455"/>
      <c r="S11" s="2453"/>
      <c r="T11" s="2473"/>
      <c r="U11" s="234"/>
      <c r="V11" s="1181"/>
      <c r="W11" s="1284"/>
      <c r="X11" s="1181"/>
      <c r="Y11" s="1284"/>
      <c r="Z11" s="1181"/>
      <c r="AA11" s="1181"/>
      <c r="AB11" s="1181"/>
      <c r="AC11" s="1181"/>
      <c r="AD11" s="2341"/>
      <c r="AE11" s="2448"/>
      <c r="AF11" s="2353"/>
      <c r="AG11" s="2471"/>
      <c r="AH11" s="2276"/>
      <c r="AI11" s="228"/>
      <c r="AJ11" s="348"/>
      <c r="AK11" s="247" t="s">
        <v>588</v>
      </c>
      <c r="AL11" s="1181"/>
      <c r="AM11" s="1181"/>
      <c r="AN11" s="1181"/>
      <c r="AO11" s="1181"/>
      <c r="AP11" s="1181"/>
      <c r="AQ11" s="1181"/>
      <c r="AR11" s="1181"/>
      <c r="AS11" s="1181"/>
      <c r="AT11" s="1181"/>
      <c r="AU11" s="1284"/>
      <c r="AV11" s="1181"/>
      <c r="AW11" s="1284"/>
      <c r="AX11" s="1181"/>
      <c r="AY11" s="1181"/>
      <c r="AZ11" s="1181"/>
      <c r="BA11" s="1181"/>
      <c r="BB11" s="1185"/>
      <c r="BC11" s="2419"/>
      <c r="BE11" s="433"/>
      <c r="BF11" s="433"/>
      <c r="BG11" s="433"/>
      <c r="BH11" s="433"/>
      <c r="BI11" s="956">
        <v>0</v>
      </c>
    </row>
    <row r="12" spans="1:61" ht="11.25" hidden="1" customHeight="1">
      <c r="A12" s="1151"/>
      <c r="B12" s="1151"/>
      <c r="C12" s="1151"/>
      <c r="D12" s="1151"/>
      <c r="E12" s="2396"/>
      <c r="F12" s="2396"/>
      <c r="G12" s="2396"/>
      <c r="H12" s="2396"/>
      <c r="I12" s="2398"/>
      <c r="J12" s="2398"/>
      <c r="K12" s="2397"/>
      <c r="L12" s="1152"/>
      <c r="P12" s="2399"/>
      <c r="Q12" s="2399"/>
      <c r="R12" s="2455"/>
      <c r="S12" s="2454"/>
      <c r="T12" s="2474"/>
      <c r="U12" s="234"/>
      <c r="V12" s="1181"/>
      <c r="W12" s="1182" t="str">
        <f>Z8&amp;"-"&amp;AB8</f>
        <v>-</v>
      </c>
      <c r="X12" s="1181"/>
      <c r="Y12" s="1182" t="str">
        <f>AB8&amp;"-"&amp;AD8</f>
        <v>-да</v>
      </c>
      <c r="Z12" s="1181"/>
      <c r="AA12" s="1181"/>
      <c r="AB12" s="1181"/>
      <c r="AC12" s="1181"/>
      <c r="AD12" s="2282"/>
      <c r="AE12" s="246"/>
      <c r="AF12" s="248"/>
      <c r="AG12" s="349" t="s">
        <v>589</v>
      </c>
      <c r="AH12" s="1181"/>
      <c r="AI12" s="1181"/>
      <c r="AJ12" s="1181"/>
      <c r="AK12" s="1181"/>
      <c r="AL12" s="1181"/>
      <c r="AM12" s="1181"/>
      <c r="AN12" s="1181"/>
      <c r="AO12" s="1181"/>
      <c r="AP12" s="1181"/>
      <c r="AQ12" s="1181"/>
      <c r="AR12" s="1181"/>
      <c r="AS12" s="1181"/>
      <c r="AT12" s="1181"/>
      <c r="AU12" s="1182" t="str">
        <f>AX8&amp;"-"&amp;AZ8</f>
        <v>-</v>
      </c>
      <c r="AV12" s="1181"/>
      <c r="AW12" s="1182" t="str">
        <f>AZ8&amp;"-"&amp;BB8</f>
        <v>-</v>
      </c>
      <c r="AX12" s="1181"/>
      <c r="AY12" s="1181"/>
      <c r="AZ12" s="1181"/>
      <c r="BA12" s="1181"/>
      <c r="BB12" s="1184" t="str">
        <f>BE8&amp;"-"&amp;BG8</f>
        <v>-</v>
      </c>
      <c r="BC12" s="2419"/>
      <c r="BE12" s="433"/>
      <c r="BF12" s="433" t="str">
        <f t="shared" ref="BF12:BF18" si="1">IF(T12="","",T12)</f>
        <v/>
      </c>
      <c r="BG12" s="433"/>
      <c r="BH12" s="433"/>
      <c r="BI12" s="956">
        <v>0</v>
      </c>
    </row>
    <row r="13" spans="1:61" ht="11.25" hidden="1" customHeight="1">
      <c r="A13" s="1151"/>
      <c r="B13" s="1151"/>
      <c r="C13" s="1151"/>
      <c r="D13" s="1151"/>
      <c r="E13" s="2396"/>
      <c r="F13" s="2396"/>
      <c r="G13" s="2396"/>
      <c r="H13" s="2396"/>
      <c r="I13" s="2398"/>
      <c r="J13" s="2397"/>
      <c r="K13" s="1151"/>
      <c r="L13" s="1152"/>
      <c r="P13" s="2399"/>
      <c r="Q13" s="2399"/>
      <c r="R13" s="289"/>
      <c r="S13" s="1066"/>
      <c r="T13" s="221" t="s">
        <v>552</v>
      </c>
      <c r="U13" s="300"/>
      <c r="V13" s="300"/>
      <c r="W13" s="300"/>
      <c r="X13" s="300"/>
      <c r="Y13" s="300"/>
      <c r="Z13" s="300"/>
      <c r="AA13" s="300"/>
      <c r="AB13" s="300"/>
      <c r="AC13" s="300"/>
      <c r="AD13" s="1293"/>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258"/>
      <c r="BC13" s="2420"/>
      <c r="BE13" s="433"/>
      <c r="BF13" s="433" t="str">
        <f t="shared" si="1"/>
        <v>Добавить строку</v>
      </c>
      <c r="BG13" s="433"/>
      <c r="BH13" s="433"/>
      <c r="BI13" s="956">
        <v>0</v>
      </c>
    </row>
    <row r="14" spans="1:61" s="1430" customFormat="1" ht="14.25" hidden="1" customHeight="1">
      <c r="A14" s="1131"/>
      <c r="B14" s="1131"/>
      <c r="C14" s="1131"/>
      <c r="D14" s="1131"/>
      <c r="E14" s="2396"/>
      <c r="F14" s="2396"/>
      <c r="G14" s="2396"/>
      <c r="H14" s="2396"/>
      <c r="I14" s="2397"/>
      <c r="J14" s="1131"/>
      <c r="K14" s="1131"/>
      <c r="L14" s="1134"/>
      <c r="M14" s="443"/>
      <c r="N14" s="443"/>
      <c r="O14" s="443"/>
      <c r="P14" s="2399"/>
      <c r="Q14" s="1269"/>
      <c r="R14" s="289"/>
      <c r="S14" s="1174"/>
      <c r="T14" s="1175"/>
      <c r="U14" s="1176"/>
      <c r="V14" s="1176"/>
      <c r="W14" s="1176"/>
      <c r="X14" s="1176"/>
      <c r="Y14" s="1176"/>
      <c r="Z14" s="1176"/>
      <c r="AA14" s="1176"/>
      <c r="AB14" s="1176"/>
      <c r="AC14" s="1176"/>
      <c r="AD14" s="1176"/>
      <c r="AE14" s="1176"/>
      <c r="AF14" s="1176"/>
      <c r="AG14" s="1176"/>
      <c r="AH14" s="1176"/>
      <c r="AI14" s="1176"/>
      <c r="AJ14" s="1176"/>
      <c r="AK14" s="1176"/>
      <c r="AL14" s="1176"/>
      <c r="AM14" s="1176"/>
      <c r="AN14" s="1176"/>
      <c r="AO14" s="1176"/>
      <c r="AP14" s="1176"/>
      <c r="AQ14" s="1176"/>
      <c r="AR14" s="1176"/>
      <c r="AS14" s="1176"/>
      <c r="AT14" s="1176"/>
      <c r="AU14" s="1176"/>
      <c r="AV14" s="1176"/>
      <c r="AW14" s="1176"/>
      <c r="AX14" s="1176"/>
      <c r="AY14" s="1176"/>
      <c r="AZ14" s="1176"/>
      <c r="BA14" s="1176"/>
      <c r="BB14" s="1176"/>
      <c r="BC14" s="1177"/>
      <c r="BE14" s="433"/>
      <c r="BF14" s="433" t="str">
        <f t="shared" si="1"/>
        <v/>
      </c>
      <c r="BG14" s="433"/>
      <c r="BH14" s="433"/>
      <c r="BI14" s="444">
        <v>0</v>
      </c>
    </row>
    <row r="15" spans="1:61" s="1430" customFormat="1" ht="14.25" hidden="1" customHeight="1">
      <c r="A15" s="1131"/>
      <c r="B15" s="1131"/>
      <c r="C15" s="1131"/>
      <c r="D15" s="1131"/>
      <c r="E15" s="2396"/>
      <c r="F15" s="2396"/>
      <c r="G15" s="2396"/>
      <c r="H15" s="2395"/>
      <c r="I15" s="1131"/>
      <c r="J15" s="1131"/>
      <c r="K15" s="1131"/>
      <c r="L15" s="1134"/>
      <c r="M15" s="1103"/>
      <c r="N15" s="1103"/>
      <c r="O15" s="451"/>
      <c r="P15" s="313"/>
      <c r="Q15" s="1132"/>
      <c r="R15" s="1189"/>
      <c r="S15" s="1174"/>
      <c r="T15" s="1175"/>
      <c r="U15" s="1176"/>
      <c r="V15" s="1176"/>
      <c r="W15" s="1176"/>
      <c r="X15" s="1176"/>
      <c r="Y15" s="1176"/>
      <c r="Z15" s="1176"/>
      <c r="AA15" s="1176"/>
      <c r="AB15" s="1176"/>
      <c r="AC15" s="1176"/>
      <c r="AD15" s="1176"/>
      <c r="AE15" s="1176"/>
      <c r="AF15" s="1176"/>
      <c r="AG15" s="1176"/>
      <c r="AH15" s="1176"/>
      <c r="AI15" s="1176"/>
      <c r="AJ15" s="1176"/>
      <c r="AK15" s="1176"/>
      <c r="AL15" s="1176"/>
      <c r="AM15" s="1176"/>
      <c r="AN15" s="1176"/>
      <c r="AO15" s="1176"/>
      <c r="AP15" s="1176"/>
      <c r="AQ15" s="1176"/>
      <c r="AR15" s="1176"/>
      <c r="AS15" s="1176"/>
      <c r="AT15" s="1176"/>
      <c r="AU15" s="1176"/>
      <c r="AV15" s="1176"/>
      <c r="AW15" s="1176"/>
      <c r="AX15" s="1176"/>
      <c r="AY15" s="1176"/>
      <c r="AZ15" s="1176"/>
      <c r="BA15" s="1176"/>
      <c r="BB15" s="1176"/>
      <c r="BC15" s="1177"/>
      <c r="BE15" s="433"/>
      <c r="BF15" s="433" t="str">
        <f t="shared" si="1"/>
        <v/>
      </c>
      <c r="BG15" s="433"/>
      <c r="BH15" s="433"/>
      <c r="BI15" s="444">
        <v>0</v>
      </c>
    </row>
    <row r="16" spans="1:61" s="1430" customFormat="1" ht="14.25" hidden="1" customHeight="1">
      <c r="A16" s="1131"/>
      <c r="B16" s="1131"/>
      <c r="C16" s="1131"/>
      <c r="D16" s="1102"/>
      <c r="E16" s="2396"/>
      <c r="F16" s="2396"/>
      <c r="G16" s="2395"/>
      <c r="H16" s="1102"/>
      <c r="I16" s="1102"/>
      <c r="J16" s="1102"/>
      <c r="K16" s="1102"/>
      <c r="L16" s="1282"/>
      <c r="M16" s="1103"/>
      <c r="N16" s="1103"/>
      <c r="P16" s="1104"/>
      <c r="Q16" s="1105"/>
      <c r="R16" s="1104"/>
      <c r="S16" s="1110"/>
      <c r="T16" s="1113"/>
      <c r="U16" s="1112"/>
      <c r="V16" s="1112"/>
      <c r="W16" s="1112"/>
      <c r="X16" s="1112"/>
      <c r="Y16" s="1112"/>
      <c r="Z16" s="1112"/>
      <c r="AA16" s="1112"/>
      <c r="AB16" s="1112"/>
      <c r="AC16" s="1112"/>
      <c r="AD16" s="1112"/>
      <c r="AE16" s="1112"/>
      <c r="AF16" s="1112"/>
      <c r="AG16" s="1112"/>
      <c r="AH16" s="1112"/>
      <c r="AI16" s="1112"/>
      <c r="AJ16" s="1112"/>
      <c r="AK16" s="1112"/>
      <c r="AL16" s="1112"/>
      <c r="AM16" s="1112"/>
      <c r="AN16" s="1112"/>
      <c r="AO16" s="1112"/>
      <c r="AP16" s="1112"/>
      <c r="AQ16" s="1112"/>
      <c r="AR16" s="1112"/>
      <c r="AS16" s="1112"/>
      <c r="AT16" s="1112"/>
      <c r="AU16" s="1112"/>
      <c r="AV16" s="1112"/>
      <c r="AW16" s="1112"/>
      <c r="AX16" s="1112"/>
      <c r="AY16" s="1112"/>
      <c r="AZ16" s="1112"/>
      <c r="BA16" s="1112"/>
      <c r="BB16" s="1112"/>
      <c r="BC16" s="1112"/>
      <c r="BE16" s="688"/>
      <c r="BF16" s="688" t="str">
        <f t="shared" si="1"/>
        <v/>
      </c>
      <c r="BG16" s="688"/>
      <c r="BH16" s="688"/>
      <c r="BI16" s="451">
        <v>0</v>
      </c>
    </row>
    <row r="17" spans="1:61" s="1430" customFormat="1" ht="14.25" hidden="1" customHeight="1">
      <c r="A17" s="1131"/>
      <c r="B17" s="1131"/>
      <c r="C17" s="1102"/>
      <c r="D17" s="1102"/>
      <c r="E17" s="2396"/>
      <c r="F17" s="2395"/>
      <c r="G17" s="1102"/>
      <c r="H17" s="1102"/>
      <c r="I17" s="1102"/>
      <c r="J17" s="1102"/>
      <c r="K17" s="1102"/>
      <c r="L17" s="1282"/>
      <c r="M17" s="1109"/>
      <c r="N17" s="1109"/>
      <c r="P17" s="1104"/>
      <c r="Q17" s="1105"/>
      <c r="R17" s="1104"/>
      <c r="S17" s="1110"/>
      <c r="T17" s="1113" t="s">
        <v>499</v>
      </c>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112"/>
      <c r="AS17" s="1112"/>
      <c r="AT17" s="1112"/>
      <c r="AU17" s="1112"/>
      <c r="AV17" s="1112"/>
      <c r="AW17" s="1112"/>
      <c r="AX17" s="1112"/>
      <c r="AY17" s="1112"/>
      <c r="AZ17" s="1112"/>
      <c r="BA17" s="1112"/>
      <c r="BB17" s="1112"/>
      <c r="BC17" s="1112"/>
      <c r="BE17" s="688"/>
      <c r="BF17" s="688" t="str">
        <f t="shared" si="1"/>
        <v>Добавить централизованную систему для дифференциации</v>
      </c>
      <c r="BG17" s="688"/>
      <c r="BH17" s="688"/>
      <c r="BI17" s="451">
        <v>0</v>
      </c>
    </row>
    <row r="18" spans="1:61" s="1430" customFormat="1" ht="14.25" hidden="1" customHeight="1">
      <c r="A18" s="1131"/>
      <c r="B18" s="1131"/>
      <c r="C18" s="1131"/>
      <c r="D18" s="1131"/>
      <c r="E18" s="2395"/>
      <c r="F18" s="1131"/>
      <c r="G18" s="1131"/>
      <c r="H18" s="1131"/>
      <c r="I18" s="1131"/>
      <c r="J18" s="1131"/>
      <c r="K18" s="1131"/>
      <c r="L18" s="1134"/>
      <c r="M18" s="1109"/>
      <c r="N18" s="1109"/>
      <c r="O18" s="451"/>
      <c r="P18" s="313"/>
      <c r="Q18" s="1132"/>
      <c r="R18" s="313"/>
      <c r="S18" s="1110"/>
      <c r="T18" s="1113" t="s">
        <v>500</v>
      </c>
      <c r="U18" s="1112"/>
      <c r="V18" s="1112"/>
      <c r="W18" s="1112"/>
      <c r="X18" s="1112"/>
      <c r="Y18" s="1112"/>
      <c r="Z18" s="1112"/>
      <c r="AA18" s="1112"/>
      <c r="AB18" s="1112"/>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E18" s="433"/>
      <c r="BF18" s="433" t="str">
        <f t="shared" si="1"/>
        <v>Добавить территорию для дифференциации</v>
      </c>
      <c r="BG18" s="433"/>
      <c r="BH18" s="433"/>
      <c r="BI18" s="444">
        <v>0</v>
      </c>
    </row>
    <row r="19" spans="1:61" ht="14.25" hidden="1" customHeight="1">
      <c r="AC19" s="261"/>
      <c r="BA19" s="261"/>
      <c r="BI19" s="956">
        <v>0</v>
      </c>
    </row>
    <row r="20" spans="1:61" ht="14.25" hidden="1" customHeight="1">
      <c r="AD20" s="1112" t="s">
        <v>6</v>
      </c>
      <c r="AE20" s="1289"/>
      <c r="AF20" s="480">
        <v>1</v>
      </c>
      <c r="AG20" s="1290"/>
      <c r="AH20" s="1112" t="s">
        <v>6</v>
      </c>
      <c r="AI20" s="1289"/>
      <c r="AJ20" s="480">
        <v>1</v>
      </c>
      <c r="AK20" s="1290"/>
      <c r="AL20" s="1112" t="s">
        <v>6</v>
      </c>
      <c r="AM20" s="1291"/>
      <c r="AN20" s="480">
        <v>1</v>
      </c>
      <c r="AO20" s="1292"/>
      <c r="AP20" s="1112" t="s">
        <v>6</v>
      </c>
      <c r="AQ20" s="1291"/>
      <c r="AR20" s="480">
        <v>1</v>
      </c>
      <c r="AS20" s="1292"/>
      <c r="AT20" s="259"/>
      <c r="AU20" s="317"/>
      <c r="AV20" s="259"/>
      <c r="AW20" s="317"/>
      <c r="AX20" s="1495"/>
      <c r="AY20" s="1273" t="s">
        <v>52</v>
      </c>
      <c r="AZ20" s="1495"/>
      <c r="BA20" s="1273" t="s">
        <v>52</v>
      </c>
      <c r="BI20" s="956">
        <v>0</v>
      </c>
    </row>
    <row r="21" spans="1:61" ht="14.25" hidden="1" customHeight="1">
      <c r="BD21" s="429"/>
      <c r="BE21" s="429"/>
      <c r="BF21" s="429"/>
      <c r="BG21" s="429"/>
      <c r="BH21" s="429"/>
      <c r="BI21" s="956">
        <v>0</v>
      </c>
    </row>
    <row r="22" spans="1:61" ht="14.25" hidden="1" customHeight="1">
      <c r="O22" s="1155" t="s">
        <v>501</v>
      </c>
      <c r="Z22" s="1133"/>
      <c r="AB22" s="1133"/>
      <c r="AC22" s="261"/>
      <c r="AX22" s="1133"/>
      <c r="AZ22" s="1133"/>
      <c r="BA22" s="261"/>
      <c r="BD22" s="429"/>
      <c r="BE22" s="429"/>
      <c r="BF22" s="429"/>
      <c r="BG22" s="429"/>
      <c r="BH22" s="429"/>
      <c r="BI22" s="956">
        <v>0</v>
      </c>
    </row>
    <row r="23" spans="1:61" ht="14.25" hidden="1" customHeight="1">
      <c r="AC23" s="261"/>
      <c r="BA23" s="261"/>
      <c r="BD23" s="429"/>
      <c r="BE23" s="429"/>
      <c r="BF23" s="429"/>
      <c r="BG23" s="429"/>
      <c r="BH23" s="429"/>
      <c r="BI23" s="956">
        <v>0</v>
      </c>
    </row>
    <row r="24" spans="1:61" s="1297" customFormat="1" ht="14.25" hidden="1" customHeight="1">
      <c r="M24" s="1296"/>
      <c r="N24" s="1296"/>
      <c r="O24" s="1297" t="s">
        <v>502</v>
      </c>
      <c r="P24" s="1296"/>
      <c r="Q24" s="1298"/>
      <c r="R24" s="1298"/>
      <c r="AA24" s="1295" t="s">
        <v>504</v>
      </c>
      <c r="AC24" s="1295" t="s">
        <v>505</v>
      </c>
      <c r="AD24" s="1295" t="s">
        <v>553</v>
      </c>
      <c r="AH24" s="1295" t="s">
        <v>553</v>
      </c>
      <c r="AK24" s="1295" t="s">
        <v>590</v>
      </c>
      <c r="AL24" s="1295" t="s">
        <v>553</v>
      </c>
      <c r="AP24" s="1295" t="s">
        <v>553</v>
      </c>
      <c r="AY24" s="1295" t="s">
        <v>504</v>
      </c>
      <c r="BA24" s="1295" t="s">
        <v>505</v>
      </c>
      <c r="BD24" s="1299"/>
      <c r="BE24" s="1299"/>
      <c r="BF24" s="1299"/>
      <c r="BG24" s="1299"/>
      <c r="BH24" s="1299"/>
      <c r="BI24" s="1295">
        <v>0</v>
      </c>
    </row>
    <row r="25" spans="1:61" ht="14.25" hidden="1" customHeight="1">
      <c r="O25" s="1152"/>
      <c r="BD25" s="429"/>
      <c r="BE25" s="429"/>
      <c r="BF25" s="429"/>
      <c r="BG25" s="429"/>
      <c r="BH25" s="429"/>
      <c r="BI25" s="956">
        <v>0</v>
      </c>
    </row>
    <row r="26" spans="1:61" ht="14.25" hidden="1" customHeight="1">
      <c r="O26" s="1152"/>
      <c r="BD26" s="429"/>
      <c r="BE26" s="429"/>
      <c r="BF26" s="429"/>
      <c r="BG26" s="429"/>
      <c r="BH26" s="429"/>
      <c r="BI26" s="956">
        <v>0</v>
      </c>
    </row>
    <row r="27" spans="1:61" ht="14.65" customHeight="1">
      <c r="Q27" s="225"/>
      <c r="R27" s="309"/>
      <c r="S27" s="1063"/>
      <c r="T27" s="296"/>
      <c r="U27" s="296"/>
      <c r="V27" s="442"/>
      <c r="W27" s="442"/>
      <c r="X27" s="442"/>
      <c r="Y27" s="442"/>
      <c r="Z27" s="442"/>
      <c r="AA27" s="442"/>
      <c r="AB27" s="442"/>
      <c r="AC27" s="442"/>
      <c r="AD27" s="442"/>
      <c r="AE27" s="442"/>
      <c r="AF27" s="442"/>
      <c r="AG27" s="442"/>
      <c r="AH27" s="442"/>
      <c r="AI27" s="442"/>
      <c r="AJ27" s="442"/>
      <c r="AK27" s="442"/>
      <c r="AL27" s="442"/>
      <c r="AM27" s="442"/>
      <c r="AN27" s="442"/>
      <c r="AO27" s="442"/>
      <c r="AP27" s="442"/>
      <c r="AQ27" s="442"/>
      <c r="AR27" s="442"/>
      <c r="AS27" s="442"/>
      <c r="AT27" s="442"/>
      <c r="AU27" s="442"/>
      <c r="AV27" s="442"/>
      <c r="AW27" s="442"/>
      <c r="AX27" s="442"/>
      <c r="AY27" s="442"/>
      <c r="AZ27" s="442"/>
      <c r="BA27" s="442"/>
      <c r="BI27" s="956">
        <v>14</v>
      </c>
    </row>
    <row r="28" spans="1:61" ht="14.65" customHeight="1">
      <c r="Q28" s="225"/>
      <c r="R28" s="309"/>
      <c r="S28" s="237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76"/>
      <c r="U28" s="2376"/>
      <c r="V28" s="2376"/>
      <c r="W28" s="2376"/>
      <c r="X28" s="2376"/>
      <c r="Y28" s="2376"/>
      <c r="Z28" s="2376"/>
      <c r="AA28" s="2376"/>
      <c r="AB28" s="2376"/>
      <c r="AC28" s="2376"/>
      <c r="AD28" s="2376"/>
      <c r="AE28" s="2376"/>
      <c r="AF28" s="2376"/>
      <c r="AG28" s="2376"/>
      <c r="AH28" s="2376"/>
      <c r="AI28" s="2376"/>
      <c r="AJ28" s="2376"/>
      <c r="AK28" s="2376"/>
      <c r="AL28" s="2376"/>
      <c r="AM28" s="2376"/>
      <c r="AN28" s="2376"/>
      <c r="AO28" s="2376"/>
      <c r="AP28" s="2376"/>
      <c r="AQ28" s="2376"/>
      <c r="AR28" s="2376"/>
      <c r="AS28" s="2376"/>
      <c r="AT28" s="2376"/>
      <c r="AU28" s="2376"/>
      <c r="AV28" s="2376"/>
      <c r="AW28" s="2376"/>
      <c r="AX28" s="2376"/>
      <c r="AY28" s="2376"/>
      <c r="AZ28" s="2376"/>
      <c r="BA28" s="1031"/>
      <c r="BI28" s="956">
        <v>14</v>
      </c>
    </row>
    <row r="29" spans="1:61" ht="14.65" customHeight="1">
      <c r="Q29" s="225"/>
      <c r="R29" s="309"/>
      <c r="S29" s="2349" t="str">
        <f>IF(org=0,"Не определено",org)</f>
        <v>ООО "Смоленскрегионтеплоэнерго"</v>
      </c>
      <c r="T29" s="2349"/>
      <c r="U29" s="2349"/>
      <c r="V29" s="2349"/>
      <c r="W29" s="2349"/>
      <c r="X29" s="2349"/>
      <c r="Y29" s="2349"/>
      <c r="Z29" s="2349"/>
      <c r="AA29" s="2349"/>
      <c r="AB29" s="2349"/>
      <c r="AC29" s="2349"/>
      <c r="AD29" s="2349"/>
      <c r="AE29" s="2349"/>
      <c r="AF29" s="2349"/>
      <c r="AG29" s="2349"/>
      <c r="AH29" s="2349"/>
      <c r="AI29" s="2349"/>
      <c r="AJ29" s="2349"/>
      <c r="AK29" s="2349"/>
      <c r="AL29" s="2349"/>
      <c r="AM29" s="2349"/>
      <c r="AN29" s="2349"/>
      <c r="AO29" s="2349"/>
      <c r="AP29" s="2349"/>
      <c r="AQ29" s="2349"/>
      <c r="AR29" s="2349"/>
      <c r="AS29" s="2349"/>
      <c r="AT29" s="2349"/>
      <c r="AU29" s="2349"/>
      <c r="AV29" s="2349"/>
      <c r="AW29" s="2349"/>
      <c r="AX29" s="2349"/>
      <c r="AY29" s="2349"/>
      <c r="AZ29" s="2349"/>
      <c r="BA29" s="1031"/>
      <c r="BI29" s="956">
        <v>14</v>
      </c>
    </row>
    <row r="30" spans="1:61" ht="14.25" hidden="1" customHeight="1">
      <c r="Q30" s="225"/>
      <c r="R30" s="309"/>
      <c r="S30" s="1063"/>
      <c r="T30" s="296"/>
      <c r="U30" s="29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442"/>
      <c r="BI30" s="956">
        <v>0</v>
      </c>
    </row>
    <row r="31" spans="1:61" s="1609" customFormat="1" ht="25.5" hidden="1" customHeight="1">
      <c r="A31" s="1156"/>
      <c r="B31" s="1156"/>
      <c r="C31" s="1156"/>
      <c r="D31" s="1156"/>
      <c r="E31" s="1156"/>
      <c r="F31" s="1156"/>
      <c r="G31" s="1156"/>
      <c r="H31" s="1156"/>
      <c r="I31" s="1156"/>
      <c r="J31" s="1156"/>
      <c r="K31" s="1156"/>
      <c r="L31" s="1157"/>
      <c r="M31" s="1156"/>
      <c r="N31" s="1156"/>
      <c r="O31" s="1156"/>
      <c r="P31" s="1156"/>
      <c r="Q31" s="1156"/>
      <c r="S31" s="2386" t="s">
        <v>28</v>
      </c>
      <c r="T31" s="2386"/>
      <c r="U31" s="1160"/>
      <c r="V31" s="2388" t="str">
        <f>IF(TITLE_NAME_OR_PR_CHANGE="",IF(TITLE_NAME_OR_PR="","",TITLE_NAME_OR_PR),TITLE_NAME_OR_PR_CHANGE)</f>
        <v/>
      </c>
      <c r="W31" s="2388"/>
      <c r="X31" s="2388"/>
      <c r="Y31" s="2388"/>
      <c r="Z31" s="2388"/>
      <c r="AA31" s="2388"/>
      <c r="AB31" s="2388"/>
      <c r="AC31" s="260"/>
      <c r="AD31" s="2388" t="str">
        <f>IF(TITLE_NAME_OR_PR_CHANGE="",IF(TITLE_NAME_OR_PR="","",TITLE_NAME_OR_PR),TITLE_NAME_OR_PR_CHANGE)</f>
        <v/>
      </c>
      <c r="AE31" s="2388"/>
      <c r="AF31" s="2388"/>
      <c r="AG31" s="2388"/>
      <c r="AH31" s="2388"/>
      <c r="AI31" s="2388"/>
      <c r="AJ31" s="2388"/>
      <c r="AK31" s="2388"/>
      <c r="AL31" s="2388"/>
      <c r="AM31" s="2388"/>
      <c r="AN31" s="2388"/>
      <c r="AO31" s="2388"/>
      <c r="AP31" s="2388"/>
      <c r="AQ31" s="2388"/>
      <c r="AR31" s="2388"/>
      <c r="AS31" s="2388"/>
      <c r="AT31" s="2388"/>
      <c r="AU31" s="2388"/>
      <c r="AV31" s="2388"/>
      <c r="AW31" s="2388"/>
      <c r="AX31" s="2388"/>
      <c r="AY31" s="2388"/>
      <c r="AZ31" s="2388"/>
      <c r="BA31" s="260"/>
      <c r="BB31" s="260"/>
      <c r="BC31" s="214"/>
      <c r="BD31" s="301"/>
      <c r="BE31" s="301"/>
      <c r="BF31" s="301"/>
      <c r="BG31" s="301"/>
      <c r="BH31" s="301"/>
      <c r="BI31" s="351">
        <v>0</v>
      </c>
    </row>
    <row r="32" spans="1:61" s="1609" customFormat="1" ht="18.75" hidden="1" customHeight="1">
      <c r="A32" s="1156"/>
      <c r="B32" s="1156"/>
      <c r="C32" s="1156"/>
      <c r="D32" s="1156"/>
      <c r="E32" s="1156"/>
      <c r="F32" s="1156"/>
      <c r="G32" s="1156"/>
      <c r="H32" s="1156"/>
      <c r="I32" s="1156"/>
      <c r="J32" s="1156"/>
      <c r="K32" s="1156"/>
      <c r="L32" s="1157"/>
      <c r="M32" s="1156"/>
      <c r="N32" s="1156"/>
      <c r="O32" s="1156"/>
      <c r="P32" s="1156"/>
      <c r="Q32" s="1156"/>
      <c r="S32" s="2386" t="s">
        <v>507</v>
      </c>
      <c r="T32" s="2386"/>
      <c r="U32" s="1160"/>
      <c r="V32" s="2387" t="str">
        <f>IF(TITLE_DATE_PR_CHANGE="",IF(TITLE_DATE_PR="","",TITLE_DATE_PR),TITLE_DATE_PR_CHANGE)</f>
        <v/>
      </c>
      <c r="W32" s="2387"/>
      <c r="X32" s="2387"/>
      <c r="Y32" s="2387"/>
      <c r="Z32" s="2387"/>
      <c r="AA32" s="2387"/>
      <c r="AB32" s="2387"/>
      <c r="AC32" s="260"/>
      <c r="AD32" s="2387" t="str">
        <f>IF(TITLE_DATE_PR_CHANGE="",IF(TITLE_DATE_PR="","",TITLE_DATE_PR),TITLE_DATE_PR_CHANGE)</f>
        <v/>
      </c>
      <c r="AE32" s="2387"/>
      <c r="AF32" s="2387"/>
      <c r="AG32" s="2387"/>
      <c r="AH32" s="2387"/>
      <c r="AI32" s="2387"/>
      <c r="AJ32" s="2387"/>
      <c r="AK32" s="2387"/>
      <c r="AL32" s="2387"/>
      <c r="AM32" s="2387"/>
      <c r="AN32" s="2387"/>
      <c r="AO32" s="2387"/>
      <c r="AP32" s="2387"/>
      <c r="AQ32" s="2387"/>
      <c r="AR32" s="2387"/>
      <c r="AS32" s="2387"/>
      <c r="AT32" s="2387"/>
      <c r="AU32" s="2387"/>
      <c r="AV32" s="2387"/>
      <c r="AW32" s="2387"/>
      <c r="AX32" s="2387"/>
      <c r="AY32" s="2387"/>
      <c r="AZ32" s="2387"/>
      <c r="BA32" s="260"/>
      <c r="BB32" s="260"/>
      <c r="BC32" s="214"/>
      <c r="BD32" s="301"/>
      <c r="BE32" s="301"/>
      <c r="BF32" s="301"/>
      <c r="BG32" s="301"/>
      <c r="BH32" s="301"/>
      <c r="BI32" s="351">
        <v>0</v>
      </c>
    </row>
    <row r="33" spans="1:61" s="1609" customFormat="1" ht="18.75" hidden="1" customHeight="1">
      <c r="A33" s="1156"/>
      <c r="B33" s="1156"/>
      <c r="C33" s="1156"/>
      <c r="D33" s="1156"/>
      <c r="E33" s="1156"/>
      <c r="F33" s="1156"/>
      <c r="G33" s="1156"/>
      <c r="H33" s="1156"/>
      <c r="I33" s="1156"/>
      <c r="J33" s="1156"/>
      <c r="K33" s="1156"/>
      <c r="L33" s="1157"/>
      <c r="M33" s="1156"/>
      <c r="N33" s="1156"/>
      <c r="O33" s="1156"/>
      <c r="P33" s="1156"/>
      <c r="Q33" s="1156"/>
      <c r="S33" s="2386" t="s">
        <v>508</v>
      </c>
      <c r="T33" s="2386"/>
      <c r="U33" s="1160"/>
      <c r="V33" s="2388" t="str">
        <f>IF(TITLE_NUMBER_PR_CHANGE="",IF(TITLE_NUMBER_PR="","",TITLE_NUMBER_PR),TITLE_NUMBER_PR_CHANGE)</f>
        <v/>
      </c>
      <c r="W33" s="2388"/>
      <c r="X33" s="2388"/>
      <c r="Y33" s="2388"/>
      <c r="Z33" s="2388"/>
      <c r="AA33" s="2388"/>
      <c r="AB33" s="2388"/>
      <c r="AC33" s="260"/>
      <c r="AD33" s="2388" t="str">
        <f>IF(TITLE_NUMBER_PR_CHANGE="",IF(TITLE_NUMBER_PR="","",TITLE_NUMBER_PR),TITLE_NUMBER_PR_CHANGE)</f>
        <v/>
      </c>
      <c r="AE33" s="2388"/>
      <c r="AF33" s="2388"/>
      <c r="AG33" s="2388"/>
      <c r="AH33" s="2388"/>
      <c r="AI33" s="2388"/>
      <c r="AJ33" s="2388"/>
      <c r="AK33" s="2388"/>
      <c r="AL33" s="2388"/>
      <c r="AM33" s="2388"/>
      <c r="AN33" s="2388"/>
      <c r="AO33" s="2388"/>
      <c r="AP33" s="2388"/>
      <c r="AQ33" s="2388"/>
      <c r="AR33" s="2388"/>
      <c r="AS33" s="2388"/>
      <c r="AT33" s="2388"/>
      <c r="AU33" s="2388"/>
      <c r="AV33" s="2388"/>
      <c r="AW33" s="2388"/>
      <c r="AX33" s="2388"/>
      <c r="AY33" s="2388"/>
      <c r="AZ33" s="2388"/>
      <c r="BA33" s="260"/>
      <c r="BB33" s="260"/>
      <c r="BC33" s="214"/>
      <c r="BD33" s="301"/>
      <c r="BE33" s="301"/>
      <c r="BF33" s="301"/>
      <c r="BG33" s="301"/>
      <c r="BH33" s="301"/>
      <c r="BI33" s="351">
        <v>0</v>
      </c>
    </row>
    <row r="34" spans="1:61" s="1609" customFormat="1" ht="18.75" hidden="1" customHeight="1">
      <c r="A34" s="1156"/>
      <c r="B34" s="1156"/>
      <c r="C34" s="1156"/>
      <c r="D34" s="1156"/>
      <c r="E34" s="1156"/>
      <c r="F34" s="1156"/>
      <c r="G34" s="1156"/>
      <c r="H34" s="1156"/>
      <c r="I34" s="1156"/>
      <c r="J34" s="1156"/>
      <c r="K34" s="1156"/>
      <c r="L34" s="1157"/>
      <c r="M34" s="1156"/>
      <c r="N34" s="1156"/>
      <c r="O34" s="1156"/>
      <c r="P34" s="1156"/>
      <c r="Q34" s="1156"/>
      <c r="S34" s="2386" t="s">
        <v>29</v>
      </c>
      <c r="T34" s="2386"/>
      <c r="U34" s="1160"/>
      <c r="V34" s="2388" t="str">
        <f>IF(TITLE_IST_PUB_CHANGE="",IF(TITLE_IST_PUB="","",TITLE_IST_PUB),TITLE_IST_PUB_CHANGE)</f>
        <v/>
      </c>
      <c r="W34" s="2388"/>
      <c r="X34" s="2388"/>
      <c r="Y34" s="2388"/>
      <c r="Z34" s="2388"/>
      <c r="AA34" s="2388"/>
      <c r="AB34" s="2388"/>
      <c r="AC34" s="260"/>
      <c r="AD34" s="2388" t="str">
        <f>IF(TITLE_IST_PUB_CHANGE="",IF(TITLE_IST_PUB="","",TITLE_IST_PUB),TITLE_IST_PUB_CHANGE)</f>
        <v/>
      </c>
      <c r="AE34" s="2388"/>
      <c r="AF34" s="2388"/>
      <c r="AG34" s="2388"/>
      <c r="AH34" s="2388"/>
      <c r="AI34" s="2388"/>
      <c r="AJ34" s="2388"/>
      <c r="AK34" s="2388"/>
      <c r="AL34" s="2388"/>
      <c r="AM34" s="2388"/>
      <c r="AN34" s="2388"/>
      <c r="AO34" s="2388"/>
      <c r="AP34" s="2388"/>
      <c r="AQ34" s="2388"/>
      <c r="AR34" s="2388"/>
      <c r="AS34" s="2388"/>
      <c r="AT34" s="2388"/>
      <c r="AU34" s="2388"/>
      <c r="AV34" s="2388"/>
      <c r="AW34" s="2388"/>
      <c r="AX34" s="2388"/>
      <c r="AY34" s="2388"/>
      <c r="AZ34" s="2388"/>
      <c r="BA34" s="260"/>
      <c r="BB34" s="260"/>
      <c r="BC34" s="214"/>
      <c r="BD34" s="301"/>
      <c r="BE34" s="301"/>
      <c r="BF34" s="301"/>
      <c r="BG34" s="301"/>
      <c r="BH34" s="301"/>
      <c r="BI34" s="351">
        <v>0</v>
      </c>
    </row>
    <row r="35" spans="1:61" ht="14.25" hidden="1" customHeight="1">
      <c r="Q35" s="225"/>
      <c r="R35" s="309"/>
      <c r="S35" s="1063"/>
      <c r="T35" s="296"/>
      <c r="U35" s="29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442"/>
      <c r="BI35" s="956">
        <v>0</v>
      </c>
    </row>
    <row r="36" spans="1:61" s="1609" customFormat="1" ht="18.75" hidden="1" customHeight="1">
      <c r="A36" s="1156"/>
      <c r="B36" s="1156"/>
      <c r="C36" s="1156"/>
      <c r="D36" s="1156"/>
      <c r="E36" s="1156"/>
      <c r="F36" s="1156"/>
      <c r="G36" s="1156"/>
      <c r="H36" s="1156"/>
      <c r="I36" s="1156"/>
      <c r="J36" s="1156"/>
      <c r="K36" s="1156"/>
      <c r="L36" s="1157"/>
      <c r="M36" s="1156"/>
      <c r="N36" s="1156"/>
      <c r="O36" s="1156"/>
      <c r="P36" s="1156"/>
      <c r="Q36" s="1156"/>
      <c r="S36" s="2386" t="s">
        <v>507</v>
      </c>
      <c r="T36" s="2386"/>
      <c r="U36" s="1160"/>
      <c r="V36" s="2387" t="str">
        <f>IF(TITLE_DATE_PR_CHANGE="",IF(TITLE_DATE_PR="","",TITLE_DATE_PR),TITLE_DATE_PR_CHANGE)</f>
        <v/>
      </c>
      <c r="W36" s="2387"/>
      <c r="X36" s="2387"/>
      <c r="Y36" s="2387"/>
      <c r="Z36" s="2387"/>
      <c r="AA36" s="2387"/>
      <c r="AB36" s="2387"/>
      <c r="AC36" s="260"/>
      <c r="AD36" s="2387" t="str">
        <f>IF(TITLE_DATE_PR_CHANGE="",IF(TITLE_DATE_PR="","",TITLE_DATE_PR),TITLE_DATE_PR_CHANGE)</f>
        <v/>
      </c>
      <c r="AE36" s="2387"/>
      <c r="AF36" s="2387"/>
      <c r="AG36" s="2387"/>
      <c r="AH36" s="2387"/>
      <c r="AI36" s="2387"/>
      <c r="AJ36" s="2387"/>
      <c r="AK36" s="2387"/>
      <c r="AL36" s="2387"/>
      <c r="AM36" s="2387"/>
      <c r="AN36" s="2387"/>
      <c r="AO36" s="2387"/>
      <c r="AP36" s="2387"/>
      <c r="AQ36" s="2387"/>
      <c r="AR36" s="2387"/>
      <c r="AS36" s="2387"/>
      <c r="AT36" s="2387"/>
      <c r="AU36" s="2387"/>
      <c r="AV36" s="2387"/>
      <c r="AW36" s="2387"/>
      <c r="AX36" s="2387"/>
      <c r="AY36" s="2387"/>
      <c r="AZ36" s="2387"/>
      <c r="BA36" s="260"/>
      <c r="BB36" s="260"/>
      <c r="BC36" s="214"/>
      <c r="BD36" s="301"/>
      <c r="BE36" s="301"/>
      <c r="BF36" s="301"/>
      <c r="BG36" s="301"/>
      <c r="BH36" s="301"/>
      <c r="BI36" s="351">
        <v>0</v>
      </c>
    </row>
    <row r="37" spans="1:61" s="1609" customFormat="1" ht="18.75" hidden="1" customHeight="1">
      <c r="A37" s="1156"/>
      <c r="B37" s="1156"/>
      <c r="C37" s="1156"/>
      <c r="D37" s="1156"/>
      <c r="E37" s="1156"/>
      <c r="F37" s="1156"/>
      <c r="G37" s="1156"/>
      <c r="H37" s="1156"/>
      <c r="I37" s="1156"/>
      <c r="J37" s="1156"/>
      <c r="K37" s="1156"/>
      <c r="L37" s="1157"/>
      <c r="M37" s="1156"/>
      <c r="N37" s="1156"/>
      <c r="O37" s="1156"/>
      <c r="P37" s="1156"/>
      <c r="Q37" s="1156"/>
      <c r="S37" s="2386" t="s">
        <v>508</v>
      </c>
      <c r="T37" s="2386"/>
      <c r="U37" s="1160"/>
      <c r="V37" s="2388" t="str">
        <f>IF(TITLE_NUMBER_PR_CHANGE="",IF(TITLE_NUMBER_PR="","",TITLE_NUMBER_PR),TITLE_NUMBER_PR_CHANGE)</f>
        <v/>
      </c>
      <c r="W37" s="2388"/>
      <c r="X37" s="2388"/>
      <c r="Y37" s="2388"/>
      <c r="Z37" s="2388"/>
      <c r="AA37" s="2388"/>
      <c r="AB37" s="2388"/>
      <c r="AC37" s="260"/>
      <c r="AD37" s="2388" t="str">
        <f>IF(TITLE_NUMBER_PR_CHANGE="",IF(TITLE_NUMBER_PR="","",TITLE_NUMBER_PR),TITLE_NUMBER_PR_CHANGE)</f>
        <v/>
      </c>
      <c r="AE37" s="2388"/>
      <c r="AF37" s="2388"/>
      <c r="AG37" s="2388"/>
      <c r="AH37" s="2388"/>
      <c r="AI37" s="2388"/>
      <c r="AJ37" s="2388"/>
      <c r="AK37" s="2388"/>
      <c r="AL37" s="2388"/>
      <c r="AM37" s="2388"/>
      <c r="AN37" s="2388"/>
      <c r="AO37" s="2388"/>
      <c r="AP37" s="2388"/>
      <c r="AQ37" s="2388"/>
      <c r="AR37" s="2388"/>
      <c r="AS37" s="2388"/>
      <c r="AT37" s="2388"/>
      <c r="AU37" s="2388"/>
      <c r="AV37" s="2388"/>
      <c r="AW37" s="2388"/>
      <c r="AX37" s="2388"/>
      <c r="AY37" s="2388"/>
      <c r="AZ37" s="2388"/>
      <c r="BA37" s="260"/>
      <c r="BB37" s="260"/>
      <c r="BC37" s="214"/>
      <c r="BD37" s="301"/>
      <c r="BE37" s="301"/>
      <c r="BF37" s="301"/>
      <c r="BG37" s="301"/>
      <c r="BH37" s="301"/>
      <c r="BI37" s="351">
        <v>0</v>
      </c>
    </row>
    <row r="38" spans="1:61" s="1609" customFormat="1" ht="0" hidden="1" customHeight="1">
      <c r="A38" s="1156"/>
      <c r="B38" s="1156"/>
      <c r="C38" s="1156"/>
      <c r="D38" s="1156"/>
      <c r="E38" s="1156"/>
      <c r="F38" s="1156"/>
      <c r="G38" s="1156"/>
      <c r="H38" s="1156"/>
      <c r="I38" s="1156"/>
      <c r="J38" s="1156"/>
      <c r="K38" s="1156"/>
      <c r="L38" s="1157"/>
      <c r="M38" s="1156"/>
      <c r="N38" s="1156"/>
      <c r="O38" s="1156"/>
      <c r="P38" s="1156"/>
      <c r="Q38" s="1156"/>
      <c r="S38" s="257"/>
      <c r="T38" s="257"/>
      <c r="U38" s="1276"/>
      <c r="V38" s="260"/>
      <c r="W38" s="260"/>
      <c r="X38" s="260"/>
      <c r="Y38" s="260"/>
      <c r="Z38" s="260"/>
      <c r="AA38" s="260"/>
      <c r="AB38" s="260"/>
      <c r="AC38" s="212" t="s">
        <v>511</v>
      </c>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12" t="s">
        <v>511</v>
      </c>
      <c r="BD38" s="301"/>
      <c r="BE38" s="301"/>
      <c r="BF38" s="301"/>
      <c r="BG38" s="301"/>
      <c r="BH38" s="301"/>
      <c r="BI38" s="351">
        <v>0</v>
      </c>
    </row>
    <row r="39" spans="1:61" ht="14.65" customHeight="1">
      <c r="Q39" s="225"/>
      <c r="R39" s="309"/>
      <c r="S39" s="1063"/>
      <c r="T39" s="296"/>
      <c r="U39" s="1032"/>
      <c r="V39" s="2407"/>
      <c r="W39" s="2407"/>
      <c r="X39" s="2407"/>
      <c r="Y39" s="2407"/>
      <c r="Z39" s="2407"/>
      <c r="AA39" s="2407"/>
      <c r="AB39" s="2407"/>
      <c r="AC39" s="2407"/>
      <c r="AD39" s="2407"/>
      <c r="AE39" s="2407"/>
      <c r="AF39" s="2407"/>
      <c r="AG39" s="2407"/>
      <c r="AH39" s="2407"/>
      <c r="AI39" s="2407"/>
      <c r="AJ39" s="2407"/>
      <c r="AK39" s="2407"/>
      <c r="AL39" s="2407"/>
      <c r="AM39" s="2407"/>
      <c r="AN39" s="2407"/>
      <c r="AO39" s="2407"/>
      <c r="AP39" s="2407"/>
      <c r="AQ39" s="2407"/>
      <c r="AR39" s="2407"/>
      <c r="AS39" s="2407"/>
      <c r="AT39" s="2407"/>
      <c r="AU39" s="2407"/>
      <c r="AV39" s="2407"/>
      <c r="AW39" s="2407"/>
      <c r="AX39" s="2407"/>
      <c r="AY39" s="2407"/>
      <c r="AZ39" s="2407"/>
      <c r="BA39" s="2407"/>
      <c r="BI39" s="956">
        <v>14</v>
      </c>
    </row>
    <row r="40" spans="1:61" ht="14.65" customHeight="1">
      <c r="Q40" s="225"/>
      <c r="R40" s="309"/>
      <c r="S40" s="2266" t="s">
        <v>384</v>
      </c>
      <c r="T40" s="2266"/>
      <c r="U40" s="2266"/>
      <c r="V40" s="2266"/>
      <c r="W40" s="2266"/>
      <c r="X40" s="2266"/>
      <c r="Y40" s="2266"/>
      <c r="Z40" s="2266"/>
      <c r="AA40" s="2266"/>
      <c r="AB40" s="2266"/>
      <c r="AC40" s="2266"/>
      <c r="AD40" s="2266"/>
      <c r="AE40" s="2266"/>
      <c r="AF40" s="2266"/>
      <c r="AG40" s="2266"/>
      <c r="AH40" s="2266"/>
      <c r="AI40" s="2266"/>
      <c r="AJ40" s="2266"/>
      <c r="AK40" s="2266"/>
      <c r="AL40" s="2266"/>
      <c r="AM40" s="2266"/>
      <c r="AN40" s="2266"/>
      <c r="AO40" s="2266"/>
      <c r="AP40" s="2266"/>
      <c r="AQ40" s="2266"/>
      <c r="AR40" s="2266"/>
      <c r="AS40" s="2266"/>
      <c r="AT40" s="2266"/>
      <c r="AU40" s="2266"/>
      <c r="AV40" s="2266"/>
      <c r="AW40" s="2266"/>
      <c r="AX40" s="2266"/>
      <c r="AY40" s="2266"/>
      <c r="AZ40" s="2266"/>
      <c r="BA40" s="2266"/>
      <c r="BB40" s="2266"/>
      <c r="BC40" s="2266" t="s">
        <v>385</v>
      </c>
      <c r="BI40" s="956">
        <v>14</v>
      </c>
    </row>
    <row r="41" spans="1:61" ht="14.65" customHeight="1">
      <c r="Q41" s="225"/>
      <c r="R41" s="309"/>
      <c r="S41" s="2408" t="s">
        <v>75</v>
      </c>
      <c r="T41" s="2357" t="s">
        <v>591</v>
      </c>
      <c r="U41" s="235"/>
      <c r="V41" s="2409" t="s">
        <v>513</v>
      </c>
      <c r="W41" s="2410"/>
      <c r="X41" s="2410"/>
      <c r="Y41" s="2410"/>
      <c r="Z41" s="2410"/>
      <c r="AA41" s="2410"/>
      <c r="AB41" s="2411"/>
      <c r="AC41" s="2412" t="s">
        <v>514</v>
      </c>
      <c r="AD41" s="2441" t="s">
        <v>592</v>
      </c>
      <c r="AE41" s="2425"/>
      <c r="AF41" s="2425"/>
      <c r="AG41" s="2442"/>
      <c r="AH41" s="2441" t="s">
        <v>593</v>
      </c>
      <c r="AI41" s="2425"/>
      <c r="AJ41" s="2425"/>
      <c r="AK41" s="2442"/>
      <c r="AL41" s="2441" t="s">
        <v>594</v>
      </c>
      <c r="AM41" s="2425"/>
      <c r="AN41" s="2425"/>
      <c r="AO41" s="2442"/>
      <c r="AP41" s="2441" t="s">
        <v>595</v>
      </c>
      <c r="AQ41" s="2425"/>
      <c r="AR41" s="2425"/>
      <c r="AS41" s="2442"/>
      <c r="AT41" s="2409" t="s">
        <v>513</v>
      </c>
      <c r="AU41" s="2410"/>
      <c r="AV41" s="2410"/>
      <c r="AW41" s="2410"/>
      <c r="AX41" s="2410"/>
      <c r="AY41" s="2410"/>
      <c r="AZ41" s="2411"/>
      <c r="BA41" s="2412" t="s">
        <v>514</v>
      </c>
      <c r="BB41" s="2415" t="s">
        <v>516</v>
      </c>
      <c r="BC41" s="2266"/>
      <c r="BI41" s="956">
        <v>14</v>
      </c>
    </row>
    <row r="42" spans="1:61" ht="35.65" customHeight="1">
      <c r="Q42" s="225"/>
      <c r="R42" s="309"/>
      <c r="S42" s="2408"/>
      <c r="T42" s="2357"/>
      <c r="U42" s="874"/>
      <c r="V42" s="2328" t="s">
        <v>596</v>
      </c>
      <c r="W42" s="2329"/>
      <c r="X42" s="2328" t="s">
        <v>597</v>
      </c>
      <c r="Y42" s="2329"/>
      <c r="Z42" s="2328" t="s">
        <v>598</v>
      </c>
      <c r="AA42" s="2437"/>
      <c r="AB42" s="2329"/>
      <c r="AC42" s="2413"/>
      <c r="AD42" s="2443"/>
      <c r="AE42" s="2444"/>
      <c r="AF42" s="2444"/>
      <c r="AG42" s="2456"/>
      <c r="AH42" s="2443"/>
      <c r="AI42" s="2444"/>
      <c r="AJ42" s="2444"/>
      <c r="AK42" s="2456"/>
      <c r="AL42" s="2443"/>
      <c r="AM42" s="2444"/>
      <c r="AN42" s="2444"/>
      <c r="AO42" s="2456"/>
      <c r="AP42" s="2443"/>
      <c r="AQ42" s="2444"/>
      <c r="AR42" s="2444"/>
      <c r="AS42" s="2456"/>
      <c r="AT42" s="2328" t="s">
        <v>596</v>
      </c>
      <c r="AU42" s="2329"/>
      <c r="AV42" s="2328" t="s">
        <v>597</v>
      </c>
      <c r="AW42" s="2329"/>
      <c r="AX42" s="2328" t="s">
        <v>598</v>
      </c>
      <c r="AY42" s="2437"/>
      <c r="AZ42" s="2329"/>
      <c r="BA42" s="2413"/>
      <c r="BB42" s="2416"/>
      <c r="BC42" s="2266"/>
      <c r="BI42" s="956">
        <v>34</v>
      </c>
    </row>
    <row r="43" spans="1:61" ht="14.65" customHeight="1">
      <c r="Q43" s="225"/>
      <c r="R43" s="309"/>
      <c r="S43" s="2408"/>
      <c r="T43" s="2357"/>
      <c r="U43" s="874"/>
      <c r="V43" s="2333"/>
      <c r="W43" s="2334"/>
      <c r="X43" s="2333"/>
      <c r="Y43" s="2334"/>
      <c r="Z43" s="2333"/>
      <c r="AA43" s="2438"/>
      <c r="AB43" s="2334"/>
      <c r="AC43" s="2413"/>
      <c r="AD43" s="2443"/>
      <c r="AE43" s="2444"/>
      <c r="AF43" s="2444"/>
      <c r="AG43" s="2456"/>
      <c r="AH43" s="2443"/>
      <c r="AI43" s="2444"/>
      <c r="AJ43" s="2444"/>
      <c r="AK43" s="2456"/>
      <c r="AL43" s="2443"/>
      <c r="AM43" s="2444"/>
      <c r="AN43" s="2444"/>
      <c r="AO43" s="2456"/>
      <c r="AP43" s="2443"/>
      <c r="AQ43" s="2444"/>
      <c r="AR43" s="2444"/>
      <c r="AS43" s="2456"/>
      <c r="AT43" s="2333"/>
      <c r="AU43" s="2334"/>
      <c r="AV43" s="2333"/>
      <c r="AW43" s="2334"/>
      <c r="AX43" s="2333"/>
      <c r="AY43" s="2438"/>
      <c r="AZ43" s="2334"/>
      <c r="BA43" s="2413"/>
      <c r="BB43" s="2416"/>
      <c r="BC43" s="2266"/>
      <c r="BI43" s="956">
        <v>14</v>
      </c>
    </row>
    <row r="44" spans="1:61" ht="14.65" customHeight="1">
      <c r="A44" s="1158"/>
      <c r="B44" s="1158" t="s">
        <v>226</v>
      </c>
      <c r="C44" s="1158" t="s">
        <v>227</v>
      </c>
      <c r="D44" s="1158" t="s">
        <v>228</v>
      </c>
      <c r="E44" s="1152" t="s">
        <v>521</v>
      </c>
      <c r="F44" s="1152" t="s">
        <v>522</v>
      </c>
      <c r="G44" s="1152" t="s">
        <v>523</v>
      </c>
      <c r="H44" s="1152" t="s">
        <v>524</v>
      </c>
      <c r="I44" s="1152" t="s">
        <v>525</v>
      </c>
      <c r="J44" s="1152" t="s">
        <v>526</v>
      </c>
      <c r="K44" s="1152" t="s">
        <v>527</v>
      </c>
      <c r="L44" s="1152" t="s">
        <v>502</v>
      </c>
      <c r="Q44" s="225"/>
      <c r="R44" s="309"/>
      <c r="S44" s="2408"/>
      <c r="T44" s="2357"/>
      <c r="U44" s="236"/>
      <c r="V44" s="1267" t="s">
        <v>562</v>
      </c>
      <c r="W44" s="1267" t="s">
        <v>563</v>
      </c>
      <c r="X44" s="1267" t="s">
        <v>562</v>
      </c>
      <c r="Y44" s="1267" t="s">
        <v>563</v>
      </c>
      <c r="Z44" s="1277" t="s">
        <v>530</v>
      </c>
      <c r="AA44" s="2362" t="s">
        <v>531</v>
      </c>
      <c r="AB44" s="2375"/>
      <c r="AC44" s="2414"/>
      <c r="AD44" s="2445"/>
      <c r="AE44" s="2446"/>
      <c r="AF44" s="2446"/>
      <c r="AG44" s="2447"/>
      <c r="AH44" s="2445"/>
      <c r="AI44" s="2446"/>
      <c r="AJ44" s="2446"/>
      <c r="AK44" s="2447"/>
      <c r="AL44" s="2445"/>
      <c r="AM44" s="2446"/>
      <c r="AN44" s="2446"/>
      <c r="AO44" s="2447"/>
      <c r="AP44" s="2445"/>
      <c r="AQ44" s="2446"/>
      <c r="AR44" s="2446"/>
      <c r="AS44" s="2447"/>
      <c r="AT44" s="1267" t="s">
        <v>562</v>
      </c>
      <c r="AU44" s="1267" t="s">
        <v>563</v>
      </c>
      <c r="AV44" s="1267" t="s">
        <v>562</v>
      </c>
      <c r="AW44" s="1267" t="s">
        <v>563</v>
      </c>
      <c r="AX44" s="1277" t="s">
        <v>530</v>
      </c>
      <c r="AY44" s="2362" t="s">
        <v>531</v>
      </c>
      <c r="AZ44" s="2375"/>
      <c r="BA44" s="2414"/>
      <c r="BB44" s="2417"/>
      <c r="BC44" s="2266"/>
      <c r="BI44" s="956">
        <v>14</v>
      </c>
    </row>
    <row r="45" spans="1:61" s="1429" customFormat="1" ht="0" hidden="1" customHeight="1">
      <c r="A45" s="1158"/>
      <c r="B45" s="1158"/>
      <c r="C45" s="1158"/>
      <c r="D45" s="1158"/>
      <c r="E45" s="1158"/>
      <c r="F45" s="1158"/>
      <c r="G45" s="1158"/>
      <c r="H45" s="1158"/>
      <c r="I45" s="1158"/>
      <c r="J45" s="1158"/>
      <c r="K45" s="1158"/>
      <c r="L45" s="1152"/>
      <c r="M45" s="1150"/>
      <c r="N45" s="1150"/>
      <c r="O45" s="1150"/>
      <c r="P45" s="443"/>
      <c r="Q45" s="1042"/>
      <c r="R45" s="1042">
        <v>1</v>
      </c>
      <c r="S45" s="1065" t="s">
        <v>161</v>
      </c>
      <c r="T45" s="1043" t="s">
        <v>89</v>
      </c>
      <c r="U45" s="1033" t="str">
        <f ca="1">OFFSET(U45,0,-1)</f>
        <v>2</v>
      </c>
      <c r="V45" s="1270">
        <f t="shared" ref="V45:AA45" ca="1" si="2">OFFSET(V45,0,-1)+1</f>
        <v>3</v>
      </c>
      <c r="W45" s="1270">
        <f t="shared" ca="1" si="2"/>
        <v>4</v>
      </c>
      <c r="X45" s="1270">
        <f t="shared" ca="1" si="2"/>
        <v>5</v>
      </c>
      <c r="Y45" s="1270">
        <f t="shared" ca="1" si="2"/>
        <v>6</v>
      </c>
      <c r="Z45" s="1270">
        <f t="shared" ca="1" si="2"/>
        <v>7</v>
      </c>
      <c r="AA45" s="2406">
        <f t="shared" ca="1" si="2"/>
        <v>8</v>
      </c>
      <c r="AB45" s="2406"/>
      <c r="AC45" s="1270">
        <f ca="1">OFFSET(AC45,0,-2)+1</f>
        <v>9</v>
      </c>
      <c r="AD45" s="1270">
        <f ca="1">OFFSET(AD45,0,-1)+1</f>
        <v>10</v>
      </c>
      <c r="AE45" s="1270"/>
      <c r="AF45" s="1270"/>
      <c r="AG45" s="1270"/>
      <c r="AH45" s="1270"/>
      <c r="AI45" s="1270"/>
      <c r="AJ45" s="1270"/>
      <c r="AK45" s="1270"/>
      <c r="AL45" s="1270"/>
      <c r="AM45" s="1270"/>
      <c r="AN45" s="1270"/>
      <c r="AO45" s="1270"/>
      <c r="AP45" s="1270"/>
      <c r="AQ45" s="1270"/>
      <c r="AR45" s="1270"/>
      <c r="AS45" s="1270"/>
      <c r="AT45" s="1270"/>
      <c r="AU45" s="1270"/>
      <c r="AV45" s="1270"/>
      <c r="AW45" s="1270">
        <f ca="1">OFFSET(AW45,0,-1)+1</f>
        <v>1</v>
      </c>
      <c r="AX45" s="1270">
        <f ca="1">OFFSET(AX45,0,-1)+1</f>
        <v>2</v>
      </c>
      <c r="AY45" s="2406">
        <f ca="1">OFFSET(AY45,0,-1)+1</f>
        <v>3</v>
      </c>
      <c r="AZ45" s="2406"/>
      <c r="BA45" s="1270">
        <f ca="1">OFFSET(BA45,0,-2)+1</f>
        <v>4</v>
      </c>
      <c r="BB45" s="1033">
        <f ca="1">OFFSET(BB45,0,-1)</f>
        <v>4</v>
      </c>
      <c r="BC45" s="1270">
        <f ca="1">OFFSET(BC45,0,-1)+1</f>
        <v>5</v>
      </c>
      <c r="BD45" s="444"/>
      <c r="BE45" s="444"/>
      <c r="BF45" s="444"/>
      <c r="BG45" s="444"/>
      <c r="BH45" s="444"/>
      <c r="BI45" s="429">
        <v>0</v>
      </c>
    </row>
    <row r="46" spans="1:61" ht="21.95" customHeight="1">
      <c r="A46" s="1151" t="s">
        <v>345</v>
      </c>
      <c r="B46" s="1151"/>
      <c r="C46" s="1151"/>
      <c r="D46" s="1151"/>
      <c r="E46" s="2395">
        <v>1</v>
      </c>
      <c r="F46" s="1151"/>
      <c r="G46" s="1151"/>
      <c r="H46" s="1151"/>
      <c r="I46" s="1151"/>
      <c r="J46" s="1151"/>
      <c r="K46" s="1151"/>
      <c r="L46" s="1152"/>
      <c r="M46" s="1153"/>
      <c r="N46" s="1153"/>
      <c r="O46" s="1153"/>
      <c r="P46" s="1197"/>
      <c r="Q46" s="772"/>
      <c r="R46" s="288"/>
      <c r="S46" s="1281">
        <f>INDEX(PT_DIFFERENTIATION_NUM_NTAR,MATCH(A46,PT_DIFFERENTIATION_NTAR_ID,0))</f>
        <v>0</v>
      </c>
      <c r="T46" s="232" t="s">
        <v>214</v>
      </c>
      <c r="U46" s="234"/>
      <c r="V46" s="2390"/>
      <c r="W46" s="2390"/>
      <c r="X46" s="2390"/>
      <c r="Y46" s="2390"/>
      <c r="Z46" s="2390"/>
      <c r="AA46" s="2390"/>
      <c r="AB46" s="2390"/>
      <c r="AC46" s="2391"/>
      <c r="AD46" s="2389" t="str">
        <f>INDEX(PT_DIFFERENTIATION_NTAR,MATCH(A46,PT_DIFFERENTIATION_NTAR_ID,0))</f>
        <v/>
      </c>
      <c r="AE46" s="2390"/>
      <c r="AF46" s="2390"/>
      <c r="AG46" s="2390"/>
      <c r="AH46" s="2390"/>
      <c r="AI46" s="2390"/>
      <c r="AJ46" s="2390"/>
      <c r="AK46" s="2390"/>
      <c r="AL46" s="2390"/>
      <c r="AM46" s="2390"/>
      <c r="AN46" s="2390"/>
      <c r="AO46" s="2390"/>
      <c r="AP46" s="2390"/>
      <c r="AQ46" s="2390"/>
      <c r="AR46" s="2390"/>
      <c r="AS46" s="2390"/>
      <c r="AT46" s="2390"/>
      <c r="AU46" s="2390"/>
      <c r="AV46" s="2390"/>
      <c r="AW46" s="2390"/>
      <c r="AX46" s="2390"/>
      <c r="AY46" s="2390"/>
      <c r="AZ46" s="2390"/>
      <c r="BA46" s="2390"/>
      <c r="BB46" s="2391"/>
      <c r="BC46" s="104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3"/>
      <c r="BF46" s="433" t="str">
        <f t="shared" ref="BF46:BF52" si="3">IF(T46="","",T46)</f>
        <v>Наименование тарифа</v>
      </c>
      <c r="BG46" s="433"/>
      <c r="BH46" s="433"/>
      <c r="BI46" s="956">
        <v>21</v>
      </c>
    </row>
    <row r="47" spans="1:61" ht="21.95" customHeight="1">
      <c r="A47" s="1151" t="s">
        <v>345</v>
      </c>
      <c r="B47" s="1151" t="s">
        <v>346</v>
      </c>
      <c r="C47" s="1151"/>
      <c r="D47" s="1151"/>
      <c r="E47" s="2396"/>
      <c r="F47" s="2395">
        <v>1</v>
      </c>
      <c r="G47" s="1151"/>
      <c r="H47" s="1151"/>
      <c r="I47" s="1151"/>
      <c r="J47" s="1151"/>
      <c r="K47" s="1151"/>
      <c r="L47" s="1152"/>
      <c r="M47" s="1153"/>
      <c r="N47" s="1153"/>
      <c r="O47" s="1153"/>
      <c r="P47" s="1198"/>
      <c r="Q47" s="1199"/>
      <c r="R47" s="286"/>
      <c r="S47" s="1281" t="str">
        <f>INDEX(PT_DIFFERENTIATION_NUM_TER,MATCH(B47,PT_DIFFERENTIATION_TER_ID,0))</f>
        <v>.</v>
      </c>
      <c r="T47" s="242" t="s">
        <v>481</v>
      </c>
      <c r="U47" s="234"/>
      <c r="V47" s="2390"/>
      <c r="W47" s="2390"/>
      <c r="X47" s="2390"/>
      <c r="Y47" s="2390"/>
      <c r="Z47" s="2390"/>
      <c r="AA47" s="2390"/>
      <c r="AB47" s="2390"/>
      <c r="AC47" s="2391"/>
      <c r="AD47" s="2389" t="str">
        <f>INDEX(PT_DIFFERENTIATION_TER,MATCH(B47,PT_DIFFERENTIATION_TER_ID,0))</f>
        <v/>
      </c>
      <c r="AE47" s="2390"/>
      <c r="AF47" s="2390"/>
      <c r="AG47" s="2390"/>
      <c r="AH47" s="2390"/>
      <c r="AI47" s="2390"/>
      <c r="AJ47" s="2390"/>
      <c r="AK47" s="2390"/>
      <c r="AL47" s="2390"/>
      <c r="AM47" s="2390"/>
      <c r="AN47" s="2390"/>
      <c r="AO47" s="2390"/>
      <c r="AP47" s="2390"/>
      <c r="AQ47" s="2390"/>
      <c r="AR47" s="2390"/>
      <c r="AS47" s="2390"/>
      <c r="AT47" s="2390"/>
      <c r="AU47" s="2390"/>
      <c r="AV47" s="2390"/>
      <c r="AW47" s="2390"/>
      <c r="AX47" s="2390"/>
      <c r="AY47" s="2390"/>
      <c r="AZ47" s="2390"/>
      <c r="BA47" s="2390"/>
      <c r="BB47" s="2391"/>
      <c r="BC47" s="1046" t="s">
        <v>482</v>
      </c>
      <c r="BE47" s="433"/>
      <c r="BF47" s="433" t="str">
        <f t="shared" si="3"/>
        <v>Территория действия тарифа</v>
      </c>
      <c r="BG47" s="433"/>
      <c r="BH47" s="433"/>
      <c r="BI47" s="956">
        <v>21</v>
      </c>
    </row>
    <row r="48" spans="1:61" ht="35.65" customHeight="1">
      <c r="A48" s="1151" t="s">
        <v>345</v>
      </c>
      <c r="B48" s="1151" t="s">
        <v>346</v>
      </c>
      <c r="C48" s="1151" t="s">
        <v>347</v>
      </c>
      <c r="D48" s="1151"/>
      <c r="E48" s="2396"/>
      <c r="F48" s="2396"/>
      <c r="G48" s="2395">
        <v>1</v>
      </c>
      <c r="H48" s="1151"/>
      <c r="I48" s="1151"/>
      <c r="J48" s="1151"/>
      <c r="K48" s="1151"/>
      <c r="L48" s="1152"/>
      <c r="M48" s="1153"/>
      <c r="N48" s="1153"/>
      <c r="O48" s="1153"/>
      <c r="P48" s="1200"/>
      <c r="Q48" s="1199"/>
      <c r="R48" s="286"/>
      <c r="S48" s="1281" t="str">
        <f>INDEX(PT_DIFFERENTIATION_NUM_CS,MATCH(C48,PT_DIFFERENTIATION_CS_ID,0))</f>
        <v>..</v>
      </c>
      <c r="T48" s="243" t="s">
        <v>614</v>
      </c>
      <c r="U48" s="234"/>
      <c r="V48" s="2390"/>
      <c r="W48" s="2390"/>
      <c r="X48" s="2390"/>
      <c r="Y48" s="2390"/>
      <c r="Z48" s="2390"/>
      <c r="AA48" s="2390"/>
      <c r="AB48" s="2390"/>
      <c r="AC48" s="2391"/>
      <c r="AD48" s="2389" t="str">
        <f>INDEX(PT_DIFFERENTIATION_CS,MATCH(C48,PT_DIFFERENTIATION_CS_ID,0))</f>
        <v/>
      </c>
      <c r="AE48" s="2390"/>
      <c r="AF48" s="2390"/>
      <c r="AG48" s="2390"/>
      <c r="AH48" s="2390"/>
      <c r="AI48" s="2390"/>
      <c r="AJ48" s="2390"/>
      <c r="AK48" s="2390"/>
      <c r="AL48" s="2390"/>
      <c r="AM48" s="2390"/>
      <c r="AN48" s="2390"/>
      <c r="AO48" s="2390"/>
      <c r="AP48" s="2390"/>
      <c r="AQ48" s="2390"/>
      <c r="AR48" s="2390"/>
      <c r="AS48" s="2390"/>
      <c r="AT48" s="2390"/>
      <c r="AU48" s="2390"/>
      <c r="AV48" s="2390"/>
      <c r="AW48" s="2390"/>
      <c r="AX48" s="2390"/>
      <c r="AY48" s="2390"/>
      <c r="AZ48" s="2390"/>
      <c r="BA48" s="2390"/>
      <c r="BB48" s="2391"/>
      <c r="BC48" s="1046" t="s">
        <v>615</v>
      </c>
      <c r="BE48" s="433"/>
      <c r="BF48" s="433" t="str">
        <f t="shared" si="3"/>
        <v>Наименование централизованной системы горячего водоснабжения</v>
      </c>
      <c r="BG48" s="433"/>
      <c r="BH48" s="433"/>
      <c r="BI48" s="956">
        <v>34</v>
      </c>
    </row>
    <row r="49" spans="1:61" s="1430" customFormat="1" ht="0" hidden="1" customHeight="1">
      <c r="A49" s="1131" t="s">
        <v>345</v>
      </c>
      <c r="B49" s="1131" t="s">
        <v>346</v>
      </c>
      <c r="C49" s="1131" t="s">
        <v>347</v>
      </c>
      <c r="D49" s="1131" t="s">
        <v>628</v>
      </c>
      <c r="E49" s="2396"/>
      <c r="F49" s="2396"/>
      <c r="G49" s="2396"/>
      <c r="H49" s="2395">
        <v>1</v>
      </c>
      <c r="I49" s="1131"/>
      <c r="J49" s="1131"/>
      <c r="K49" s="1131"/>
      <c r="L49" s="1134"/>
      <c r="M49" s="1103"/>
      <c r="N49" s="1103"/>
      <c r="O49" s="1103"/>
      <c r="P49" s="1285"/>
      <c r="Q49" s="1286"/>
      <c r="R49" s="290"/>
      <c r="S49" s="881"/>
      <c r="T49" s="1287"/>
      <c r="U49" s="1172"/>
      <c r="V49" s="2427"/>
      <c r="W49" s="2427"/>
      <c r="X49" s="2427"/>
      <c r="Y49" s="2427"/>
      <c r="Z49" s="2427"/>
      <c r="AA49" s="2427"/>
      <c r="AB49" s="2427"/>
      <c r="AC49" s="2428"/>
      <c r="AD49" s="2426"/>
      <c r="AE49" s="2427"/>
      <c r="AF49" s="2427"/>
      <c r="AG49" s="2427"/>
      <c r="AH49" s="2427"/>
      <c r="AI49" s="2427"/>
      <c r="AJ49" s="2427"/>
      <c r="AK49" s="2427"/>
      <c r="AL49" s="2427"/>
      <c r="AM49" s="2427"/>
      <c r="AN49" s="2427"/>
      <c r="AO49" s="2427"/>
      <c r="AP49" s="2427"/>
      <c r="AQ49" s="2427"/>
      <c r="AR49" s="2427"/>
      <c r="AS49" s="2427"/>
      <c r="AT49" s="2427"/>
      <c r="AU49" s="2427"/>
      <c r="AV49" s="2427"/>
      <c r="AW49" s="2427"/>
      <c r="AX49" s="2427"/>
      <c r="AY49" s="2427"/>
      <c r="AZ49" s="2427"/>
      <c r="BA49" s="2427"/>
      <c r="BB49" s="2428"/>
      <c r="BC49" s="1173" t="s">
        <v>486</v>
      </c>
      <c r="BE49" s="433"/>
      <c r="BF49" s="433" t="str">
        <f t="shared" si="3"/>
        <v/>
      </c>
      <c r="BG49" s="433"/>
      <c r="BH49" s="433"/>
      <c r="BI49" s="444">
        <v>0</v>
      </c>
    </row>
    <row r="50" spans="1:61" s="1430" customFormat="1" ht="0" hidden="1" customHeight="1">
      <c r="A50" s="1131" t="s">
        <v>345</v>
      </c>
      <c r="B50" s="1131" t="s">
        <v>346</v>
      </c>
      <c r="C50" s="1131" t="s">
        <v>347</v>
      </c>
      <c r="D50" s="1131" t="s">
        <v>628</v>
      </c>
      <c r="E50" s="2396"/>
      <c r="F50" s="2396"/>
      <c r="G50" s="2396"/>
      <c r="H50" s="2396"/>
      <c r="I50" s="2397" t="str">
        <f>S49&amp;".1"</f>
        <v>.1</v>
      </c>
      <c r="J50" s="1131"/>
      <c r="K50" s="1131"/>
      <c r="L50" s="1134" t="s">
        <v>487</v>
      </c>
      <c r="M50" s="443"/>
      <c r="N50" s="443"/>
      <c r="O50" s="443"/>
      <c r="P50" s="2399">
        <v>1</v>
      </c>
      <c r="Q50" s="1269"/>
      <c r="R50" s="289"/>
      <c r="S50" s="881"/>
      <c r="T50" s="1171"/>
      <c r="U50" s="1172"/>
      <c r="V50" s="2427"/>
      <c r="W50" s="2427"/>
      <c r="X50" s="2427"/>
      <c r="Y50" s="2427"/>
      <c r="Z50" s="2427"/>
      <c r="AA50" s="2427"/>
      <c r="AB50" s="2427"/>
      <c r="AC50" s="2428"/>
      <c r="AD50" s="2426"/>
      <c r="AE50" s="2427"/>
      <c r="AF50" s="2427"/>
      <c r="AG50" s="2427"/>
      <c r="AH50" s="2427"/>
      <c r="AI50" s="2427"/>
      <c r="AJ50" s="2427"/>
      <c r="AK50" s="2427"/>
      <c r="AL50" s="2427"/>
      <c r="AM50" s="2427"/>
      <c r="AN50" s="2427"/>
      <c r="AO50" s="2427"/>
      <c r="AP50" s="2427"/>
      <c r="AQ50" s="2427"/>
      <c r="AR50" s="2427"/>
      <c r="AS50" s="2427"/>
      <c r="AT50" s="2427"/>
      <c r="AU50" s="2427"/>
      <c r="AV50" s="2427"/>
      <c r="AW50" s="2427"/>
      <c r="AX50" s="2427"/>
      <c r="AY50" s="2427"/>
      <c r="AZ50" s="2427"/>
      <c r="BA50" s="2427"/>
      <c r="BB50" s="2428"/>
      <c r="BC50" s="1173"/>
      <c r="BE50" s="433"/>
      <c r="BF50" s="433" t="str">
        <f t="shared" si="3"/>
        <v/>
      </c>
      <c r="BG50" s="433"/>
      <c r="BH50" s="433"/>
      <c r="BI50" s="444">
        <v>0</v>
      </c>
    </row>
    <row r="51" spans="1:61" s="1430" customFormat="1" ht="0" hidden="1" customHeight="1">
      <c r="A51" s="1131" t="s">
        <v>345</v>
      </c>
      <c r="B51" s="1131" t="s">
        <v>346</v>
      </c>
      <c r="C51" s="1131" t="s">
        <v>347</v>
      </c>
      <c r="D51" s="1131" t="s">
        <v>628</v>
      </c>
      <c r="E51" s="2396"/>
      <c r="F51" s="2396"/>
      <c r="G51" s="2396"/>
      <c r="H51" s="2396"/>
      <c r="I51" s="2398"/>
      <c r="J51" s="2397" t="str">
        <f>S49&amp;".1"</f>
        <v>.1</v>
      </c>
      <c r="K51" s="1131"/>
      <c r="L51" s="1134"/>
      <c r="M51" s="443"/>
      <c r="N51" s="443"/>
      <c r="O51" s="443"/>
      <c r="P51" s="2399"/>
      <c r="Q51" s="2399">
        <v>1</v>
      </c>
      <c r="R51" s="290"/>
      <c r="S51" s="881"/>
      <c r="T51" s="1187"/>
      <c r="U51" s="1172"/>
      <c r="V51" s="2427"/>
      <c r="W51" s="2427"/>
      <c r="X51" s="2427"/>
      <c r="Y51" s="2427"/>
      <c r="Z51" s="2427"/>
      <c r="AA51" s="2427"/>
      <c r="AB51" s="2427"/>
      <c r="AC51" s="2428"/>
      <c r="AD51" s="2426"/>
      <c r="AE51" s="2427"/>
      <c r="AF51" s="2427"/>
      <c r="AG51" s="2427"/>
      <c r="AH51" s="2427"/>
      <c r="AI51" s="2427"/>
      <c r="AJ51" s="2427"/>
      <c r="AK51" s="2427"/>
      <c r="AL51" s="2427"/>
      <c r="AM51" s="2427"/>
      <c r="AN51" s="2478"/>
      <c r="AO51" s="2478"/>
      <c r="AP51" s="2427"/>
      <c r="AQ51" s="2427"/>
      <c r="AR51" s="2427"/>
      <c r="AS51" s="2427"/>
      <c r="AT51" s="2427"/>
      <c r="AU51" s="2427"/>
      <c r="AV51" s="2427"/>
      <c r="AW51" s="2427"/>
      <c r="AX51" s="2427"/>
      <c r="AY51" s="2427"/>
      <c r="AZ51" s="2427"/>
      <c r="BA51" s="2427"/>
      <c r="BB51" s="2428"/>
      <c r="BC51" s="1173"/>
      <c r="BE51" s="433"/>
      <c r="BF51" s="433" t="str">
        <f t="shared" si="3"/>
        <v/>
      </c>
      <c r="BG51" s="433"/>
      <c r="BH51" s="433"/>
      <c r="BI51" s="444">
        <v>0</v>
      </c>
    </row>
    <row r="52" spans="1:61" ht="11.45" customHeight="1">
      <c r="A52" s="1151" t="s">
        <v>345</v>
      </c>
      <c r="B52" s="1151" t="s">
        <v>346</v>
      </c>
      <c r="C52" s="1151" t="s">
        <v>347</v>
      </c>
      <c r="D52" s="1151" t="s">
        <v>628</v>
      </c>
      <c r="E52" s="2396"/>
      <c r="F52" s="2396"/>
      <c r="G52" s="2396"/>
      <c r="H52" s="2396"/>
      <c r="I52" s="2398"/>
      <c r="J52" s="2398"/>
      <c r="K52" s="2397" t="str">
        <f>S48&amp;".1"</f>
        <v>...1</v>
      </c>
      <c r="L52" s="1152"/>
      <c r="P52" s="2399"/>
      <c r="Q52" s="2399"/>
      <c r="R52" s="290">
        <v>1</v>
      </c>
      <c r="S52" s="2452" t="str">
        <f>$K52</f>
        <v>...1</v>
      </c>
      <c r="T52" s="2472"/>
      <c r="U52" s="234"/>
      <c r="V52" s="658"/>
      <c r="W52" s="1045"/>
      <c r="X52" s="658"/>
      <c r="Y52" s="1045"/>
      <c r="Z52" s="1493"/>
      <c r="AA52" s="1257" t="s">
        <v>52</v>
      </c>
      <c r="AB52" s="1493"/>
      <c r="AC52" s="1257" t="s">
        <v>52</v>
      </c>
      <c r="AD52" s="2340" t="s">
        <v>52</v>
      </c>
      <c r="AE52" s="2448"/>
      <c r="AF52" s="2353">
        <v>1</v>
      </c>
      <c r="AG52" s="2471"/>
      <c r="AH52" s="2276" t="s">
        <v>52</v>
      </c>
      <c r="AI52" s="2448"/>
      <c r="AJ52" s="2353">
        <v>1</v>
      </c>
      <c r="AK52" s="2462" t="s">
        <v>9</v>
      </c>
      <c r="AL52" s="2276" t="s">
        <v>52</v>
      </c>
      <c r="AM52" s="2328"/>
      <c r="AN52" s="2353">
        <v>1</v>
      </c>
      <c r="AO52" s="2475"/>
      <c r="AP52" s="2476" t="s">
        <v>52</v>
      </c>
      <c r="AQ52" s="245"/>
      <c r="AR52" s="1274">
        <v>1</v>
      </c>
      <c r="AS52" s="1280" t="s">
        <v>9</v>
      </c>
      <c r="AT52" s="658"/>
      <c r="AU52" s="1045"/>
      <c r="AV52" s="658"/>
      <c r="AW52" s="1045"/>
      <c r="AX52" s="1493"/>
      <c r="AY52" s="1257" t="s">
        <v>52</v>
      </c>
      <c r="AZ52" s="1493"/>
      <c r="BA52" s="1257" t="s">
        <v>52</v>
      </c>
      <c r="BB52" s="1136"/>
      <c r="BC52" s="2418" t="s">
        <v>585</v>
      </c>
      <c r="BE52" s="433"/>
      <c r="BF52" s="433" t="str">
        <f t="shared" si="3"/>
        <v/>
      </c>
      <c r="BG52" s="433"/>
      <c r="BH52" s="433"/>
      <c r="BI52" s="956">
        <v>11</v>
      </c>
    </row>
    <row r="53" spans="1:61" ht="11.45" customHeight="1">
      <c r="A53" s="1151"/>
      <c r="B53" s="1151"/>
      <c r="C53" s="1151"/>
      <c r="D53" s="1151"/>
      <c r="E53" s="2396"/>
      <c r="F53" s="2396"/>
      <c r="G53" s="2396"/>
      <c r="H53" s="2396"/>
      <c r="I53" s="2398"/>
      <c r="J53" s="2398"/>
      <c r="K53" s="2397"/>
      <c r="L53" s="1152"/>
      <c r="P53" s="2399"/>
      <c r="Q53" s="2399"/>
      <c r="R53" s="290"/>
      <c r="S53" s="2453"/>
      <c r="T53" s="2473"/>
      <c r="U53" s="234"/>
      <c r="V53" s="1181"/>
      <c r="W53" s="1284"/>
      <c r="X53" s="1181"/>
      <c r="Y53" s="1284"/>
      <c r="Z53" s="1181"/>
      <c r="AA53" s="1181"/>
      <c r="AB53" s="1181"/>
      <c r="AC53" s="1181"/>
      <c r="AD53" s="2341"/>
      <c r="AE53" s="2448"/>
      <c r="AF53" s="2353"/>
      <c r="AG53" s="2471"/>
      <c r="AH53" s="2276"/>
      <c r="AI53" s="2448"/>
      <c r="AJ53" s="2353"/>
      <c r="AK53" s="2462"/>
      <c r="AL53" s="2276"/>
      <c r="AM53" s="2333"/>
      <c r="AN53" s="2353"/>
      <c r="AO53" s="2475"/>
      <c r="AP53" s="2477"/>
      <c r="AQ53" s="250"/>
      <c r="AR53" s="349"/>
      <c r="AS53" s="349" t="s">
        <v>586</v>
      </c>
      <c r="AT53" s="1181"/>
      <c r="AU53" s="1284"/>
      <c r="AV53" s="1181"/>
      <c r="AW53" s="1284"/>
      <c r="AX53" s="1181"/>
      <c r="AY53" s="1181"/>
      <c r="AZ53" s="1181"/>
      <c r="BA53" s="1181"/>
      <c r="BB53" s="1185"/>
      <c r="BC53" s="2419"/>
      <c r="BE53" s="433"/>
      <c r="BF53" s="433"/>
      <c r="BG53" s="433"/>
      <c r="BH53" s="433"/>
      <c r="BI53" s="956">
        <v>11</v>
      </c>
    </row>
    <row r="54" spans="1:61" ht="11.45" customHeight="1">
      <c r="A54" s="1151" t="s">
        <v>345</v>
      </c>
      <c r="B54" s="1151"/>
      <c r="C54" s="1151"/>
      <c r="D54" s="1151"/>
      <c r="E54" s="2396"/>
      <c r="F54" s="2396"/>
      <c r="G54" s="2396"/>
      <c r="H54" s="2396"/>
      <c r="I54" s="2398"/>
      <c r="J54" s="2398"/>
      <c r="K54" s="2397"/>
      <c r="L54" s="1152"/>
      <c r="P54" s="2399"/>
      <c r="Q54" s="2399"/>
      <c r="R54" s="290"/>
      <c r="S54" s="2453"/>
      <c r="T54" s="2473"/>
      <c r="U54" s="234"/>
      <c r="V54" s="1181"/>
      <c r="W54" s="1284"/>
      <c r="X54" s="1181"/>
      <c r="Y54" s="1284"/>
      <c r="Z54" s="1181"/>
      <c r="AA54" s="1181"/>
      <c r="AB54" s="1181"/>
      <c r="AC54" s="1181"/>
      <c r="AD54" s="2341"/>
      <c r="AE54" s="2448"/>
      <c r="AF54" s="2353"/>
      <c r="AG54" s="2471"/>
      <c r="AH54" s="2276"/>
      <c r="AI54" s="2448"/>
      <c r="AJ54" s="2353"/>
      <c r="AK54" s="2462"/>
      <c r="AL54" s="2276"/>
      <c r="AM54" s="250"/>
      <c r="AN54" s="1288"/>
      <c r="AO54" s="1288" t="s">
        <v>587</v>
      </c>
      <c r="AP54" s="349"/>
      <c r="AQ54" s="349"/>
      <c r="AR54" s="349"/>
      <c r="AS54" s="1181"/>
      <c r="AT54" s="1181"/>
      <c r="AU54" s="1284"/>
      <c r="AV54" s="1181"/>
      <c r="AW54" s="1284"/>
      <c r="AX54" s="1181"/>
      <c r="AY54" s="1181"/>
      <c r="AZ54" s="1181"/>
      <c r="BA54" s="1181"/>
      <c r="BB54" s="1185"/>
      <c r="BC54" s="2419"/>
      <c r="BE54" s="433"/>
      <c r="BF54" s="433"/>
      <c r="BG54" s="433"/>
      <c r="BH54" s="433"/>
      <c r="BI54" s="956">
        <v>11</v>
      </c>
    </row>
    <row r="55" spans="1:61" ht="11.45" customHeight="1">
      <c r="A55" s="1151" t="s">
        <v>345</v>
      </c>
      <c r="B55" s="1151"/>
      <c r="C55" s="1151"/>
      <c r="D55" s="1151"/>
      <c r="E55" s="2396"/>
      <c r="F55" s="2396"/>
      <c r="G55" s="2396"/>
      <c r="H55" s="2396"/>
      <c r="I55" s="2398"/>
      <c r="J55" s="2398"/>
      <c r="K55" s="2397"/>
      <c r="L55" s="1152"/>
      <c r="P55" s="2399"/>
      <c r="Q55" s="2399"/>
      <c r="R55" s="290"/>
      <c r="S55" s="2453"/>
      <c r="T55" s="2473"/>
      <c r="U55" s="234"/>
      <c r="V55" s="1181"/>
      <c r="W55" s="1284"/>
      <c r="X55" s="1181"/>
      <c r="Y55" s="1284"/>
      <c r="Z55" s="1181"/>
      <c r="AA55" s="1181"/>
      <c r="AB55" s="1181"/>
      <c r="AC55" s="1181"/>
      <c r="AD55" s="2341"/>
      <c r="AE55" s="2448"/>
      <c r="AF55" s="2353"/>
      <c r="AG55" s="2471"/>
      <c r="AH55" s="2276"/>
      <c r="AI55" s="228"/>
      <c r="AJ55" s="348"/>
      <c r="AK55" s="247" t="s">
        <v>588</v>
      </c>
      <c r="AL55" s="1181"/>
      <c r="AM55" s="1181"/>
      <c r="AN55" s="1181"/>
      <c r="AO55" s="1181"/>
      <c r="AP55" s="1181"/>
      <c r="AQ55" s="1181"/>
      <c r="AR55" s="1181"/>
      <c r="AS55" s="1181"/>
      <c r="AT55" s="1181"/>
      <c r="AU55" s="1284"/>
      <c r="AV55" s="1181"/>
      <c r="AW55" s="1284"/>
      <c r="AX55" s="1181"/>
      <c r="AY55" s="1181"/>
      <c r="AZ55" s="1181"/>
      <c r="BA55" s="1181"/>
      <c r="BB55" s="1185"/>
      <c r="BC55" s="2419"/>
      <c r="BE55" s="433"/>
      <c r="BF55" s="433"/>
      <c r="BG55" s="433"/>
      <c r="BH55" s="433"/>
      <c r="BI55" s="956">
        <v>11</v>
      </c>
    </row>
    <row r="56" spans="1:61" ht="11.45" customHeight="1">
      <c r="A56" s="1151" t="s">
        <v>345</v>
      </c>
      <c r="B56" s="1151" t="s">
        <v>346</v>
      </c>
      <c r="C56" s="1151" t="s">
        <v>347</v>
      </c>
      <c r="D56" s="1151" t="s">
        <v>628</v>
      </c>
      <c r="E56" s="2396"/>
      <c r="F56" s="2396"/>
      <c r="G56" s="2396"/>
      <c r="H56" s="2396"/>
      <c r="I56" s="2398"/>
      <c r="J56" s="2398"/>
      <c r="K56" s="2397"/>
      <c r="L56" s="1152"/>
      <c r="P56" s="2399"/>
      <c r="Q56" s="2399"/>
      <c r="R56" s="290"/>
      <c r="S56" s="2454"/>
      <c r="T56" s="2474"/>
      <c r="U56" s="234"/>
      <c r="V56" s="1181"/>
      <c r="W56" s="1182" t="str">
        <f>Z52&amp;"-"&amp;AB52</f>
        <v>-</v>
      </c>
      <c r="X56" s="1181"/>
      <c r="Y56" s="1182" t="str">
        <f>AB52&amp;"-"&amp;AD52</f>
        <v>-да</v>
      </c>
      <c r="Z56" s="1181"/>
      <c r="AA56" s="1181"/>
      <c r="AB56" s="1181"/>
      <c r="AC56" s="1181"/>
      <c r="AD56" s="2282"/>
      <c r="AE56" s="246"/>
      <c r="AF56" s="248"/>
      <c r="AG56" s="349" t="s">
        <v>589</v>
      </c>
      <c r="AH56" s="1181"/>
      <c r="AI56" s="1181"/>
      <c r="AJ56" s="1181"/>
      <c r="AK56" s="1181"/>
      <c r="AL56" s="1181"/>
      <c r="AM56" s="1181"/>
      <c r="AN56" s="1181"/>
      <c r="AO56" s="1181"/>
      <c r="AP56" s="1181"/>
      <c r="AQ56" s="1181"/>
      <c r="AR56" s="1181"/>
      <c r="AS56" s="1181"/>
      <c r="AT56" s="1181"/>
      <c r="AU56" s="1182" t="str">
        <f>AX52&amp;"-"&amp;AZ52</f>
        <v>-</v>
      </c>
      <c r="AV56" s="1181"/>
      <c r="AW56" s="1182" t="str">
        <f>AZ52&amp;"-"&amp;BB52</f>
        <v>-</v>
      </c>
      <c r="AX56" s="1181"/>
      <c r="AY56" s="1181"/>
      <c r="AZ56" s="1181"/>
      <c r="BA56" s="1181"/>
      <c r="BB56" s="1184" t="str">
        <f>BE52&amp;"-"&amp;BG52</f>
        <v>-</v>
      </c>
      <c r="BC56" s="2419"/>
      <c r="BE56" s="433"/>
      <c r="BF56" s="433" t="str">
        <f t="shared" ref="BF56:BF63" si="4">IF(T56="","",T56)</f>
        <v/>
      </c>
      <c r="BG56" s="433"/>
      <c r="BH56" s="433"/>
      <c r="BI56" s="956">
        <v>11</v>
      </c>
    </row>
    <row r="57" spans="1:61" ht="11.45" customHeight="1">
      <c r="A57" s="1151" t="s">
        <v>345</v>
      </c>
      <c r="B57" s="1151" t="s">
        <v>346</v>
      </c>
      <c r="C57" s="1151" t="s">
        <v>347</v>
      </c>
      <c r="D57" s="1151" t="s">
        <v>628</v>
      </c>
      <c r="E57" s="2396"/>
      <c r="F57" s="2396"/>
      <c r="G57" s="2396"/>
      <c r="H57" s="2396"/>
      <c r="I57" s="2398"/>
      <c r="J57" s="2397"/>
      <c r="K57" s="1151"/>
      <c r="L57" s="1152"/>
      <c r="P57" s="2399"/>
      <c r="Q57" s="2399"/>
      <c r="R57" s="289"/>
      <c r="S57" s="1066"/>
      <c r="T57" s="221" t="s">
        <v>552</v>
      </c>
      <c r="U57" s="300"/>
      <c r="V57" s="300"/>
      <c r="W57" s="300"/>
      <c r="X57" s="300"/>
      <c r="Y57" s="300"/>
      <c r="Z57" s="300"/>
      <c r="AA57" s="300"/>
      <c r="AB57" s="300"/>
      <c r="AC57" s="258"/>
      <c r="AD57" s="1293"/>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258"/>
      <c r="BC57" s="2420"/>
      <c r="BE57" s="433"/>
      <c r="BF57" s="433" t="str">
        <f t="shared" si="4"/>
        <v>Добавить строку</v>
      </c>
      <c r="BG57" s="433"/>
      <c r="BH57" s="433"/>
      <c r="BI57" s="956">
        <v>11</v>
      </c>
    </row>
    <row r="58" spans="1:61" s="1430" customFormat="1" ht="0" hidden="1" customHeight="1">
      <c r="A58" s="1131" t="s">
        <v>345</v>
      </c>
      <c r="B58" s="1131" t="s">
        <v>346</v>
      </c>
      <c r="C58" s="1131" t="s">
        <v>347</v>
      </c>
      <c r="D58" s="1131" t="s">
        <v>628</v>
      </c>
      <c r="E58" s="2396"/>
      <c r="F58" s="2396"/>
      <c r="G58" s="2396"/>
      <c r="H58" s="2396"/>
      <c r="I58" s="2397"/>
      <c r="J58" s="1131"/>
      <c r="K58" s="1131"/>
      <c r="L58" s="1134"/>
      <c r="M58" s="443"/>
      <c r="N58" s="443"/>
      <c r="O58" s="443"/>
      <c r="P58" s="2399"/>
      <c r="Q58" s="1269"/>
      <c r="R58" s="289"/>
      <c r="S58" s="1174"/>
      <c r="T58" s="1175"/>
      <c r="U58" s="1176"/>
      <c r="V58" s="1176"/>
      <c r="W58" s="1176"/>
      <c r="X58" s="1176"/>
      <c r="Y58" s="1176"/>
      <c r="Z58" s="1176"/>
      <c r="AA58" s="1176"/>
      <c r="AB58" s="1176"/>
      <c r="AC58" s="1176"/>
      <c r="AD58" s="1176"/>
      <c r="AE58" s="1176"/>
      <c r="AF58" s="1176"/>
      <c r="AG58" s="1176"/>
      <c r="AH58" s="1176"/>
      <c r="AI58" s="1176"/>
      <c r="AJ58" s="1176"/>
      <c r="AK58" s="1176"/>
      <c r="AL58" s="1176"/>
      <c r="AM58" s="1176"/>
      <c r="AN58" s="1176"/>
      <c r="AO58" s="1176"/>
      <c r="AP58" s="1176"/>
      <c r="AQ58" s="1176"/>
      <c r="AR58" s="1176"/>
      <c r="AS58" s="1176"/>
      <c r="AT58" s="1176"/>
      <c r="AU58" s="1176"/>
      <c r="AV58" s="1176"/>
      <c r="AW58" s="1176"/>
      <c r="AX58" s="1176"/>
      <c r="AY58" s="1176"/>
      <c r="AZ58" s="1176"/>
      <c r="BA58" s="1176"/>
      <c r="BB58" s="1176"/>
      <c r="BC58" s="1177"/>
      <c r="BE58" s="433"/>
      <c r="BF58" s="433" t="str">
        <f t="shared" si="4"/>
        <v/>
      </c>
      <c r="BG58" s="433"/>
      <c r="BH58" s="433"/>
      <c r="BI58" s="444">
        <v>0</v>
      </c>
    </row>
    <row r="59" spans="1:61" s="1430" customFormat="1" ht="0" hidden="1" customHeight="1">
      <c r="A59" s="1131" t="s">
        <v>345</v>
      </c>
      <c r="B59" s="1131" t="s">
        <v>346</v>
      </c>
      <c r="C59" s="1131" t="s">
        <v>347</v>
      </c>
      <c r="D59" s="1131" t="s">
        <v>628</v>
      </c>
      <c r="E59" s="2396"/>
      <c r="F59" s="2396"/>
      <c r="G59" s="2396"/>
      <c r="H59" s="2395"/>
      <c r="I59" s="1131"/>
      <c r="J59" s="1131"/>
      <c r="K59" s="1131"/>
      <c r="L59" s="1134"/>
      <c r="M59" s="1103"/>
      <c r="N59" s="1103"/>
      <c r="O59" s="451"/>
      <c r="P59" s="313"/>
      <c r="Q59" s="1132"/>
      <c r="R59" s="1189"/>
      <c r="S59" s="1174"/>
      <c r="T59" s="1175"/>
      <c r="U59" s="1176"/>
      <c r="V59" s="1176"/>
      <c r="W59" s="1176"/>
      <c r="X59" s="1176"/>
      <c r="Y59" s="1176"/>
      <c r="Z59" s="1176"/>
      <c r="AA59" s="1176"/>
      <c r="AB59" s="1176"/>
      <c r="AC59" s="1176"/>
      <c r="AD59" s="1176"/>
      <c r="AE59" s="1176"/>
      <c r="AF59" s="1176"/>
      <c r="AG59" s="1176"/>
      <c r="AH59" s="1176"/>
      <c r="AI59" s="1176"/>
      <c r="AJ59" s="1176"/>
      <c r="AK59" s="1176"/>
      <c r="AL59" s="1176"/>
      <c r="AM59" s="1176"/>
      <c r="AN59" s="1176"/>
      <c r="AO59" s="1176"/>
      <c r="AP59" s="1176"/>
      <c r="AQ59" s="1176"/>
      <c r="AR59" s="1176"/>
      <c r="AS59" s="1176"/>
      <c r="AT59" s="1176"/>
      <c r="AU59" s="1176"/>
      <c r="AV59" s="1176"/>
      <c r="AW59" s="1176"/>
      <c r="AX59" s="1176"/>
      <c r="AY59" s="1176"/>
      <c r="AZ59" s="1176"/>
      <c r="BA59" s="1176"/>
      <c r="BB59" s="1176"/>
      <c r="BC59" s="1177"/>
      <c r="BE59" s="433"/>
      <c r="BF59" s="433" t="str">
        <f t="shared" si="4"/>
        <v/>
      </c>
      <c r="BG59" s="433"/>
      <c r="BH59" s="433"/>
      <c r="BI59" s="444">
        <v>0</v>
      </c>
    </row>
    <row r="60" spans="1:61" s="1430" customFormat="1" ht="0" hidden="1" customHeight="1">
      <c r="A60" s="1131" t="s">
        <v>345</v>
      </c>
      <c r="B60" s="1131" t="s">
        <v>346</v>
      </c>
      <c r="C60" s="1131" t="s">
        <v>347</v>
      </c>
      <c r="D60" s="1102"/>
      <c r="E60" s="2396"/>
      <c r="F60" s="2396"/>
      <c r="G60" s="2395"/>
      <c r="H60" s="1102"/>
      <c r="I60" s="1102"/>
      <c r="J60" s="1102"/>
      <c r="K60" s="1102"/>
      <c r="L60" s="1282"/>
      <c r="M60" s="1103"/>
      <c r="N60" s="1103"/>
      <c r="P60" s="1104"/>
      <c r="Q60" s="1105"/>
      <c r="R60" s="1104"/>
      <c r="S60" s="1110"/>
      <c r="T60" s="1113"/>
      <c r="U60" s="1112"/>
      <c r="V60" s="1112"/>
      <c r="W60" s="1112"/>
      <c r="X60" s="1112"/>
      <c r="Y60" s="1112"/>
      <c r="Z60" s="1112"/>
      <c r="AA60" s="1112"/>
      <c r="AB60" s="1112"/>
      <c r="AC60" s="1112"/>
      <c r="AD60" s="1112"/>
      <c r="AE60" s="1112"/>
      <c r="AF60" s="1112"/>
      <c r="AG60" s="1112"/>
      <c r="AH60" s="1112"/>
      <c r="AI60" s="1112"/>
      <c r="AJ60" s="1112"/>
      <c r="AK60" s="1112"/>
      <c r="AL60" s="1112"/>
      <c r="AM60" s="1112"/>
      <c r="AN60" s="1112"/>
      <c r="AO60" s="1112"/>
      <c r="AP60" s="1112"/>
      <c r="AQ60" s="1112"/>
      <c r="AR60" s="1112"/>
      <c r="AS60" s="1112"/>
      <c r="AT60" s="1112"/>
      <c r="AU60" s="1112"/>
      <c r="AV60" s="1112"/>
      <c r="AW60" s="1112"/>
      <c r="AX60" s="1112"/>
      <c r="AY60" s="1112"/>
      <c r="AZ60" s="1112"/>
      <c r="BA60" s="1112"/>
      <c r="BB60" s="1112"/>
      <c r="BC60" s="1112"/>
      <c r="BE60" s="688"/>
      <c r="BF60" s="688" t="str">
        <f t="shared" si="4"/>
        <v/>
      </c>
      <c r="BG60" s="688"/>
      <c r="BH60" s="688"/>
      <c r="BI60" s="451">
        <v>0</v>
      </c>
    </row>
    <row r="61" spans="1:61" s="1430" customFormat="1" ht="0" hidden="1" customHeight="1">
      <c r="A61" s="1131" t="s">
        <v>345</v>
      </c>
      <c r="B61" s="1131" t="s">
        <v>346</v>
      </c>
      <c r="C61" s="1102"/>
      <c r="D61" s="1102"/>
      <c r="E61" s="2396"/>
      <c r="F61" s="2395"/>
      <c r="G61" s="1102"/>
      <c r="H61" s="1102"/>
      <c r="I61" s="1102"/>
      <c r="J61" s="1102"/>
      <c r="K61" s="1102"/>
      <c r="L61" s="1282"/>
      <c r="M61" s="1109"/>
      <c r="N61" s="1109"/>
      <c r="P61" s="1104"/>
      <c r="Q61" s="1105"/>
      <c r="R61" s="1104"/>
      <c r="S61" s="1110"/>
      <c r="T61" s="1113" t="s">
        <v>499</v>
      </c>
      <c r="U61" s="1112"/>
      <c r="V61" s="1112"/>
      <c r="W61" s="1112"/>
      <c r="X61" s="1112"/>
      <c r="Y61" s="1112"/>
      <c r="Z61" s="1112"/>
      <c r="AA61" s="1112"/>
      <c r="AB61" s="1112"/>
      <c r="AC61" s="1112"/>
      <c r="AD61" s="1112"/>
      <c r="AE61" s="1112"/>
      <c r="AF61" s="1112"/>
      <c r="AG61" s="1112"/>
      <c r="AH61" s="1112"/>
      <c r="AI61" s="1112"/>
      <c r="AJ61" s="1112"/>
      <c r="AK61" s="1112"/>
      <c r="AL61" s="1112"/>
      <c r="AM61" s="1112"/>
      <c r="AN61" s="1112"/>
      <c r="AO61" s="1112"/>
      <c r="AP61" s="1112"/>
      <c r="AQ61" s="1112"/>
      <c r="AR61" s="1112"/>
      <c r="AS61" s="1112"/>
      <c r="AT61" s="1112"/>
      <c r="AU61" s="1112"/>
      <c r="AV61" s="1112"/>
      <c r="AW61" s="1112"/>
      <c r="AX61" s="1112"/>
      <c r="AY61" s="1112"/>
      <c r="AZ61" s="1112"/>
      <c r="BA61" s="1112"/>
      <c r="BB61" s="1112"/>
      <c r="BC61" s="1112"/>
      <c r="BE61" s="688"/>
      <c r="BF61" s="688" t="str">
        <f t="shared" si="4"/>
        <v>Добавить централизованную систему для дифференциации</v>
      </c>
      <c r="BG61" s="688"/>
      <c r="BH61" s="688"/>
      <c r="BI61" s="451">
        <v>0</v>
      </c>
    </row>
    <row r="62" spans="1:61" s="1430" customFormat="1" ht="0" hidden="1" customHeight="1">
      <c r="A62" s="1131" t="s">
        <v>345</v>
      </c>
      <c r="B62" s="1131"/>
      <c r="C62" s="1131"/>
      <c r="D62" s="1131"/>
      <c r="E62" s="2395"/>
      <c r="F62" s="1131"/>
      <c r="G62" s="1131"/>
      <c r="H62" s="1131"/>
      <c r="I62" s="1131"/>
      <c r="J62" s="1131"/>
      <c r="K62" s="1131"/>
      <c r="L62" s="1134"/>
      <c r="M62" s="1109"/>
      <c r="N62" s="1109"/>
      <c r="O62" s="451"/>
      <c r="P62" s="313"/>
      <c r="Q62" s="1132"/>
      <c r="R62" s="313"/>
      <c r="S62" s="1110"/>
      <c r="T62" s="1113" t="s">
        <v>500</v>
      </c>
      <c r="U62" s="1112"/>
      <c r="V62" s="1112"/>
      <c r="W62" s="1112"/>
      <c r="X62" s="1112"/>
      <c r="Y62" s="1112"/>
      <c r="Z62" s="1112"/>
      <c r="AA62" s="1112"/>
      <c r="AB62" s="1112"/>
      <c r="AC62" s="1112"/>
      <c r="AD62" s="1112"/>
      <c r="AE62" s="1112"/>
      <c r="AF62" s="1112"/>
      <c r="AG62" s="1112"/>
      <c r="AH62" s="1112"/>
      <c r="AI62" s="1112"/>
      <c r="AJ62" s="1112"/>
      <c r="AK62" s="1112"/>
      <c r="AL62" s="1112"/>
      <c r="AM62" s="1112"/>
      <c r="AN62" s="1112"/>
      <c r="AO62" s="1112"/>
      <c r="AP62" s="1112"/>
      <c r="AQ62" s="1112"/>
      <c r="AR62" s="1112"/>
      <c r="AS62" s="1112"/>
      <c r="AT62" s="1112"/>
      <c r="AU62" s="1112"/>
      <c r="AV62" s="1112"/>
      <c r="AW62" s="1112"/>
      <c r="AX62" s="1112"/>
      <c r="AY62" s="1112"/>
      <c r="AZ62" s="1112"/>
      <c r="BA62" s="1112"/>
      <c r="BB62" s="1112"/>
      <c r="BC62" s="1112"/>
      <c r="BE62" s="433"/>
      <c r="BF62" s="433" t="str">
        <f t="shared" si="4"/>
        <v>Добавить территорию для дифференциации</v>
      </c>
      <c r="BG62" s="433"/>
      <c r="BH62" s="433"/>
      <c r="BI62" s="444">
        <v>0</v>
      </c>
    </row>
    <row r="63" spans="1:61" s="1430" customFormat="1" ht="0" hidden="1" customHeight="1">
      <c r="A63" s="1102"/>
      <c r="B63" s="1102"/>
      <c r="C63" s="1102"/>
      <c r="D63" s="1102"/>
      <c r="E63" s="1131"/>
      <c r="F63" s="1102"/>
      <c r="G63" s="1102"/>
      <c r="H63" s="1102"/>
      <c r="I63" s="1102"/>
      <c r="J63" s="1102"/>
      <c r="K63" s="1102"/>
      <c r="L63" s="1282"/>
      <c r="M63" s="1109"/>
      <c r="N63" s="1109"/>
      <c r="P63" s="1104"/>
      <c r="Q63" s="1105"/>
      <c r="R63" s="1104"/>
      <c r="S63" s="1110"/>
      <c r="T63" s="1113" t="s">
        <v>532</v>
      </c>
      <c r="U63" s="1112"/>
      <c r="V63" s="1112"/>
      <c r="W63" s="1112"/>
      <c r="X63" s="1112"/>
      <c r="Y63" s="1112"/>
      <c r="Z63" s="1112"/>
      <c r="AA63" s="1112"/>
      <c r="AB63" s="1112"/>
      <c r="AC63" s="1112"/>
      <c r="AD63" s="1112"/>
      <c r="AE63" s="1112"/>
      <c r="AF63" s="1112"/>
      <c r="AG63" s="1112"/>
      <c r="AH63" s="1112"/>
      <c r="AI63" s="1112"/>
      <c r="AJ63" s="1112"/>
      <c r="AK63" s="1112"/>
      <c r="AL63" s="1112"/>
      <c r="AM63" s="1112"/>
      <c r="AN63" s="1112"/>
      <c r="AO63" s="1112"/>
      <c r="AP63" s="1112"/>
      <c r="AQ63" s="1112"/>
      <c r="AR63" s="1112"/>
      <c r="AS63" s="1112"/>
      <c r="AT63" s="1112"/>
      <c r="AU63" s="1112"/>
      <c r="AV63" s="1112"/>
      <c r="AW63" s="1112"/>
      <c r="AX63" s="1112"/>
      <c r="AY63" s="1112"/>
      <c r="AZ63" s="1112"/>
      <c r="BA63" s="1112"/>
      <c r="BB63" s="1112"/>
      <c r="BC63" s="1112"/>
      <c r="BE63" s="688"/>
      <c r="BF63" s="688" t="str">
        <f t="shared" si="4"/>
        <v>Добавить наименование тарифа</v>
      </c>
      <c r="BG63" s="688"/>
      <c r="BH63" s="688"/>
      <c r="BI63" s="451">
        <v>0</v>
      </c>
    </row>
    <row r="64" spans="1:61" ht="11.45" customHeight="1">
      <c r="M64" s="961"/>
      <c r="N64" s="961"/>
      <c r="O64" s="469"/>
      <c r="P64" s="961"/>
      <c r="Q64" s="961"/>
      <c r="R64" s="956"/>
      <c r="S64" s="956"/>
      <c r="BD64" s="956"/>
      <c r="BE64" s="956"/>
      <c r="BF64" s="956"/>
      <c r="BG64" s="956"/>
      <c r="BH64" s="956"/>
      <c r="BI64" s="956">
        <v>11</v>
      </c>
    </row>
    <row r="65" spans="1:61" ht="19.899999999999999" customHeight="1">
      <c r="O65" s="469"/>
      <c r="S65" s="1041"/>
      <c r="T65" s="2394"/>
      <c r="U65" s="2394"/>
      <c r="V65" s="2394"/>
      <c r="W65" s="2394"/>
      <c r="X65" s="2394"/>
      <c r="Y65" s="2394"/>
      <c r="Z65" s="2394"/>
      <c r="AA65" s="2394"/>
      <c r="AB65" s="2394"/>
      <c r="AC65" s="2394"/>
      <c r="AD65" s="2394"/>
      <c r="AE65" s="2394"/>
      <c r="AF65" s="2394"/>
      <c r="AG65" s="2394"/>
      <c r="AH65" s="2394"/>
      <c r="AI65" s="2394"/>
      <c r="AJ65" s="2394"/>
      <c r="AK65" s="2394"/>
      <c r="AL65" s="2394"/>
      <c r="AM65" s="2394"/>
      <c r="AN65" s="2394"/>
      <c r="AO65" s="2394"/>
      <c r="AP65" s="2394"/>
      <c r="AQ65" s="2394"/>
      <c r="AR65" s="2394"/>
      <c r="AS65" s="2394"/>
      <c r="AT65" s="2394"/>
      <c r="AU65" s="2394"/>
      <c r="AV65" s="2394"/>
      <c r="AW65" s="2394"/>
      <c r="AX65" s="2394"/>
      <c r="AY65" s="2394"/>
      <c r="AZ65" s="2394"/>
      <c r="BA65" s="2394"/>
      <c r="BB65" s="2394"/>
      <c r="BC65" s="2394"/>
      <c r="BI65" s="956">
        <v>19</v>
      </c>
    </row>
    <row r="66" spans="1:61" ht="14.65" customHeight="1">
      <c r="O66" s="469"/>
      <c r="T66" s="1268"/>
      <c r="U66" s="1268"/>
      <c r="V66" s="1268"/>
      <c r="W66" s="1268"/>
      <c r="X66" s="1268"/>
      <c r="Y66" s="1268"/>
      <c r="Z66" s="1268"/>
      <c r="AA66" s="1268"/>
      <c r="AB66" s="1268"/>
      <c r="AC66" s="1268"/>
      <c r="AD66" s="1268"/>
      <c r="AE66" s="1268"/>
      <c r="AF66" s="1268"/>
      <c r="AG66" s="1268"/>
      <c r="AH66" s="1268"/>
      <c r="AI66" s="1268"/>
      <c r="AJ66" s="1268"/>
      <c r="AK66" s="1268"/>
      <c r="AL66" s="1268"/>
      <c r="AM66" s="1268"/>
      <c r="AN66" s="1268"/>
      <c r="AO66" s="1268"/>
      <c r="AP66" s="1268"/>
      <c r="AQ66" s="1268"/>
      <c r="AR66" s="1268"/>
      <c r="AS66" s="1268"/>
      <c r="AT66" s="1268"/>
      <c r="AU66" s="1268"/>
      <c r="AV66" s="1268"/>
      <c r="AW66" s="1268"/>
      <c r="AX66" s="1268"/>
      <c r="AY66" s="1268"/>
      <c r="AZ66" s="1268"/>
      <c r="BA66" s="1268"/>
      <c r="BB66" s="1268"/>
      <c r="BC66" s="1268"/>
      <c r="BI66" s="956">
        <v>14</v>
      </c>
    </row>
    <row r="67" spans="1:61" ht="19.899999999999999" customHeight="1">
      <c r="O67" s="469"/>
      <c r="S67" s="1041"/>
      <c r="T67" s="2394"/>
      <c r="U67" s="2394"/>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R67" s="2394"/>
      <c r="AS67" s="2394"/>
      <c r="AT67" s="2394"/>
      <c r="AU67" s="2394"/>
      <c r="AV67" s="2394"/>
      <c r="AW67" s="2394"/>
      <c r="AX67" s="2394"/>
      <c r="AY67" s="2394"/>
      <c r="AZ67" s="2394"/>
      <c r="BA67" s="2394"/>
      <c r="BB67" s="2394"/>
      <c r="BC67" s="2394"/>
      <c r="BI67" s="956">
        <v>19</v>
      </c>
    </row>
    <row r="68" spans="1:61" ht="14.65" customHeight="1">
      <c r="O68" s="469"/>
      <c r="BI68" s="956">
        <v>14</v>
      </c>
    </row>
    <row r="69" spans="1:61" ht="14.25" hidden="1" customHeight="1">
      <c r="A69" s="961" t="s">
        <v>69</v>
      </c>
      <c r="B69" s="961">
        <v>0</v>
      </c>
      <c r="C69" s="961">
        <v>0</v>
      </c>
      <c r="D69" s="961">
        <v>0</v>
      </c>
      <c r="E69" s="961">
        <v>0</v>
      </c>
      <c r="F69" s="961">
        <v>0</v>
      </c>
      <c r="G69" s="961">
        <v>0</v>
      </c>
      <c r="H69" s="961">
        <v>0</v>
      </c>
      <c r="I69" s="961">
        <v>0</v>
      </c>
      <c r="J69" s="961">
        <v>0</v>
      </c>
      <c r="K69" s="961">
        <v>0</v>
      </c>
      <c r="L69" s="1266">
        <v>0</v>
      </c>
      <c r="M69" s="1150">
        <v>0</v>
      </c>
      <c r="N69" s="1150">
        <v>0</v>
      </c>
      <c r="O69" s="1150">
        <v>0</v>
      </c>
      <c r="P69" s="1150">
        <v>0</v>
      </c>
      <c r="Q69" s="1159">
        <v>0</v>
      </c>
      <c r="R69" s="278">
        <v>3</v>
      </c>
      <c r="S69" s="512">
        <v>12</v>
      </c>
      <c r="T69" s="956">
        <v>31</v>
      </c>
      <c r="U69" s="956">
        <v>0</v>
      </c>
      <c r="V69" s="956">
        <v>0</v>
      </c>
      <c r="W69" s="956">
        <v>0</v>
      </c>
      <c r="X69" s="956">
        <v>0</v>
      </c>
      <c r="Y69" s="956">
        <v>0</v>
      </c>
      <c r="Z69" s="956">
        <v>0</v>
      </c>
      <c r="AA69" s="956">
        <v>0</v>
      </c>
      <c r="AB69" s="956">
        <v>0</v>
      </c>
      <c r="AC69" s="956">
        <v>0</v>
      </c>
      <c r="AD69" s="956">
        <v>3</v>
      </c>
      <c r="AE69" s="956">
        <v>3</v>
      </c>
      <c r="AF69" s="956">
        <v>3</v>
      </c>
      <c r="AG69" s="956">
        <v>24</v>
      </c>
      <c r="AH69" s="956">
        <v>3</v>
      </c>
      <c r="AI69" s="956">
        <v>3</v>
      </c>
      <c r="AJ69" s="956">
        <v>3</v>
      </c>
      <c r="AK69" s="956">
        <v>24</v>
      </c>
      <c r="AL69" s="956">
        <v>3</v>
      </c>
      <c r="AM69" s="956">
        <v>3</v>
      </c>
      <c r="AN69" s="956">
        <v>3</v>
      </c>
      <c r="AO69" s="956">
        <v>18</v>
      </c>
      <c r="AP69" s="956">
        <v>3</v>
      </c>
      <c r="AQ69" s="956">
        <v>3</v>
      </c>
      <c r="AR69" s="956">
        <v>3</v>
      </c>
      <c r="AS69" s="956">
        <v>18</v>
      </c>
      <c r="AT69" s="956">
        <v>21</v>
      </c>
      <c r="AU69" s="956">
        <v>21</v>
      </c>
      <c r="AV69" s="956">
        <v>21</v>
      </c>
      <c r="AW69" s="956">
        <v>21</v>
      </c>
      <c r="AX69" s="956">
        <v>11</v>
      </c>
      <c r="AY69" s="956">
        <v>3</v>
      </c>
      <c r="AZ69" s="956">
        <v>11</v>
      </c>
      <c r="BA69" s="956">
        <v>0</v>
      </c>
      <c r="BB69" s="956">
        <v>4</v>
      </c>
      <c r="BC69" s="956">
        <v>115</v>
      </c>
      <c r="BD69" s="444">
        <v>10</v>
      </c>
      <c r="BE69" s="444">
        <v>10</v>
      </c>
      <c r="BF69" s="444">
        <v>10</v>
      </c>
      <c r="BG69" s="444">
        <v>10</v>
      </c>
      <c r="BH69" s="444">
        <v>10</v>
      </c>
      <c r="BI69" s="956">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Z326"/>
  <sheetViews>
    <sheetView showGridLines="0" tabSelected="1" zoomScale="110" workbookViewId="0">
      <pane xSplit="8" ySplit="29" topLeftCell="I146" activePane="bottomRight" state="frozen"/>
      <selection pane="topRight" activeCell="I1" sqref="I1"/>
      <selection pane="bottomLeft" activeCell="A30" sqref="A30"/>
      <selection pane="bottomRight" activeCell="I146" sqref="I146:AC146"/>
    </sheetView>
  </sheetViews>
  <sheetFormatPr defaultColWidth="9.140625" defaultRowHeight="11.25" customHeight="1"/>
  <cols>
    <col min="1" max="1" width="10.7109375" style="839" hidden="1" customWidth="1"/>
    <col min="2" max="2" width="16.85546875" style="1154" hidden="1" customWidth="1"/>
    <col min="3" max="3" width="5.5703125" style="1430" hidden="1" customWidth="1"/>
    <col min="4" max="4" width="3" style="1423" customWidth="1"/>
    <col min="5" max="5" width="7" style="1423" customWidth="1"/>
    <col min="6" max="6" width="54" style="1423" customWidth="1"/>
    <col min="7" max="7" width="10" style="1423" customWidth="1"/>
    <col min="8" max="8" width="40.7109375" style="1423" hidden="1" customWidth="1"/>
    <col min="9" max="9" width="40" style="1423" customWidth="1"/>
    <col min="10" max="10" width="11.5703125" style="1423" customWidth="1"/>
    <col min="11" max="12" width="10.42578125" style="1423" customWidth="1"/>
    <col min="13" max="13" width="11.42578125" style="1423" customWidth="1"/>
    <col min="14" max="15" width="10.7109375" style="1423" customWidth="1"/>
    <col min="16" max="16" width="11" style="1423" customWidth="1"/>
    <col min="17" max="17" width="11.28515625" style="1423" customWidth="1"/>
    <col min="18" max="18" width="12.7109375" style="1423" customWidth="1"/>
    <col min="19" max="19" width="12.28515625" style="1423" customWidth="1"/>
    <col min="20" max="20" width="10.5703125" style="1423" customWidth="1"/>
    <col min="21" max="21" width="11.85546875" style="1423" customWidth="1"/>
    <col min="22" max="22" width="12.7109375" style="1423" customWidth="1"/>
    <col min="23" max="23" width="11" style="1423" customWidth="1"/>
    <col min="24" max="24" width="12.5703125" style="1423" customWidth="1"/>
    <col min="25" max="25" width="11.42578125" style="1423" customWidth="1"/>
    <col min="26" max="26" width="11.5703125" style="1423" customWidth="1"/>
    <col min="27" max="27" width="12.42578125" style="1423" customWidth="1"/>
    <col min="28" max="28" width="11.85546875" style="1423" customWidth="1"/>
    <col min="29" max="29" width="12.140625" style="1423" customWidth="1"/>
    <col min="30" max="30" width="102" style="1423" customWidth="1"/>
    <col min="31" max="31" width="9" style="1154" customWidth="1"/>
    <col min="32" max="32" width="5" style="1430" customWidth="1"/>
    <col min="33" max="33" width="3" style="1430" customWidth="1"/>
    <col min="34" max="37" width="3" style="1154" customWidth="1"/>
    <col min="38" max="38" width="10" style="1430" customWidth="1"/>
    <col min="39" max="39" width="34" style="1154" customWidth="1"/>
    <col min="40" max="40" width="9" style="1154" customWidth="1"/>
    <col min="41" max="41" width="8" style="647" customWidth="1"/>
    <col min="42" max="46" width="8" style="1154" customWidth="1"/>
    <col min="47" max="51" width="8" style="1420" customWidth="1"/>
    <col min="52" max="52" width="9.140625" style="1423" hidden="1"/>
  </cols>
  <sheetData>
    <row r="1" spans="1:52" ht="22.5" hidden="1" customHeight="1">
      <c r="AZ1" s="1419" t="s">
        <v>1</v>
      </c>
    </row>
    <row r="2" spans="1:52" ht="23.25" hidden="1" customHeight="1">
      <c r="B2" s="2250"/>
      <c r="C2" s="968" t="s">
        <v>629</v>
      </c>
      <c r="D2" s="1426"/>
      <c r="E2" s="478">
        <f>B2</f>
        <v>0</v>
      </c>
      <c r="F2" s="479"/>
      <c r="G2" s="1434" t="s">
        <v>630</v>
      </c>
      <c r="H2" s="1434" t="s">
        <v>630</v>
      </c>
      <c r="I2" s="1434" t="s">
        <v>630</v>
      </c>
      <c r="J2" s="1853" t="s">
        <v>630</v>
      </c>
      <c r="K2" s="1853" t="s">
        <v>630</v>
      </c>
      <c r="L2" s="1853" t="s">
        <v>630</v>
      </c>
      <c r="M2" s="1853" t="s">
        <v>630</v>
      </c>
      <c r="N2" s="1853" t="s">
        <v>630</v>
      </c>
      <c r="O2" s="1853" t="s">
        <v>630</v>
      </c>
      <c r="P2" s="1853" t="s">
        <v>630</v>
      </c>
      <c r="Q2" s="1853" t="s">
        <v>630</v>
      </c>
      <c r="R2" s="1853" t="s">
        <v>630</v>
      </c>
      <c r="S2" s="1853" t="s">
        <v>630</v>
      </c>
      <c r="T2" s="1853" t="s">
        <v>630</v>
      </c>
      <c r="U2" s="1853" t="s">
        <v>630</v>
      </c>
      <c r="V2" s="1853" t="s">
        <v>630</v>
      </c>
      <c r="W2" s="1853" t="s">
        <v>630</v>
      </c>
      <c r="X2" s="1853" t="s">
        <v>630</v>
      </c>
      <c r="Y2" s="1853" t="s">
        <v>630</v>
      </c>
      <c r="Z2" s="1853" t="s">
        <v>630</v>
      </c>
      <c r="AA2" s="1853" t="s">
        <v>630</v>
      </c>
      <c r="AB2" s="1853" t="s">
        <v>630</v>
      </c>
      <c r="AC2" s="1853" t="s">
        <v>630</v>
      </c>
      <c r="AD2" s="223" t="s">
        <v>631</v>
      </c>
      <c r="AE2" s="475"/>
      <c r="AZ2" s="1419">
        <v>0</v>
      </c>
    </row>
    <row r="3" spans="1:52" s="1430" customFormat="1" ht="0.75" hidden="1" customHeight="1">
      <c r="B3" s="2250"/>
      <c r="C3" s="968"/>
      <c r="D3" s="480"/>
      <c r="E3" s="481"/>
      <c r="F3" s="482" t="s">
        <v>632</v>
      </c>
      <c r="G3" s="483"/>
      <c r="H3" s="865">
        <f t="shared" ref="H3:AC3" si="0">H4*H5+H6</f>
        <v>0</v>
      </c>
      <c r="I3" s="483">
        <f t="shared" si="0"/>
        <v>0</v>
      </c>
      <c r="J3" s="1161">
        <f t="shared" si="0"/>
        <v>0</v>
      </c>
      <c r="K3" s="1161">
        <f t="shared" si="0"/>
        <v>0</v>
      </c>
      <c r="L3" s="1161">
        <f t="shared" si="0"/>
        <v>0</v>
      </c>
      <c r="M3" s="1161">
        <f t="shared" si="0"/>
        <v>0</v>
      </c>
      <c r="N3" s="1161">
        <f t="shared" si="0"/>
        <v>0</v>
      </c>
      <c r="O3" s="1161">
        <f t="shared" si="0"/>
        <v>0</v>
      </c>
      <c r="P3" s="1161">
        <f t="shared" si="0"/>
        <v>0</v>
      </c>
      <c r="Q3" s="1161">
        <f t="shared" si="0"/>
        <v>0</v>
      </c>
      <c r="R3" s="1161">
        <f t="shared" si="0"/>
        <v>0</v>
      </c>
      <c r="S3" s="1161">
        <f t="shared" si="0"/>
        <v>0</v>
      </c>
      <c r="T3" s="1161">
        <f t="shared" si="0"/>
        <v>0</v>
      </c>
      <c r="U3" s="1161">
        <f t="shared" si="0"/>
        <v>0</v>
      </c>
      <c r="V3" s="1161">
        <f t="shared" si="0"/>
        <v>0</v>
      </c>
      <c r="W3" s="1161">
        <f t="shared" si="0"/>
        <v>0</v>
      </c>
      <c r="X3" s="1161">
        <f t="shared" si="0"/>
        <v>0</v>
      </c>
      <c r="Y3" s="1161">
        <f t="shared" si="0"/>
        <v>0</v>
      </c>
      <c r="Z3" s="1161">
        <f t="shared" si="0"/>
        <v>0</v>
      </c>
      <c r="AA3" s="1161">
        <f t="shared" si="0"/>
        <v>0</v>
      </c>
      <c r="AB3" s="1161">
        <f t="shared" si="0"/>
        <v>0</v>
      </c>
      <c r="AC3" s="1161">
        <f t="shared" si="0"/>
        <v>0</v>
      </c>
      <c r="AD3" s="484"/>
      <c r="AZ3" s="1424">
        <v>0</v>
      </c>
    </row>
    <row r="4" spans="1:52" ht="23.25" hidden="1" customHeight="1">
      <c r="B4" s="2250"/>
      <c r="C4" s="968"/>
      <c r="D4" s="1426"/>
      <c r="E4" s="478" t="str">
        <f>B2&amp;".1"</f>
        <v>.1</v>
      </c>
      <c r="F4" s="485" t="s">
        <v>633</v>
      </c>
      <c r="G4" s="486"/>
      <c r="H4" s="473"/>
      <c r="I4" s="473"/>
      <c r="J4" s="658"/>
      <c r="K4" s="658"/>
      <c r="L4" s="658"/>
      <c r="M4" s="658"/>
      <c r="N4" s="658"/>
      <c r="O4" s="658"/>
      <c r="P4" s="658"/>
      <c r="Q4" s="658"/>
      <c r="R4" s="658"/>
      <c r="S4" s="658"/>
      <c r="T4" s="658"/>
      <c r="U4" s="658"/>
      <c r="V4" s="658"/>
      <c r="W4" s="658"/>
      <c r="X4" s="658"/>
      <c r="Y4" s="658"/>
      <c r="Z4" s="658"/>
      <c r="AA4" s="658"/>
      <c r="AB4" s="658"/>
      <c r="AC4" s="658"/>
      <c r="AD4" s="223" t="s">
        <v>634</v>
      </c>
      <c r="AE4" s="475"/>
      <c r="AZ4" s="1419">
        <v>0</v>
      </c>
    </row>
    <row r="5" spans="1:52" ht="18.75" hidden="1" customHeight="1">
      <c r="B5" s="2250"/>
      <c r="C5" s="968"/>
      <c r="D5" s="1426"/>
      <c r="E5" s="478" t="str">
        <f>B2&amp;".2"</f>
        <v>.2</v>
      </c>
      <c r="F5" s="485" t="s">
        <v>635</v>
      </c>
      <c r="G5" s="1434" t="s">
        <v>636</v>
      </c>
      <c r="H5" s="473"/>
      <c r="I5" s="473"/>
      <c r="J5" s="658"/>
      <c r="K5" s="658"/>
      <c r="L5" s="658"/>
      <c r="M5" s="658"/>
      <c r="N5" s="658"/>
      <c r="O5" s="658"/>
      <c r="P5" s="658"/>
      <c r="Q5" s="658"/>
      <c r="R5" s="658"/>
      <c r="S5" s="658"/>
      <c r="T5" s="658"/>
      <c r="U5" s="658"/>
      <c r="V5" s="658"/>
      <c r="W5" s="658"/>
      <c r="X5" s="658"/>
      <c r="Y5" s="658"/>
      <c r="Z5" s="658"/>
      <c r="AA5" s="658"/>
      <c r="AB5" s="658"/>
      <c r="AC5" s="658"/>
      <c r="AD5" s="223"/>
      <c r="AE5" s="475"/>
      <c r="AZ5" s="1419">
        <v>0</v>
      </c>
    </row>
    <row r="6" spans="1:52" ht="18.75" hidden="1" customHeight="1">
      <c r="B6" s="2250"/>
      <c r="C6" s="968"/>
      <c r="D6" s="1426"/>
      <c r="E6" s="478" t="str">
        <f>B2&amp;".3"</f>
        <v>.3</v>
      </c>
      <c r="F6" s="485" t="s">
        <v>637</v>
      </c>
      <c r="G6" s="1434" t="s">
        <v>636</v>
      </c>
      <c r="H6" s="473"/>
      <c r="I6" s="473"/>
      <c r="J6" s="658"/>
      <c r="K6" s="658"/>
      <c r="L6" s="658"/>
      <c r="M6" s="658"/>
      <c r="N6" s="658"/>
      <c r="O6" s="658"/>
      <c r="P6" s="658"/>
      <c r="Q6" s="658"/>
      <c r="R6" s="658"/>
      <c r="S6" s="658"/>
      <c r="T6" s="658"/>
      <c r="U6" s="658"/>
      <c r="V6" s="658"/>
      <c r="W6" s="658"/>
      <c r="X6" s="658"/>
      <c r="Y6" s="658"/>
      <c r="Z6" s="658"/>
      <c r="AA6" s="658"/>
      <c r="AB6" s="658"/>
      <c r="AC6" s="658"/>
      <c r="AD6" s="223"/>
      <c r="AE6" s="475"/>
      <c r="AZ6" s="1419">
        <v>0</v>
      </c>
    </row>
    <row r="7" spans="1:52" ht="18.75" hidden="1" customHeight="1">
      <c r="B7" s="2250"/>
      <c r="C7" s="968"/>
      <c r="D7" s="1426"/>
      <c r="E7" s="478" t="str">
        <f>B2&amp;".4"</f>
        <v>.4</v>
      </c>
      <c r="F7" s="485" t="s">
        <v>638</v>
      </c>
      <c r="G7" s="1434" t="s">
        <v>630</v>
      </c>
      <c r="H7" s="487"/>
      <c r="I7" s="487"/>
      <c r="J7" s="487"/>
      <c r="K7" s="487"/>
      <c r="L7" s="487"/>
      <c r="M7" s="487"/>
      <c r="N7" s="487"/>
      <c r="O7" s="487"/>
      <c r="P7" s="487"/>
      <c r="Q7" s="487"/>
      <c r="R7" s="487"/>
      <c r="S7" s="487"/>
      <c r="T7" s="487"/>
      <c r="U7" s="487"/>
      <c r="V7" s="487"/>
      <c r="W7" s="487"/>
      <c r="X7" s="487"/>
      <c r="Y7" s="487"/>
      <c r="Z7" s="487"/>
      <c r="AA7" s="487"/>
      <c r="AB7" s="487"/>
      <c r="AC7" s="487"/>
      <c r="AD7" s="223"/>
      <c r="AE7" s="475"/>
      <c r="AZ7" s="1419">
        <v>0</v>
      </c>
    </row>
    <row r="8" spans="1:52" s="1154" customFormat="1" ht="11.25" hidden="1" customHeight="1">
      <c r="A8" s="839"/>
      <c r="C8" s="1424"/>
      <c r="D8" s="469"/>
      <c r="H8" s="961">
        <v>4</v>
      </c>
      <c r="I8" s="961">
        <v>4</v>
      </c>
      <c r="J8" s="1154">
        <v>4</v>
      </c>
      <c r="K8" s="1154">
        <v>4</v>
      </c>
      <c r="L8" s="1154">
        <v>4</v>
      </c>
      <c r="M8" s="1154">
        <v>4</v>
      </c>
      <c r="N8" s="1154">
        <v>4</v>
      </c>
      <c r="O8" s="1154">
        <v>4</v>
      </c>
      <c r="P8" s="1154">
        <v>4</v>
      </c>
      <c r="Q8" s="1154">
        <v>4</v>
      </c>
      <c r="R8" s="1154">
        <v>4</v>
      </c>
      <c r="S8" s="1154">
        <v>4</v>
      </c>
      <c r="T8" s="1154">
        <v>4</v>
      </c>
      <c r="U8" s="1154">
        <v>4</v>
      </c>
      <c r="V8" s="1154">
        <v>4</v>
      </c>
      <c r="W8" s="1154">
        <v>4</v>
      </c>
      <c r="X8" s="1154">
        <v>4</v>
      </c>
      <c r="Y8" s="1154">
        <v>4</v>
      </c>
      <c r="Z8" s="1154">
        <v>4</v>
      </c>
      <c r="AA8" s="1154">
        <v>4</v>
      </c>
      <c r="AB8" s="1154">
        <v>4</v>
      </c>
      <c r="AC8" s="1154">
        <v>4</v>
      </c>
      <c r="AF8" s="1424"/>
      <c r="AG8" s="1424"/>
      <c r="AL8" s="1424"/>
      <c r="AZ8" s="961">
        <v>0</v>
      </c>
    </row>
    <row r="9" spans="1:52" s="1154" customFormat="1" ht="22.5" hidden="1" customHeight="1">
      <c r="A9" s="839"/>
      <c r="C9" s="1424"/>
      <c r="D9" s="470"/>
      <c r="E9" s="1436"/>
      <c r="F9" s="472"/>
      <c r="G9" s="1434" t="s">
        <v>636</v>
      </c>
      <c r="H9" s="473"/>
      <c r="I9" s="473"/>
      <c r="J9" s="658"/>
      <c r="K9" s="658"/>
      <c r="L9" s="658"/>
      <c r="M9" s="658"/>
      <c r="N9" s="658"/>
      <c r="O9" s="658"/>
      <c r="P9" s="658"/>
      <c r="Q9" s="658"/>
      <c r="R9" s="658"/>
      <c r="S9" s="658"/>
      <c r="T9" s="658"/>
      <c r="U9" s="658"/>
      <c r="V9" s="658"/>
      <c r="W9" s="658"/>
      <c r="X9" s="658"/>
      <c r="Y9" s="658"/>
      <c r="Z9" s="658"/>
      <c r="AA9" s="658"/>
      <c r="AB9" s="658"/>
      <c r="AC9" s="658"/>
      <c r="AD9" s="474" t="s">
        <v>639</v>
      </c>
      <c r="AE9" s="475"/>
      <c r="AF9" s="1424"/>
      <c r="AG9" s="1424"/>
      <c r="AL9" s="1424"/>
      <c r="AO9" s="476"/>
      <c r="AU9" s="1420"/>
      <c r="AV9" s="1420"/>
      <c r="AW9" s="1420"/>
      <c r="AX9" s="1420"/>
      <c r="AY9" s="1420"/>
      <c r="AZ9" s="961">
        <v>0</v>
      </c>
    </row>
    <row r="10" spans="1:52" ht="11.25" hidden="1" customHeight="1">
      <c r="AZ10" s="1419">
        <v>0</v>
      </c>
    </row>
    <row r="11" spans="1:52" ht="18.75" hidden="1" customHeight="1">
      <c r="D11" s="1426"/>
      <c r="E11" s="478"/>
      <c r="F11" s="472"/>
      <c r="G11" s="1434" t="s">
        <v>640</v>
      </c>
      <c r="H11" s="473"/>
      <c r="I11" s="473"/>
      <c r="J11" s="658"/>
      <c r="K11" s="658"/>
      <c r="L11" s="658"/>
      <c r="M11" s="658"/>
      <c r="N11" s="658"/>
      <c r="O11" s="658"/>
      <c r="P11" s="658"/>
      <c r="Q11" s="658"/>
      <c r="R11" s="658"/>
      <c r="S11" s="658"/>
      <c r="T11" s="658"/>
      <c r="U11" s="658"/>
      <c r="V11" s="658"/>
      <c r="W11" s="658"/>
      <c r="X11" s="658"/>
      <c r="Y11" s="658"/>
      <c r="Z11" s="658"/>
      <c r="AA11" s="658"/>
      <c r="AB11" s="658"/>
      <c r="AC11" s="658"/>
      <c r="AD11" s="223" t="s">
        <v>641</v>
      </c>
      <c r="AE11" s="475"/>
      <c r="AZ11" s="1419">
        <v>0</v>
      </c>
    </row>
    <row r="12" spans="1:52" ht="11.25" hidden="1" customHeight="1">
      <c r="AZ12" s="1419">
        <v>0</v>
      </c>
    </row>
    <row r="13" spans="1:52" ht="22.5" hidden="1" customHeight="1">
      <c r="D13" s="1426"/>
      <c r="E13" s="478"/>
      <c r="F13" s="472"/>
      <c r="G13" s="821" t="s">
        <v>642</v>
      </c>
      <c r="H13" s="477"/>
      <c r="I13" s="477"/>
      <c r="J13" s="477"/>
      <c r="K13" s="477"/>
      <c r="L13" s="477"/>
      <c r="M13" s="477"/>
      <c r="N13" s="477"/>
      <c r="O13" s="477"/>
      <c r="P13" s="477"/>
      <c r="Q13" s="477"/>
      <c r="R13" s="477"/>
      <c r="S13" s="477"/>
      <c r="T13" s="477"/>
      <c r="U13" s="477"/>
      <c r="V13" s="477"/>
      <c r="W13" s="477"/>
      <c r="X13" s="477"/>
      <c r="Y13" s="477"/>
      <c r="Z13" s="477"/>
      <c r="AA13" s="477"/>
      <c r="AB13" s="477"/>
      <c r="AC13" s="477"/>
      <c r="AD13" s="652" t="s">
        <v>643</v>
      </c>
      <c r="AE13" s="475"/>
      <c r="AZ13" s="1419">
        <v>0</v>
      </c>
    </row>
    <row r="14" spans="1:52" ht="11.25" hidden="1" customHeight="1">
      <c r="AZ14" s="1419">
        <v>0</v>
      </c>
    </row>
    <row r="15" spans="1:52" ht="22.5" hidden="1" customHeight="1">
      <c r="D15" s="1426"/>
      <c r="E15" s="478"/>
      <c r="F15" s="472"/>
      <c r="G15" s="1434" t="s">
        <v>644</v>
      </c>
      <c r="H15" s="477"/>
      <c r="I15" s="477"/>
      <c r="J15" s="477"/>
      <c r="K15" s="477"/>
      <c r="L15" s="477"/>
      <c r="M15" s="477"/>
      <c r="N15" s="477"/>
      <c r="O15" s="477"/>
      <c r="P15" s="477"/>
      <c r="Q15" s="477"/>
      <c r="R15" s="477"/>
      <c r="S15" s="477"/>
      <c r="T15" s="477"/>
      <c r="U15" s="477"/>
      <c r="V15" s="477"/>
      <c r="W15" s="477"/>
      <c r="X15" s="477"/>
      <c r="Y15" s="477"/>
      <c r="Z15" s="477"/>
      <c r="AA15" s="477"/>
      <c r="AB15" s="477"/>
      <c r="AC15" s="477"/>
      <c r="AD15" s="223" t="s">
        <v>645</v>
      </c>
      <c r="AE15" s="475"/>
      <c r="AZ15" s="1419">
        <v>0</v>
      </c>
    </row>
    <row r="16" spans="1:52" ht="11.25" hidden="1" customHeight="1">
      <c r="AZ16" s="1419">
        <v>0</v>
      </c>
    </row>
    <row r="17" spans="1:52" ht="22.5" hidden="1" customHeight="1">
      <c r="D17" s="1426"/>
      <c r="E17" s="478"/>
      <c r="F17" s="472"/>
      <c r="G17" s="1434" t="s">
        <v>646</v>
      </c>
      <c r="H17" s="477"/>
      <c r="I17" s="477"/>
      <c r="J17" s="477"/>
      <c r="K17" s="477"/>
      <c r="L17" s="477"/>
      <c r="M17" s="477"/>
      <c r="N17" s="477"/>
      <c r="O17" s="477"/>
      <c r="P17" s="477"/>
      <c r="Q17" s="477"/>
      <c r="R17" s="477"/>
      <c r="S17" s="477"/>
      <c r="T17" s="477"/>
      <c r="U17" s="477"/>
      <c r="V17" s="477"/>
      <c r="W17" s="477"/>
      <c r="X17" s="477"/>
      <c r="Y17" s="477"/>
      <c r="Z17" s="477"/>
      <c r="AA17" s="477"/>
      <c r="AB17" s="477"/>
      <c r="AC17" s="477"/>
      <c r="AD17" s="223" t="s">
        <v>647</v>
      </c>
      <c r="AE17" s="475"/>
      <c r="AZ17" s="1419">
        <v>0</v>
      </c>
    </row>
    <row r="18" spans="1:52" ht="11.25" hidden="1" customHeight="1">
      <c r="AZ18" s="1419">
        <v>0</v>
      </c>
    </row>
    <row r="19" spans="1:52" s="1420" customFormat="1" ht="11.25" hidden="1" customHeight="1">
      <c r="A19" s="839"/>
      <c r="B19" s="961"/>
      <c r="C19" s="1424"/>
      <c r="D19" s="295"/>
      <c r="AD19" s="1420">
        <v>4</v>
      </c>
      <c r="AE19" s="961"/>
      <c r="AF19" s="1424"/>
      <c r="AG19" s="1424"/>
      <c r="AH19" s="961"/>
      <c r="AI19" s="961"/>
      <c r="AJ19" s="961"/>
      <c r="AK19" s="961"/>
      <c r="AL19" s="1424"/>
      <c r="AM19" s="961"/>
      <c r="AN19" s="961"/>
      <c r="AO19" s="476"/>
      <c r="AP19" s="961"/>
      <c r="AQ19" s="961"/>
      <c r="AR19" s="961"/>
      <c r="AS19" s="961"/>
      <c r="AT19" s="961"/>
      <c r="AZ19" s="1420">
        <v>0</v>
      </c>
    </row>
    <row r="20" spans="1:52" ht="11.45" customHeight="1">
      <c r="AZ20" s="1419">
        <v>11</v>
      </c>
    </row>
    <row r="21" spans="1:52" ht="25.15" customHeight="1">
      <c r="E21" s="237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76"/>
      <c r="G21" s="2376"/>
      <c r="H21" s="2376"/>
      <c r="I21" s="2376"/>
      <c r="J21" s="1846"/>
      <c r="K21" s="1846"/>
      <c r="L21" s="1846"/>
      <c r="M21" s="1846"/>
      <c r="N21" s="1846"/>
      <c r="O21" s="1846"/>
      <c r="P21" s="1846"/>
      <c r="Q21" s="1846"/>
      <c r="R21" s="1846"/>
      <c r="S21" s="1846"/>
      <c r="T21" s="1846"/>
      <c r="U21" s="1846"/>
      <c r="V21" s="1846"/>
      <c r="W21" s="1846"/>
      <c r="X21" s="1846"/>
      <c r="Y21" s="1846"/>
      <c r="Z21" s="1846"/>
      <c r="AA21" s="1846"/>
      <c r="AB21" s="1846"/>
      <c r="AC21" s="1846"/>
      <c r="AD21" s="488"/>
      <c r="AZ21" s="1419">
        <v>24</v>
      </c>
    </row>
    <row r="22" spans="1:52" ht="25.15" customHeight="1">
      <c r="E22" s="2349" t="str">
        <f>IF(org=0,"Не определено",org)</f>
        <v>ООО "Смоленскрегионтеплоэнерго"</v>
      </c>
      <c r="F22" s="2349"/>
      <c r="G22" s="2349"/>
      <c r="H22" s="2349"/>
      <c r="I22" s="2349"/>
      <c r="J22" s="1847"/>
      <c r="K22" s="1847"/>
      <c r="L22" s="1847"/>
      <c r="M22" s="1847"/>
      <c r="N22" s="1847"/>
      <c r="O22" s="1847"/>
      <c r="P22" s="1847"/>
      <c r="Q22" s="1847"/>
      <c r="R22" s="1847"/>
      <c r="S22" s="1847"/>
      <c r="T22" s="1847"/>
      <c r="U22" s="1847"/>
      <c r="V22" s="1847"/>
      <c r="W22" s="1847"/>
      <c r="X22" s="1847"/>
      <c r="Y22" s="1847"/>
      <c r="Z22" s="1847"/>
      <c r="AA22" s="1847"/>
      <c r="AB22" s="1847"/>
      <c r="AC22" s="1847"/>
      <c r="AZ22" s="1419">
        <v>24</v>
      </c>
    </row>
    <row r="23" spans="1:52" ht="11.45" customHeight="1">
      <c r="E23" s="953"/>
      <c r="F23" s="953"/>
      <c r="G23" s="953"/>
      <c r="H23" s="953"/>
      <c r="I23" s="953"/>
      <c r="J23" s="954" t="s">
        <v>9</v>
      </c>
      <c r="K23" s="954" t="s">
        <v>9</v>
      </c>
      <c r="L23" s="954" t="s">
        <v>9</v>
      </c>
      <c r="M23" s="954" t="s">
        <v>9</v>
      </c>
      <c r="N23" s="954" t="s">
        <v>9</v>
      </c>
      <c r="O23" s="954" t="s">
        <v>9</v>
      </c>
      <c r="P23" s="954" t="s">
        <v>9</v>
      </c>
      <c r="Q23" s="954" t="s">
        <v>9</v>
      </c>
      <c r="R23" s="954" t="s">
        <v>9</v>
      </c>
      <c r="S23" s="954" t="s">
        <v>9</v>
      </c>
      <c r="T23" s="954" t="s">
        <v>9</v>
      </c>
      <c r="U23" s="954" t="s">
        <v>9</v>
      </c>
      <c r="V23" s="954" t="s">
        <v>9</v>
      </c>
      <c r="W23" s="954" t="s">
        <v>9</v>
      </c>
      <c r="X23" s="954" t="s">
        <v>9</v>
      </c>
      <c r="Y23" s="954" t="s">
        <v>9</v>
      </c>
      <c r="Z23" s="954" t="s">
        <v>9</v>
      </c>
      <c r="AA23" s="954" t="s">
        <v>9</v>
      </c>
      <c r="AB23" s="954" t="s">
        <v>9</v>
      </c>
      <c r="AC23" s="954" t="s">
        <v>9</v>
      </c>
      <c r="AZ23" s="1419">
        <v>11</v>
      </c>
    </row>
    <row r="24" spans="1:52" s="1430" customFormat="1" ht="1.1499999999999999" customHeight="1">
      <c r="A24" s="968"/>
      <c r="H24" s="787"/>
      <c r="I24" s="787" t="s">
        <v>167</v>
      </c>
      <c r="J24" s="787" t="s">
        <v>172</v>
      </c>
      <c r="K24" s="787" t="s">
        <v>174</v>
      </c>
      <c r="L24" s="787" t="s">
        <v>176</v>
      </c>
      <c r="M24" s="787" t="s">
        <v>178</v>
      </c>
      <c r="N24" s="787" t="s">
        <v>180</v>
      </c>
      <c r="O24" s="787" t="s">
        <v>182</v>
      </c>
      <c r="P24" s="787" t="s">
        <v>184</v>
      </c>
      <c r="Q24" s="787" t="s">
        <v>186</v>
      </c>
      <c r="R24" s="787" t="s">
        <v>188</v>
      </c>
      <c r="S24" s="787" t="s">
        <v>190</v>
      </c>
      <c r="T24" s="787" t="s">
        <v>192</v>
      </c>
      <c r="U24" s="787" t="s">
        <v>194</v>
      </c>
      <c r="V24" s="787" t="s">
        <v>196</v>
      </c>
      <c r="W24" s="787" t="s">
        <v>198</v>
      </c>
      <c r="X24" s="787" t="s">
        <v>200</v>
      </c>
      <c r="Y24" s="787" t="s">
        <v>202</v>
      </c>
      <c r="Z24" s="787" t="s">
        <v>204</v>
      </c>
      <c r="AA24" s="787" t="s">
        <v>206</v>
      </c>
      <c r="AB24" s="787" t="s">
        <v>208</v>
      </c>
      <c r="AC24" s="787" t="s">
        <v>210</v>
      </c>
      <c r="AZ24" s="1424">
        <v>1</v>
      </c>
    </row>
    <row r="25" spans="1:52" ht="11.45" customHeight="1">
      <c r="E25" s="629"/>
      <c r="F25" s="2484" t="s">
        <v>157</v>
      </c>
      <c r="G25" s="2485"/>
      <c r="H25" s="1440" t="str">
        <f t="shared" ref="H25:AC25" si="1">IF(H24="","",INDEX(DIFFERENTIATION_UNMERGE_VD,MATCH(H24,DIFFERENTIATION_ID_DIFF,0)))</f>
        <v/>
      </c>
      <c r="I25" s="1440" t="str">
        <f t="shared" si="1"/>
        <v>Производство тепловой энергии. Некомбинированная выработка; Передача. Тепловая энергия; Сбыт. Тепловая энергия</v>
      </c>
      <c r="J25" s="1855" t="str">
        <f t="shared" si="1"/>
        <v>Производство тепловой энергии. Некомбинированная выработка; Передача. Тепловая энергия; Сбыт. Тепловая энергия</v>
      </c>
      <c r="K25" s="1855" t="str">
        <f t="shared" si="1"/>
        <v>Производство тепловой энергии. Некомбинированная выработка; Передача. Тепловая энергия; Сбыт. Тепловая энергия</v>
      </c>
      <c r="L25" s="1855" t="str">
        <f t="shared" si="1"/>
        <v>Производство тепловой энергии. Некомбинированная выработка; Передача. Тепловая энергия; Сбыт. Тепловая энергия</v>
      </c>
      <c r="M25" s="1855" t="str">
        <f t="shared" si="1"/>
        <v>Производство тепловой энергии. Некомбинированная выработка; Передача. Тепловая энергия; Сбыт. Тепловая энергия</v>
      </c>
      <c r="N25" s="1855" t="str">
        <f t="shared" si="1"/>
        <v>Производство тепловой энергии. Некомбинированная выработка; Передача. Тепловая энергия; Сбыт. Тепловая энергия</v>
      </c>
      <c r="O25" s="1855" t="str">
        <f t="shared" si="1"/>
        <v>Производство тепловой энергии. Некомбинированная выработка; Передача. Тепловая энергия; Сбыт. Тепловая энергия</v>
      </c>
      <c r="P25" s="1855" t="str">
        <f t="shared" si="1"/>
        <v>Производство тепловой энергии. Некомбинированная выработка; Передача. Тепловая энергия; Сбыт. Тепловая энергия</v>
      </c>
      <c r="Q25" s="1855" t="str">
        <f t="shared" si="1"/>
        <v>Производство тепловой энергии. Некомбинированная выработка; Передача. Тепловая энергия; Сбыт. Тепловая энергия</v>
      </c>
      <c r="R25" s="1855" t="str">
        <f t="shared" si="1"/>
        <v>Производство тепловой энергии. Некомбинированная выработка; Передача. Тепловая энергия; Сбыт. Тепловая энергия</v>
      </c>
      <c r="S25" s="1855" t="str">
        <f t="shared" si="1"/>
        <v>Производство тепловой энергии. Некомбинированная выработка; Передача. Тепловая энергия; Сбыт. Тепловая энергия</v>
      </c>
      <c r="T25" s="1855" t="str">
        <f t="shared" si="1"/>
        <v>Производство тепловой энергии. Некомбинированная выработка; Передача. Тепловая энергия; Сбыт. Тепловая энергия</v>
      </c>
      <c r="U25" s="1855" t="str">
        <f t="shared" si="1"/>
        <v>Производство тепловой энергии. Некомбинированная выработка; Передача. Тепловая энергия; Сбыт. Тепловая энергия</v>
      </c>
      <c r="V25" s="1855" t="str">
        <f t="shared" si="1"/>
        <v>Производство тепловой энергии. Некомбинированная выработка; Передача. Тепловая энергия; Сбыт. Тепловая энергия</v>
      </c>
      <c r="W25" s="1855" t="str">
        <f t="shared" si="1"/>
        <v>Производство тепловой энергии. Некомбинированная выработка; Передача. Тепловая энергия; Сбыт. Тепловая энергия</v>
      </c>
      <c r="X25" s="1855" t="str">
        <f t="shared" si="1"/>
        <v>Производство тепловой энергии. Некомбинированная выработка; Передача. Тепловая энергия; Сбыт. Тепловая энергия</v>
      </c>
      <c r="Y25" s="1855" t="str">
        <f t="shared" si="1"/>
        <v>Производство тепловой энергии. Некомбинированная выработка; Передача. Тепловая энергия; Сбыт. Тепловая энергия</v>
      </c>
      <c r="Z25" s="1855" t="str">
        <f t="shared" si="1"/>
        <v>Производство тепловой энергии. Некомбинированная выработка; Передача. Тепловая энергия; Сбыт. Тепловая энергия</v>
      </c>
      <c r="AA25" s="1855" t="str">
        <f t="shared" si="1"/>
        <v>Производство тепловой энергии. Некомбинированная выработка; Передача. Тепловая энергия; Сбыт. Тепловая энергия</v>
      </c>
      <c r="AB25" s="1855" t="str">
        <f t="shared" si="1"/>
        <v>Производство тепловой энергии. Некомбинированная выработка; Передача. Тепловая энергия; Сбыт. Тепловая энергия</v>
      </c>
      <c r="AC25" s="1855" t="str">
        <f t="shared" si="1"/>
        <v>Производство тепловой энергии. Некомбинированная выработка; Передача. Тепловая энергия; Сбыт. Тепловая энергия</v>
      </c>
      <c r="AD25" s="2266"/>
      <c r="AZ25" s="1419">
        <v>11</v>
      </c>
    </row>
    <row r="26" spans="1:52" ht="11.45" customHeight="1">
      <c r="E26" s="629"/>
      <c r="F26" s="2484" t="s">
        <v>648</v>
      </c>
      <c r="G26" s="2485"/>
      <c r="H26" s="1440" t="str">
        <f t="shared" ref="H26:AC26" si="2">IF(H24="","",INDEX(DIFFERENTIATION_UNMERGE_AREA,MATCH(H24,DIFFERENTIATION_ID_DIFF,0)))</f>
        <v/>
      </c>
      <c r="I26" s="1440" t="str">
        <f t="shared" si="2"/>
        <v>Территория 1</v>
      </c>
      <c r="J26" s="1855" t="str">
        <f t="shared" si="2"/>
        <v>Территория 2</v>
      </c>
      <c r="K26" s="1855" t="str">
        <f t="shared" si="2"/>
        <v>Территория 3</v>
      </c>
      <c r="L26" s="1855" t="str">
        <f t="shared" si="2"/>
        <v>Территория 4</v>
      </c>
      <c r="M26" s="1855" t="str">
        <f t="shared" si="2"/>
        <v>Территория 5</v>
      </c>
      <c r="N26" s="1855" t="str">
        <f t="shared" si="2"/>
        <v>Территория 6</v>
      </c>
      <c r="O26" s="1855" t="str">
        <f t="shared" si="2"/>
        <v>Территория 6</v>
      </c>
      <c r="P26" s="1855" t="str">
        <f t="shared" si="2"/>
        <v>Территория 6</v>
      </c>
      <c r="Q26" s="1855" t="str">
        <f t="shared" si="2"/>
        <v>Территория 7</v>
      </c>
      <c r="R26" s="1855" t="str">
        <f t="shared" si="2"/>
        <v>Территория 8</v>
      </c>
      <c r="S26" s="1855" t="str">
        <f t="shared" si="2"/>
        <v>Территория 8</v>
      </c>
      <c r="T26" s="1855" t="str">
        <f t="shared" si="2"/>
        <v>Территория 8</v>
      </c>
      <c r="U26" s="1855" t="str">
        <f t="shared" si="2"/>
        <v>Территория 9</v>
      </c>
      <c r="V26" s="1855" t="str">
        <f t="shared" si="2"/>
        <v>Территория 10</v>
      </c>
      <c r="W26" s="1855" t="str">
        <f t="shared" si="2"/>
        <v>Территория 10</v>
      </c>
      <c r="X26" s="1855" t="str">
        <f t="shared" si="2"/>
        <v>Территория 11</v>
      </c>
      <c r="Y26" s="1855" t="str">
        <f t="shared" si="2"/>
        <v>Территория 12</v>
      </c>
      <c r="Z26" s="1855" t="str">
        <f t="shared" si="2"/>
        <v>Территория 13</v>
      </c>
      <c r="AA26" s="1855" t="str">
        <f t="shared" si="2"/>
        <v>Территория 13</v>
      </c>
      <c r="AB26" s="1855" t="str">
        <f t="shared" si="2"/>
        <v>Территория 13</v>
      </c>
      <c r="AC26" s="1855" t="str">
        <f t="shared" si="2"/>
        <v>Территория 13</v>
      </c>
      <c r="AD26" s="2266"/>
      <c r="AZ26" s="1419">
        <v>11</v>
      </c>
    </row>
    <row r="27" spans="1:52" ht="39" customHeight="1">
      <c r="E27" s="629"/>
      <c r="F27" s="2484" t="s">
        <v>649</v>
      </c>
      <c r="G27" s="2485"/>
      <c r="H27" s="1440" t="str">
        <f t="shared" ref="H27:AC27" si="3">IF(H24="","",INDEX(DIFFERENTIATION_UNMERGE_SYSTEM,MATCH(H24,DIFFERENTIATION_ID_DIFF,0)))</f>
        <v/>
      </c>
      <c r="I27" s="1440" t="str">
        <f t="shared" si="3"/>
        <v>котельная г. Вязьма ул. Московская</v>
      </c>
      <c r="J27" s="1855" t="str">
        <f t="shared" si="3"/>
        <v>Вяземский филиал</v>
      </c>
      <c r="K27" s="1855" t="str">
        <f t="shared" si="3"/>
        <v>котельная с. Карманово, ул. Набережная, д. 18, стр. 3</v>
      </c>
      <c r="L27" s="1855" t="str">
        <f t="shared" si="3"/>
        <v>Рославльский филиал</v>
      </c>
      <c r="M27" s="1855" t="str">
        <f t="shared" si="3"/>
        <v>котельная г. Рославль, ул. Мичурина</v>
      </c>
      <c r="N27" s="1855" t="str">
        <f t="shared" si="3"/>
        <v>котельная д. Даньково</v>
      </c>
      <c r="O27" s="1855" t="str">
        <f t="shared" si="3"/>
        <v>котельная д. Пересна</v>
      </c>
      <c r="P27" s="1855" t="str">
        <f t="shared" si="3"/>
        <v>котельная г. Починок, ул. Садовая</v>
      </c>
      <c r="Q27" s="1855" t="str">
        <f t="shared" si="3"/>
        <v>Сафоновский филиал</v>
      </c>
      <c r="R27" s="1855" t="str">
        <f t="shared" si="3"/>
        <v>котельная г. Сафоново, ул. Советская</v>
      </c>
      <c r="S27" s="1855" t="str">
        <f t="shared" si="3"/>
        <v>котельная г. Сафоново, ул. Первомайская</v>
      </c>
      <c r="T27" s="1855" t="str">
        <f t="shared" si="3"/>
        <v>котельная с. Издешково</v>
      </c>
      <c r="U27" s="1855" t="str">
        <f t="shared" si="3"/>
        <v>котельная БМК Михайловское</v>
      </c>
      <c r="V27" s="1855" t="str">
        <f t="shared" si="3"/>
        <v>котельные пгт. Холм-Жирковское, ул. Кирова,ул. Советская</v>
      </c>
      <c r="W27" s="1855" t="str">
        <f t="shared" si="3"/>
        <v>котельная ст. Игоревская</v>
      </c>
      <c r="X27" s="1855" t="str">
        <f t="shared" si="3"/>
        <v>Ярцевский филиал</v>
      </c>
      <c r="Y27" s="1855" t="str">
        <f t="shared" si="3"/>
        <v>п. Красный</v>
      </c>
      <c r="Z27" s="1855" t="str">
        <f t="shared" si="3"/>
        <v>котельная д. Богородицкое</v>
      </c>
      <c r="AA27" s="1855" t="str">
        <f t="shared" si="3"/>
        <v>котельная д. Сметанино</v>
      </c>
      <c r="AB27" s="1855" t="str">
        <f t="shared" si="3"/>
        <v>котельная с. Талашкино</v>
      </c>
      <c r="AC27" s="1855" t="str">
        <f t="shared" si="3"/>
        <v>котельная д. Митино</v>
      </c>
      <c r="AD27" s="2266"/>
      <c r="AZ27" s="1419">
        <v>11</v>
      </c>
    </row>
    <row r="28" spans="1:52" ht="11.45" customHeight="1">
      <c r="E28" s="2486" t="s">
        <v>384</v>
      </c>
      <c r="F28" s="2487"/>
      <c r="G28" s="2487"/>
      <c r="H28" s="1433"/>
      <c r="I28" s="1433"/>
      <c r="J28" s="1854"/>
      <c r="K28" s="1854"/>
      <c r="L28" s="1854"/>
      <c r="M28" s="1854"/>
      <c r="N28" s="1854"/>
      <c r="O28" s="1854"/>
      <c r="P28" s="1854"/>
      <c r="Q28" s="1854"/>
      <c r="R28" s="1854"/>
      <c r="S28" s="1854"/>
      <c r="T28" s="1854"/>
      <c r="U28" s="1854"/>
      <c r="V28" s="1854"/>
      <c r="W28" s="1854"/>
      <c r="X28" s="1854"/>
      <c r="Y28" s="1854"/>
      <c r="Z28" s="1854"/>
      <c r="AA28" s="1854"/>
      <c r="AB28" s="1854"/>
      <c r="AC28" s="1854"/>
      <c r="AD28" s="2266"/>
      <c r="AZ28" s="1419">
        <v>11</v>
      </c>
    </row>
    <row r="29" spans="1:52" ht="24" customHeight="1">
      <c r="E29" s="1434" t="s">
        <v>75</v>
      </c>
      <c r="F29" s="1441" t="s">
        <v>386</v>
      </c>
      <c r="G29" s="1441" t="s">
        <v>650</v>
      </c>
      <c r="H29" s="1441" t="s">
        <v>387</v>
      </c>
      <c r="I29" s="1441" t="s">
        <v>387</v>
      </c>
      <c r="J29" s="1853" t="s">
        <v>387</v>
      </c>
      <c r="K29" s="1853" t="s">
        <v>387</v>
      </c>
      <c r="L29" s="1853" t="s">
        <v>387</v>
      </c>
      <c r="M29" s="1853" t="s">
        <v>387</v>
      </c>
      <c r="N29" s="1853" t="s">
        <v>387</v>
      </c>
      <c r="O29" s="1853" t="s">
        <v>387</v>
      </c>
      <c r="P29" s="1853" t="s">
        <v>387</v>
      </c>
      <c r="Q29" s="1853" t="s">
        <v>387</v>
      </c>
      <c r="R29" s="1853" t="s">
        <v>387</v>
      </c>
      <c r="S29" s="1853" t="s">
        <v>387</v>
      </c>
      <c r="T29" s="1853" t="s">
        <v>387</v>
      </c>
      <c r="U29" s="1853" t="s">
        <v>387</v>
      </c>
      <c r="V29" s="1853" t="s">
        <v>387</v>
      </c>
      <c r="W29" s="1853" t="s">
        <v>387</v>
      </c>
      <c r="X29" s="1853" t="s">
        <v>387</v>
      </c>
      <c r="Y29" s="1853" t="s">
        <v>387</v>
      </c>
      <c r="Z29" s="1853" t="s">
        <v>387</v>
      </c>
      <c r="AA29" s="1853" t="s">
        <v>387</v>
      </c>
      <c r="AB29" s="1853" t="s">
        <v>387</v>
      </c>
      <c r="AC29" s="1853" t="s">
        <v>387</v>
      </c>
      <c r="AD29" s="2266"/>
      <c r="AZ29" s="1419">
        <v>23</v>
      </c>
    </row>
    <row r="30" spans="1:52" ht="20.25" customHeight="1">
      <c r="D30" s="1426"/>
      <c r="E30" s="478">
        <f>FHD_NUM_P_1</f>
        <v>1</v>
      </c>
      <c r="F30" s="1633" t="str">
        <f>FHD_P_1</f>
        <v>Выручка от регулируемого вида деятельности с распределением по видам деятельности</v>
      </c>
      <c r="G30" s="1631" t="s">
        <v>636</v>
      </c>
      <c r="H30" s="489"/>
      <c r="I30" s="489">
        <v>89463.39</v>
      </c>
      <c r="J30" s="489">
        <v>1177020.8999999999</v>
      </c>
      <c r="K30" s="489">
        <v>1648.4</v>
      </c>
      <c r="L30" s="489">
        <v>451157.13</v>
      </c>
      <c r="M30" s="489">
        <v>347320.32000000001</v>
      </c>
      <c r="N30" s="489">
        <v>5511.21</v>
      </c>
      <c r="O30" s="489">
        <v>11533.93</v>
      </c>
      <c r="P30" s="489">
        <v>4655.3100000000004</v>
      </c>
      <c r="Q30" s="489">
        <v>459538.01</v>
      </c>
      <c r="R30" s="489">
        <v>201202.18</v>
      </c>
      <c r="S30" s="489">
        <v>40783.03</v>
      </c>
      <c r="T30" s="489">
        <v>21658.43</v>
      </c>
      <c r="U30" s="489">
        <v>115124.69</v>
      </c>
      <c r="V30" s="489">
        <v>11891.71</v>
      </c>
      <c r="W30" s="489">
        <v>12528.89</v>
      </c>
      <c r="X30" s="489">
        <v>688778.36</v>
      </c>
      <c r="Y30" s="489">
        <v>19151.82</v>
      </c>
      <c r="Z30" s="489">
        <v>13687.57</v>
      </c>
      <c r="AA30" s="489">
        <v>19989.009999999998</v>
      </c>
      <c r="AB30" s="489">
        <v>20673.400000000001</v>
      </c>
      <c r="AC30" s="489">
        <v>1617.74</v>
      </c>
      <c r="AD30" s="223" t="str">
        <f>FHD_NOTE_P_1</f>
        <v>Указывается выручка от регулируемого вида деятельности с распределением по видам деятельности.</v>
      </c>
      <c r="AE30" s="475"/>
      <c r="AZ30" s="1419">
        <v>19</v>
      </c>
    </row>
    <row r="31" spans="1:52" ht="29.25" customHeight="1">
      <c r="D31" s="1426"/>
      <c r="E31" s="478">
        <f>FHD_NUM_P_2</f>
        <v>2</v>
      </c>
      <c r="F31" s="1633" t="str">
        <f>FHD_P_2</f>
        <v>Себестоимость производимых товаров (оказываемых услуг) по регулируемому виду деятельности, включая:</v>
      </c>
      <c r="G31" s="1631" t="s">
        <v>636</v>
      </c>
      <c r="H31" s="490">
        <f t="shared" ref="H31:AC31" si="4">SUMIF($AE32:$AE94,$AE31,H32:H94)</f>
        <v>0</v>
      </c>
      <c r="I31" s="490">
        <f t="shared" si="4"/>
        <v>83168.877728000007</v>
      </c>
      <c r="J31" s="490">
        <f t="shared" si="4"/>
        <v>1070837.5339969001</v>
      </c>
      <c r="K31" s="490">
        <f t="shared" si="4"/>
        <v>943.1650371999998</v>
      </c>
      <c r="L31" s="490">
        <f t="shared" si="4"/>
        <v>596672.22134000005</v>
      </c>
      <c r="M31" s="490">
        <f t="shared" si="4"/>
        <v>345225.68344240007</v>
      </c>
      <c r="N31" s="490">
        <f t="shared" si="4"/>
        <v>4023.1735190999998</v>
      </c>
      <c r="O31" s="490">
        <f t="shared" si="4"/>
        <v>9696.1991355999999</v>
      </c>
      <c r="P31" s="490">
        <f t="shared" si="4"/>
        <v>4657.2820175999996</v>
      </c>
      <c r="Q31" s="490">
        <f t="shared" si="4"/>
        <v>416261.25876839994</v>
      </c>
      <c r="R31" s="490">
        <f t="shared" si="4"/>
        <v>226303.28944319999</v>
      </c>
      <c r="S31" s="490">
        <f t="shared" si="4"/>
        <v>31289.7722268</v>
      </c>
      <c r="T31" s="490">
        <f t="shared" si="4"/>
        <v>27164.455169200002</v>
      </c>
      <c r="U31" s="490">
        <f t="shared" si="4"/>
        <v>113577.39741959999</v>
      </c>
      <c r="V31" s="490">
        <f t="shared" si="4"/>
        <v>9568.6799680000004</v>
      </c>
      <c r="W31" s="490">
        <f t="shared" si="4"/>
        <v>13356.3786896</v>
      </c>
      <c r="X31" s="490">
        <f t="shared" si="4"/>
        <v>642243.87536200008</v>
      </c>
      <c r="Y31" s="490">
        <f t="shared" si="4"/>
        <v>28494.659822700003</v>
      </c>
      <c r="Z31" s="490">
        <f t="shared" si="4"/>
        <v>19048.384524000001</v>
      </c>
      <c r="AA31" s="490">
        <f t="shared" si="4"/>
        <v>17458.30415</v>
      </c>
      <c r="AB31" s="490">
        <f t="shared" si="4"/>
        <v>20929.922945000002</v>
      </c>
      <c r="AC31" s="490">
        <f t="shared" si="4"/>
        <v>1504.6439871999999</v>
      </c>
      <c r="AD31" s="223" t="str">
        <f>FHD_NOTE_P_2</f>
        <v>Указывается суммарная себестоимость производимых товаров.</v>
      </c>
      <c r="AE31" s="1424" t="s">
        <v>651</v>
      </c>
      <c r="AZ31" s="1419">
        <v>11</v>
      </c>
    </row>
    <row r="32" spans="1:52" ht="24" customHeight="1">
      <c r="D32" s="1426"/>
      <c r="E32" s="478" t="str">
        <f>FHD_NUM_P_3</f>
        <v>2.1</v>
      </c>
      <c r="F32" s="1312" t="str">
        <f>FHD_P_3</f>
        <v>Расходы на приобретаемую тепловую энергию (мощность), теплоноситель</v>
      </c>
      <c r="G32" s="1631" t="s">
        <v>636</v>
      </c>
      <c r="H32" s="489"/>
      <c r="I32" s="489">
        <v>0</v>
      </c>
      <c r="J32" s="489">
        <v>0</v>
      </c>
      <c r="K32" s="489">
        <v>0</v>
      </c>
      <c r="L32" s="489">
        <v>36338.01</v>
      </c>
      <c r="M32" s="489">
        <v>0</v>
      </c>
      <c r="N32" s="489">
        <v>0</v>
      </c>
      <c r="O32" s="489">
        <v>0</v>
      </c>
      <c r="P32" s="489">
        <v>0</v>
      </c>
      <c r="Q32" s="489">
        <v>0</v>
      </c>
      <c r="R32" s="489">
        <v>0</v>
      </c>
      <c r="S32" s="489">
        <v>0</v>
      </c>
      <c r="T32" s="489">
        <v>0</v>
      </c>
      <c r="U32" s="489">
        <v>0</v>
      </c>
      <c r="V32" s="489">
        <v>0</v>
      </c>
      <c r="W32" s="489">
        <v>0</v>
      </c>
      <c r="X32" s="489">
        <v>0</v>
      </c>
      <c r="Y32" s="489">
        <v>0</v>
      </c>
      <c r="Z32" s="489">
        <v>0</v>
      </c>
      <c r="AA32" s="489">
        <v>0</v>
      </c>
      <c r="AB32" s="489">
        <v>0</v>
      </c>
      <c r="AC32" s="489">
        <v>0</v>
      </c>
      <c r="AD32" s="223" t="str">
        <f>FHD_NOTE_P_3</f>
        <v/>
      </c>
      <c r="AE32" s="1424" t="str">
        <f t="shared" ref="AE32:AE39" si="5">IF((LEN(E32)-LEN(SUBSTITUTE(E32,".","")))/LEN(".")=1,"p","")</f>
        <v>p</v>
      </c>
      <c r="AZ32" s="1419">
        <v>11</v>
      </c>
    </row>
    <row r="33" spans="1:52" ht="32.25" customHeight="1">
      <c r="A33" s="2480" t="s">
        <v>652</v>
      </c>
      <c r="D33" s="1426"/>
      <c r="E33" s="478" t="str">
        <f>FHD_NUM_P_4</f>
        <v>2.2</v>
      </c>
      <c r="F33" s="131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631" t="s">
        <v>636</v>
      </c>
      <c r="H33" s="490">
        <f t="shared" ref="H33:AC33" si="6">SUMIF($F34:$F58,$F3,H34:H58)</f>
        <v>0</v>
      </c>
      <c r="I33" s="490">
        <f t="shared" si="6"/>
        <v>40842.037727999996</v>
      </c>
      <c r="J33" s="490">
        <f t="shared" si="6"/>
        <v>428394.87399689999</v>
      </c>
      <c r="K33" s="490">
        <f t="shared" si="6"/>
        <v>216.1050372</v>
      </c>
      <c r="L33" s="490">
        <f t="shared" si="6"/>
        <v>137807.26134</v>
      </c>
      <c r="M33" s="490">
        <f t="shared" si="6"/>
        <v>160602.3934424</v>
      </c>
      <c r="N33" s="490">
        <f t="shared" si="6"/>
        <v>1103.2735190999999</v>
      </c>
      <c r="O33" s="490">
        <f t="shared" si="6"/>
        <v>3119.0291355999998</v>
      </c>
      <c r="P33" s="490">
        <f t="shared" si="6"/>
        <v>1164.0320176</v>
      </c>
      <c r="Q33" s="490">
        <f t="shared" si="6"/>
        <v>154314.0387684</v>
      </c>
      <c r="R33" s="490">
        <f t="shared" si="6"/>
        <v>90364.439443200012</v>
      </c>
      <c r="S33" s="490">
        <f t="shared" si="6"/>
        <v>15492.782226799998</v>
      </c>
      <c r="T33" s="490">
        <f t="shared" si="6"/>
        <v>6829.0251692000002</v>
      </c>
      <c r="U33" s="490">
        <f t="shared" si="6"/>
        <v>49910.857419600005</v>
      </c>
      <c r="V33" s="490">
        <f t="shared" si="6"/>
        <v>3019.6099679999998</v>
      </c>
      <c r="W33" s="490">
        <f t="shared" si="6"/>
        <v>3770.3886895999999</v>
      </c>
      <c r="X33" s="490">
        <f t="shared" si="6"/>
        <v>254068.27536199999</v>
      </c>
      <c r="Y33" s="490">
        <f t="shared" si="6"/>
        <v>5686.6498226999993</v>
      </c>
      <c r="Z33" s="490">
        <f t="shared" si="6"/>
        <v>5863.5745239999997</v>
      </c>
      <c r="AA33" s="490">
        <f t="shared" si="6"/>
        <v>6171.8041499999999</v>
      </c>
      <c r="AB33" s="490">
        <f t="shared" si="6"/>
        <v>7525.0229449999997</v>
      </c>
      <c r="AC33" s="490">
        <f t="shared" si="6"/>
        <v>200.62398719999999</v>
      </c>
      <c r="AD33" s="223" t="str">
        <f>FHD_NOTE_P_4</f>
        <v>Указываются суммарные расходы на приобретение топлива всех видов.</v>
      </c>
      <c r="AE33" s="1424" t="str">
        <f t="shared" si="5"/>
        <v>p</v>
      </c>
      <c r="AZ33" s="1419">
        <v>0</v>
      </c>
    </row>
    <row r="34" spans="1:52" s="1429" customFormat="1" ht="0.75" customHeight="1">
      <c r="A34" s="2480"/>
      <c r="B34" s="2483" t="str">
        <f>E33&amp;".0"</f>
        <v>2.2.0</v>
      </c>
      <c r="C34" s="968"/>
      <c r="D34" s="492"/>
      <c r="E34" s="493"/>
      <c r="F34" s="494"/>
      <c r="G34" s="495"/>
      <c r="H34" s="430"/>
      <c r="I34" s="430"/>
      <c r="J34" s="430"/>
      <c r="K34" s="430"/>
      <c r="L34" s="430"/>
      <c r="M34" s="430"/>
      <c r="N34" s="430"/>
      <c r="O34" s="430"/>
      <c r="P34" s="430"/>
      <c r="Q34" s="430"/>
      <c r="R34" s="430"/>
      <c r="S34" s="430"/>
      <c r="T34" s="430"/>
      <c r="U34" s="430"/>
      <c r="V34" s="430"/>
      <c r="W34" s="430"/>
      <c r="X34" s="430"/>
      <c r="Y34" s="430"/>
      <c r="Z34" s="430"/>
      <c r="AA34" s="430"/>
      <c r="AB34" s="430"/>
      <c r="AC34" s="430"/>
      <c r="AD34" s="496"/>
      <c r="AE34" s="1424" t="str">
        <f t="shared" si="5"/>
        <v/>
      </c>
      <c r="AF34" s="1424"/>
      <c r="AG34" s="1424"/>
      <c r="AH34" s="1424"/>
      <c r="AI34" s="1424"/>
      <c r="AJ34" s="1424"/>
      <c r="AK34" s="1424"/>
      <c r="AL34" s="1424"/>
      <c r="AM34" s="1424"/>
      <c r="AN34" s="1424"/>
      <c r="AO34" s="497"/>
      <c r="AP34" s="1424"/>
      <c r="AQ34" s="1424"/>
      <c r="AR34" s="1424"/>
      <c r="AS34" s="1424"/>
      <c r="AT34" s="1424"/>
      <c r="AU34" s="498"/>
      <c r="AV34" s="498"/>
      <c r="AW34" s="498"/>
      <c r="AX34" s="498"/>
      <c r="AY34" s="498"/>
      <c r="AZ34" s="1429">
        <v>0</v>
      </c>
    </row>
    <row r="35" spans="1:52" s="1429" customFormat="1" ht="0.75" customHeight="1">
      <c r="A35" s="2480"/>
      <c r="B35" s="2483"/>
      <c r="C35" s="968"/>
      <c r="D35" s="492"/>
      <c r="E35" s="499"/>
      <c r="F35" s="500"/>
      <c r="G35" s="495"/>
      <c r="H35" s="501"/>
      <c r="I35" s="501"/>
      <c r="J35" s="501"/>
      <c r="K35" s="501"/>
      <c r="L35" s="501"/>
      <c r="M35" s="501"/>
      <c r="N35" s="501"/>
      <c r="O35" s="501"/>
      <c r="P35" s="501"/>
      <c r="Q35" s="501"/>
      <c r="R35" s="501"/>
      <c r="S35" s="501"/>
      <c r="T35" s="501"/>
      <c r="U35" s="501"/>
      <c r="V35" s="501"/>
      <c r="W35" s="501"/>
      <c r="X35" s="501"/>
      <c r="Y35" s="501"/>
      <c r="Z35" s="501"/>
      <c r="AA35" s="501"/>
      <c r="AB35" s="501"/>
      <c r="AC35" s="501"/>
      <c r="AD35" s="496"/>
      <c r="AE35" s="1424" t="str">
        <f t="shared" si="5"/>
        <v/>
      </c>
      <c r="AF35" s="1424"/>
      <c r="AG35" s="1424"/>
      <c r="AH35" s="1424"/>
      <c r="AI35" s="1424"/>
      <c r="AJ35" s="1424"/>
      <c r="AK35" s="1424"/>
      <c r="AL35" s="1424"/>
      <c r="AM35" s="1424"/>
      <c r="AN35" s="1424"/>
      <c r="AO35" s="497"/>
      <c r="AP35" s="1424"/>
      <c r="AQ35" s="1424"/>
      <c r="AR35" s="1424"/>
      <c r="AS35" s="1424"/>
      <c r="AT35" s="1424"/>
      <c r="AU35" s="498"/>
      <c r="AV35" s="498"/>
      <c r="AW35" s="498"/>
      <c r="AX35" s="498"/>
      <c r="AY35" s="498"/>
      <c r="AZ35" s="1429">
        <v>0</v>
      </c>
    </row>
    <row r="36" spans="1:52" s="1429" customFormat="1" ht="0.75" customHeight="1">
      <c r="A36" s="2480"/>
      <c r="B36" s="2483"/>
      <c r="C36" s="968"/>
      <c r="D36" s="492"/>
      <c r="E36" s="499"/>
      <c r="F36" s="500"/>
      <c r="G36" s="495"/>
      <c r="H36" s="501"/>
      <c r="I36" s="501"/>
      <c r="J36" s="501"/>
      <c r="K36" s="501"/>
      <c r="L36" s="501"/>
      <c r="M36" s="501"/>
      <c r="N36" s="501"/>
      <c r="O36" s="501"/>
      <c r="P36" s="501"/>
      <c r="Q36" s="501"/>
      <c r="R36" s="501"/>
      <c r="S36" s="501"/>
      <c r="T36" s="501"/>
      <c r="U36" s="501"/>
      <c r="V36" s="501"/>
      <c r="W36" s="501"/>
      <c r="X36" s="501"/>
      <c r="Y36" s="501"/>
      <c r="Z36" s="501"/>
      <c r="AA36" s="501"/>
      <c r="AB36" s="501"/>
      <c r="AC36" s="501"/>
      <c r="AD36" s="496"/>
      <c r="AE36" s="1424" t="str">
        <f t="shared" si="5"/>
        <v/>
      </c>
      <c r="AF36" s="1424"/>
      <c r="AG36" s="1424"/>
      <c r="AH36" s="1424"/>
      <c r="AI36" s="1424"/>
      <c r="AJ36" s="1424"/>
      <c r="AK36" s="1424"/>
      <c r="AL36" s="1424"/>
      <c r="AM36" s="1424"/>
      <c r="AN36" s="1424"/>
      <c r="AO36" s="497"/>
      <c r="AP36" s="1424"/>
      <c r="AQ36" s="1424"/>
      <c r="AR36" s="1424"/>
      <c r="AS36" s="1424"/>
      <c r="AT36" s="1424"/>
      <c r="AU36" s="498"/>
      <c r="AV36" s="498"/>
      <c r="AW36" s="498"/>
      <c r="AX36" s="498"/>
      <c r="AY36" s="498"/>
      <c r="AZ36" s="1429">
        <v>0</v>
      </c>
    </row>
    <row r="37" spans="1:52" s="1429" customFormat="1" ht="0.75" customHeight="1">
      <c r="A37" s="2480"/>
      <c r="B37" s="2483"/>
      <c r="C37" s="968"/>
      <c r="D37" s="492"/>
      <c r="E37" s="499"/>
      <c r="F37" s="500"/>
      <c r="G37" s="495"/>
      <c r="H37" s="501"/>
      <c r="I37" s="501"/>
      <c r="J37" s="501"/>
      <c r="K37" s="501"/>
      <c r="L37" s="501"/>
      <c r="M37" s="501"/>
      <c r="N37" s="501"/>
      <c r="O37" s="501"/>
      <c r="P37" s="501"/>
      <c r="Q37" s="501"/>
      <c r="R37" s="501"/>
      <c r="S37" s="501"/>
      <c r="T37" s="501"/>
      <c r="U37" s="501"/>
      <c r="V37" s="501"/>
      <c r="W37" s="501"/>
      <c r="X37" s="501"/>
      <c r="Y37" s="501"/>
      <c r="Z37" s="501"/>
      <c r="AA37" s="501"/>
      <c r="AB37" s="501"/>
      <c r="AC37" s="501"/>
      <c r="AD37" s="496"/>
      <c r="AE37" s="1424" t="str">
        <f t="shared" si="5"/>
        <v/>
      </c>
      <c r="AF37" s="1424"/>
      <c r="AG37" s="1424"/>
      <c r="AH37" s="1424"/>
      <c r="AI37" s="1424"/>
      <c r="AJ37" s="1424"/>
      <c r="AK37" s="1424"/>
      <c r="AL37" s="1424"/>
      <c r="AM37" s="1424"/>
      <c r="AN37" s="1424"/>
      <c r="AO37" s="497"/>
      <c r="AP37" s="1424"/>
      <c r="AQ37" s="1424"/>
      <c r="AR37" s="1424"/>
      <c r="AS37" s="1424"/>
      <c r="AT37" s="1424"/>
      <c r="AU37" s="498"/>
      <c r="AV37" s="498"/>
      <c r="AW37" s="498"/>
      <c r="AX37" s="498"/>
      <c r="AY37" s="498"/>
      <c r="AZ37" s="1429">
        <v>0</v>
      </c>
    </row>
    <row r="38" spans="1:52" s="1429" customFormat="1" ht="0.75" customHeight="1">
      <c r="A38" s="2480"/>
      <c r="B38" s="2483"/>
      <c r="C38" s="968"/>
      <c r="D38" s="492"/>
      <c r="E38" s="499"/>
      <c r="F38" s="500"/>
      <c r="G38" s="495"/>
      <c r="H38" s="501"/>
      <c r="I38" s="501"/>
      <c r="J38" s="501"/>
      <c r="K38" s="501"/>
      <c r="L38" s="501"/>
      <c r="M38" s="501"/>
      <c r="N38" s="501"/>
      <c r="O38" s="501"/>
      <c r="P38" s="501"/>
      <c r="Q38" s="501"/>
      <c r="R38" s="501"/>
      <c r="S38" s="501"/>
      <c r="T38" s="501"/>
      <c r="U38" s="501"/>
      <c r="V38" s="501"/>
      <c r="W38" s="501"/>
      <c r="X38" s="501"/>
      <c r="Y38" s="501"/>
      <c r="Z38" s="501"/>
      <c r="AA38" s="501"/>
      <c r="AB38" s="501"/>
      <c r="AC38" s="501"/>
      <c r="AD38" s="496"/>
      <c r="AE38" s="1424" t="str">
        <f t="shared" si="5"/>
        <v/>
      </c>
      <c r="AF38" s="1424"/>
      <c r="AG38" s="1424"/>
      <c r="AH38" s="1424"/>
      <c r="AI38" s="1424"/>
      <c r="AJ38" s="1424"/>
      <c r="AK38" s="1424"/>
      <c r="AL38" s="1424"/>
      <c r="AM38" s="1424"/>
      <c r="AN38" s="1424"/>
      <c r="AO38" s="497"/>
      <c r="AP38" s="1424"/>
      <c r="AQ38" s="1424"/>
      <c r="AR38" s="1424"/>
      <c r="AS38" s="1424"/>
      <c r="AT38" s="1424"/>
      <c r="AU38" s="498"/>
      <c r="AV38" s="498"/>
      <c r="AW38" s="498"/>
      <c r="AX38" s="498"/>
      <c r="AY38" s="498"/>
      <c r="AZ38" s="1429">
        <v>0</v>
      </c>
    </row>
    <row r="39" spans="1:52" s="1429" customFormat="1" ht="0.75" customHeight="1">
      <c r="A39" s="2480"/>
      <c r="B39" s="2483"/>
      <c r="C39" s="968"/>
      <c r="D39" s="492"/>
      <c r="E39" s="499"/>
      <c r="F39" s="500"/>
      <c r="G39" s="495"/>
      <c r="H39" s="430"/>
      <c r="I39" s="430"/>
      <c r="J39" s="430"/>
      <c r="K39" s="430"/>
      <c r="L39" s="430"/>
      <c r="M39" s="430"/>
      <c r="N39" s="430"/>
      <c r="O39" s="430"/>
      <c r="P39" s="430"/>
      <c r="Q39" s="430"/>
      <c r="R39" s="430"/>
      <c r="S39" s="430"/>
      <c r="T39" s="430"/>
      <c r="U39" s="430"/>
      <c r="V39" s="430"/>
      <c r="W39" s="430"/>
      <c r="X39" s="430"/>
      <c r="Y39" s="430"/>
      <c r="Z39" s="430"/>
      <c r="AA39" s="430"/>
      <c r="AB39" s="430"/>
      <c r="AC39" s="430"/>
      <c r="AD39" s="496"/>
      <c r="AE39" s="1424" t="str">
        <f t="shared" si="5"/>
        <v/>
      </c>
      <c r="AF39" s="1424"/>
      <c r="AG39" s="1424"/>
      <c r="AH39" s="1424"/>
      <c r="AI39" s="1424"/>
      <c r="AJ39" s="1424"/>
      <c r="AK39" s="1424"/>
      <c r="AL39" s="1424"/>
      <c r="AM39" s="1424"/>
      <c r="AN39" s="1424"/>
      <c r="AO39" s="497"/>
      <c r="AP39" s="1424"/>
      <c r="AQ39" s="1424"/>
      <c r="AR39" s="1424"/>
      <c r="AS39" s="1424"/>
      <c r="AT39" s="1424"/>
      <c r="AU39" s="498"/>
      <c r="AV39" s="498"/>
      <c r="AW39" s="498"/>
      <c r="AX39" s="498"/>
      <c r="AY39" s="498"/>
      <c r="AZ39" s="1429">
        <v>0</v>
      </c>
    </row>
    <row r="40" spans="1:52" s="1606" customFormat="1" ht="23.25" customHeight="1">
      <c r="A40" s="2481"/>
      <c r="B40" s="2250" t="str">
        <f>E33&amp;".1"</f>
        <v>2.2.1</v>
      </c>
      <c r="C40" s="1112" t="s">
        <v>629</v>
      </c>
      <c r="D40" s="604" t="s">
        <v>90</v>
      </c>
      <c r="E40" s="478" t="str">
        <f>B40</f>
        <v>2.2.1</v>
      </c>
      <c r="F40" s="479" t="s">
        <v>653</v>
      </c>
      <c r="G40" s="1853" t="s">
        <v>630</v>
      </c>
      <c r="H40" s="1853" t="s">
        <v>630</v>
      </c>
      <c r="I40" s="1853" t="s">
        <v>630</v>
      </c>
      <c r="J40" s="1853" t="s">
        <v>630</v>
      </c>
      <c r="K40" s="1853" t="s">
        <v>630</v>
      </c>
      <c r="L40" s="1853" t="s">
        <v>630</v>
      </c>
      <c r="M40" s="1853" t="s">
        <v>630</v>
      </c>
      <c r="N40" s="1853" t="s">
        <v>630</v>
      </c>
      <c r="O40" s="1853" t="s">
        <v>630</v>
      </c>
      <c r="P40" s="1853" t="s">
        <v>630</v>
      </c>
      <c r="Q40" s="1853" t="s">
        <v>630</v>
      </c>
      <c r="R40" s="1853" t="s">
        <v>630</v>
      </c>
      <c r="S40" s="1853" t="s">
        <v>630</v>
      </c>
      <c r="T40" s="1853" t="s">
        <v>630</v>
      </c>
      <c r="U40" s="1853" t="s">
        <v>630</v>
      </c>
      <c r="V40" s="1853" t="s">
        <v>630</v>
      </c>
      <c r="W40" s="1853" t="s">
        <v>630</v>
      </c>
      <c r="X40" s="1853" t="s">
        <v>630</v>
      </c>
      <c r="Y40" s="1853" t="s">
        <v>630</v>
      </c>
      <c r="Z40" s="1853" t="s">
        <v>630</v>
      </c>
      <c r="AA40" s="1853" t="s">
        <v>630</v>
      </c>
      <c r="AB40" s="1853" t="s">
        <v>630</v>
      </c>
      <c r="AC40" s="1853" t="s">
        <v>630</v>
      </c>
      <c r="AD40" s="1313" t="s">
        <v>631</v>
      </c>
      <c r="AE40" s="645"/>
      <c r="AF40" s="1430"/>
      <c r="AG40" s="1430"/>
      <c r="AH40" s="1154"/>
      <c r="AI40" s="1154"/>
      <c r="AJ40" s="1154"/>
      <c r="AK40" s="1154"/>
      <c r="AL40" s="1430"/>
      <c r="AM40" s="1154"/>
      <c r="AN40" s="1154"/>
      <c r="AO40" s="647"/>
      <c r="AP40" s="1154"/>
      <c r="AQ40" s="1154"/>
      <c r="AR40" s="1154"/>
      <c r="AS40" s="1154"/>
      <c r="AT40" s="1154"/>
      <c r="AU40" s="1420"/>
      <c r="AV40" s="1420"/>
      <c r="AW40" s="1420"/>
      <c r="AX40" s="1420"/>
      <c r="AY40" s="1420"/>
      <c r="AZ40" s="1423">
        <v>0</v>
      </c>
    </row>
    <row r="41" spans="1:52" s="553" customFormat="1" ht="0.75" hidden="1" customHeight="1">
      <c r="A41" s="2482"/>
      <c r="B41" s="2250" t="str">
        <f>E33&amp;".0"</f>
        <v>2.2.0</v>
      </c>
      <c r="C41" s="1112"/>
      <c r="D41" s="1112"/>
      <c r="E41" s="481"/>
      <c r="F41" s="482" t="s">
        <v>632</v>
      </c>
      <c r="G41" s="1161"/>
      <c r="H41" s="1161">
        <f t="shared" ref="H41:AC41" si="7">H42*H43+H44</f>
        <v>0</v>
      </c>
      <c r="I41" s="1161">
        <f t="shared" si="7"/>
        <v>40842.037727999996</v>
      </c>
      <c r="J41" s="1161">
        <f t="shared" si="7"/>
        <v>424429.6063552</v>
      </c>
      <c r="K41" s="1161">
        <f t="shared" si="7"/>
        <v>216.1050372</v>
      </c>
      <c r="L41" s="1161">
        <f t="shared" si="7"/>
        <v>130337.09225999999</v>
      </c>
      <c r="M41" s="1161">
        <f t="shared" si="7"/>
        <v>160602.3934424</v>
      </c>
      <c r="N41" s="1161">
        <f t="shared" si="7"/>
        <v>1103.2735190999999</v>
      </c>
      <c r="O41" s="1161">
        <f t="shared" si="7"/>
        <v>3119.0291355999998</v>
      </c>
      <c r="P41" s="1161">
        <f t="shared" si="7"/>
        <v>1164.0320176</v>
      </c>
      <c r="Q41" s="1161">
        <f t="shared" si="7"/>
        <v>154314.0387684</v>
      </c>
      <c r="R41" s="1161">
        <f t="shared" si="7"/>
        <v>90364.439443200012</v>
      </c>
      <c r="S41" s="1161">
        <f t="shared" si="7"/>
        <v>15492.782226799998</v>
      </c>
      <c r="T41" s="1161">
        <f t="shared" si="7"/>
        <v>6829.0251692000002</v>
      </c>
      <c r="U41" s="1161">
        <f t="shared" si="7"/>
        <v>49910.857419600005</v>
      </c>
      <c r="V41" s="1161">
        <f t="shared" si="7"/>
        <v>3019.6099679999998</v>
      </c>
      <c r="W41" s="1161">
        <f t="shared" si="7"/>
        <v>3770.3886895999999</v>
      </c>
      <c r="X41" s="1161">
        <f t="shared" si="7"/>
        <v>253189.60825599998</v>
      </c>
      <c r="Y41" s="1161">
        <f t="shared" si="7"/>
        <v>5686.6498226999993</v>
      </c>
      <c r="Z41" s="1161">
        <f t="shared" si="7"/>
        <v>5863.5745239999997</v>
      </c>
      <c r="AA41" s="1161">
        <f t="shared" si="7"/>
        <v>6171.8041499999999</v>
      </c>
      <c r="AB41" s="1161">
        <f t="shared" si="7"/>
        <v>7525.0229449999997</v>
      </c>
      <c r="AC41" s="1161">
        <f t="shared" si="7"/>
        <v>200.62398719999999</v>
      </c>
      <c r="AD41" s="1164"/>
      <c r="AE41" s="1430"/>
      <c r="AF41" s="1430"/>
      <c r="AG41" s="1430"/>
      <c r="AH41" s="1430"/>
      <c r="AI41" s="1430"/>
      <c r="AJ41" s="1430"/>
      <c r="AK41" s="1430"/>
      <c r="AL41" s="1430"/>
      <c r="AM41" s="1430"/>
      <c r="AN41" s="1430"/>
      <c r="AO41" s="1430"/>
      <c r="AP41" s="1430"/>
      <c r="AQ41" s="1430"/>
      <c r="AR41" s="1430"/>
      <c r="AS41" s="1430"/>
      <c r="AT41" s="1430"/>
      <c r="AU41" s="1430"/>
      <c r="AV41" s="1430"/>
      <c r="AW41" s="1430"/>
      <c r="AX41" s="1430"/>
      <c r="AY41" s="1430"/>
      <c r="AZ41" s="1430">
        <v>0</v>
      </c>
    </row>
    <row r="42" spans="1:52" s="1606" customFormat="1" ht="23.25" customHeight="1">
      <c r="A42" s="2481"/>
      <c r="B42" s="2250" t="str">
        <f>E33&amp;".0"</f>
        <v>2.2.0</v>
      </c>
      <c r="C42" s="1112"/>
      <c r="D42" s="1845"/>
      <c r="E42" s="478" t="str">
        <f>B40&amp;".1"</f>
        <v>2.2.1.1</v>
      </c>
      <c r="F42" s="485" t="s">
        <v>633</v>
      </c>
      <c r="G42" s="486" t="s">
        <v>654</v>
      </c>
      <c r="H42" s="658"/>
      <c r="I42" s="658">
        <v>5942.7</v>
      </c>
      <c r="J42" s="658">
        <v>62272.160000000003</v>
      </c>
      <c r="K42" s="658">
        <v>30.81</v>
      </c>
      <c r="L42" s="658">
        <v>18715.3</v>
      </c>
      <c r="M42" s="658">
        <v>23711.24</v>
      </c>
      <c r="N42" s="658">
        <v>158.37</v>
      </c>
      <c r="O42" s="658">
        <v>448.28</v>
      </c>
      <c r="P42" s="658">
        <v>165.86</v>
      </c>
      <c r="Q42" s="658">
        <v>22644.09</v>
      </c>
      <c r="R42" s="658">
        <v>13448.37</v>
      </c>
      <c r="S42" s="658">
        <v>2250.52</v>
      </c>
      <c r="T42" s="658">
        <v>985.96</v>
      </c>
      <c r="U42" s="658">
        <v>7239.06</v>
      </c>
      <c r="V42" s="658">
        <v>434.4</v>
      </c>
      <c r="W42" s="658">
        <v>542.67999999999995</v>
      </c>
      <c r="X42" s="658">
        <v>37413.35</v>
      </c>
      <c r="Y42" s="658">
        <v>818.13</v>
      </c>
      <c r="Z42" s="658">
        <v>836.56</v>
      </c>
      <c r="AA42" s="658">
        <v>885</v>
      </c>
      <c r="AB42" s="658">
        <v>1086.5</v>
      </c>
      <c r="AC42" s="658">
        <v>26.88</v>
      </c>
      <c r="AD42" s="1313" t="s">
        <v>634</v>
      </c>
      <c r="AE42" s="645"/>
      <c r="AF42" s="1430"/>
      <c r="AG42" s="1430"/>
      <c r="AH42" s="1154"/>
      <c r="AI42" s="1154"/>
      <c r="AJ42" s="1154"/>
      <c r="AK42" s="1154"/>
      <c r="AL42" s="1430"/>
      <c r="AM42" s="1154"/>
      <c r="AN42" s="1154"/>
      <c r="AO42" s="647"/>
      <c r="AP42" s="1154"/>
      <c r="AQ42" s="1154"/>
      <c r="AR42" s="1154"/>
      <c r="AS42" s="1154"/>
      <c r="AT42" s="1154"/>
      <c r="AU42" s="1420"/>
      <c r="AV42" s="1420"/>
      <c r="AW42" s="1420"/>
      <c r="AX42" s="1420"/>
      <c r="AY42" s="1420"/>
      <c r="AZ42" s="1423">
        <v>0</v>
      </c>
    </row>
    <row r="43" spans="1:52" s="1606" customFormat="1" ht="18.75" customHeight="1">
      <c r="A43" s="2481"/>
      <c r="B43" s="2250" t="str">
        <f>E33&amp;".0"</f>
        <v>2.2.0</v>
      </c>
      <c r="C43" s="1112"/>
      <c r="D43" s="1845"/>
      <c r="E43" s="478" t="str">
        <f>B40&amp;".2"</f>
        <v>2.2.1.2</v>
      </c>
      <c r="F43" s="485" t="s">
        <v>635</v>
      </c>
      <c r="G43" s="1853" t="s">
        <v>636</v>
      </c>
      <c r="H43" s="658"/>
      <c r="I43" s="658">
        <v>6.8726399999999996</v>
      </c>
      <c r="J43" s="658">
        <v>6.8157199999999998</v>
      </c>
      <c r="K43" s="658">
        <v>7.0141200000000001</v>
      </c>
      <c r="L43" s="658">
        <v>6.9641999999999999</v>
      </c>
      <c r="M43" s="658">
        <v>6.7732599999999996</v>
      </c>
      <c r="N43" s="658">
        <v>6.9664299999999999</v>
      </c>
      <c r="O43" s="658">
        <v>6.95777</v>
      </c>
      <c r="P43" s="658">
        <v>7.01816</v>
      </c>
      <c r="Q43" s="658">
        <v>6.8147599999999997</v>
      </c>
      <c r="R43" s="658">
        <v>6.71936</v>
      </c>
      <c r="S43" s="658">
        <v>6.8840899999999996</v>
      </c>
      <c r="T43" s="658">
        <v>6.9262699999999997</v>
      </c>
      <c r="U43" s="658">
        <v>6.89466</v>
      </c>
      <c r="V43" s="658">
        <v>6.9512200000000002</v>
      </c>
      <c r="W43" s="658">
        <v>6.9477200000000003</v>
      </c>
      <c r="X43" s="658">
        <v>6.76736</v>
      </c>
      <c r="Y43" s="658">
        <v>6.9507899999999996</v>
      </c>
      <c r="Z43" s="658">
        <v>7.00915</v>
      </c>
      <c r="AA43" s="658">
        <v>6.9737900000000002</v>
      </c>
      <c r="AB43" s="658">
        <v>6.9259300000000001</v>
      </c>
      <c r="AC43" s="658">
        <v>7.4636899999999997</v>
      </c>
      <c r="AD43" s="1313"/>
      <c r="AE43" s="645"/>
      <c r="AF43" s="1430"/>
      <c r="AG43" s="1430"/>
      <c r="AH43" s="1154"/>
      <c r="AI43" s="1154"/>
      <c r="AJ43" s="1154"/>
      <c r="AK43" s="1154"/>
      <c r="AL43" s="1430"/>
      <c r="AM43" s="1154"/>
      <c r="AN43" s="1154"/>
      <c r="AO43" s="647"/>
      <c r="AP43" s="1154"/>
      <c r="AQ43" s="1154"/>
      <c r="AR43" s="1154"/>
      <c r="AS43" s="1154"/>
      <c r="AT43" s="1154"/>
      <c r="AU43" s="1420"/>
      <c r="AV43" s="1420"/>
      <c r="AW43" s="1420"/>
      <c r="AX43" s="1420"/>
      <c r="AY43" s="1420"/>
      <c r="AZ43" s="1423">
        <v>0</v>
      </c>
    </row>
    <row r="44" spans="1:52" s="1606" customFormat="1" ht="18.75" customHeight="1">
      <c r="A44" s="2481"/>
      <c r="B44" s="2250" t="str">
        <f>E33&amp;".0"</f>
        <v>2.2.0</v>
      </c>
      <c r="C44" s="1112"/>
      <c r="D44" s="1845"/>
      <c r="E44" s="478" t="str">
        <f>B40&amp;".3"</f>
        <v>2.2.1.3</v>
      </c>
      <c r="F44" s="485" t="s">
        <v>637</v>
      </c>
      <c r="G44" s="1853" t="s">
        <v>636</v>
      </c>
      <c r="H44" s="658"/>
      <c r="I44" s="658">
        <v>0</v>
      </c>
      <c r="J44" s="658">
        <v>0</v>
      </c>
      <c r="K44" s="658">
        <v>0</v>
      </c>
      <c r="L44" s="658">
        <v>0</v>
      </c>
      <c r="M44" s="658">
        <v>0</v>
      </c>
      <c r="N44" s="658">
        <v>0</v>
      </c>
      <c r="O44" s="658">
        <v>0</v>
      </c>
      <c r="P44" s="658">
        <v>0</v>
      </c>
      <c r="Q44" s="658">
        <v>0</v>
      </c>
      <c r="R44" s="658">
        <v>0</v>
      </c>
      <c r="S44" s="658">
        <v>0</v>
      </c>
      <c r="T44" s="658">
        <v>0</v>
      </c>
      <c r="U44" s="658">
        <v>0</v>
      </c>
      <c r="V44" s="658">
        <v>0</v>
      </c>
      <c r="W44" s="658">
        <v>0</v>
      </c>
      <c r="X44" s="658">
        <v>0</v>
      </c>
      <c r="Y44" s="658">
        <v>0</v>
      </c>
      <c r="Z44" s="658">
        <v>0</v>
      </c>
      <c r="AA44" s="658">
        <v>0</v>
      </c>
      <c r="AB44" s="658">
        <v>0</v>
      </c>
      <c r="AC44" s="658">
        <v>0</v>
      </c>
      <c r="AD44" s="1313"/>
      <c r="AE44" s="645"/>
      <c r="AF44" s="1430"/>
      <c r="AG44" s="1430"/>
      <c r="AH44" s="1154"/>
      <c r="AI44" s="1154"/>
      <c r="AJ44" s="1154"/>
      <c r="AK44" s="1154"/>
      <c r="AL44" s="1430"/>
      <c r="AM44" s="1154"/>
      <c r="AN44" s="1154"/>
      <c r="AO44" s="647"/>
      <c r="AP44" s="1154"/>
      <c r="AQ44" s="1154"/>
      <c r="AR44" s="1154"/>
      <c r="AS44" s="1154"/>
      <c r="AT44" s="1154"/>
      <c r="AU44" s="1420"/>
      <c r="AV44" s="1420"/>
      <c r="AW44" s="1420"/>
      <c r="AX44" s="1420"/>
      <c r="AY44" s="1420"/>
      <c r="AZ44" s="1423">
        <v>0</v>
      </c>
    </row>
    <row r="45" spans="1:52" s="1606" customFormat="1" ht="18.75" customHeight="1">
      <c r="A45" s="2481"/>
      <c r="B45" s="2250" t="str">
        <f>E33&amp;".0"</f>
        <v>2.2.0</v>
      </c>
      <c r="C45" s="1112"/>
      <c r="D45" s="1845"/>
      <c r="E45" s="478" t="str">
        <f>B40&amp;".4"</f>
        <v>2.2.1.4</v>
      </c>
      <c r="F45" s="485" t="s">
        <v>638</v>
      </c>
      <c r="G45" s="1853" t="s">
        <v>630</v>
      </c>
      <c r="H45" s="487"/>
      <c r="I45" s="487"/>
      <c r="J45" s="487"/>
      <c r="K45" s="487"/>
      <c r="L45" s="487"/>
      <c r="M45" s="487"/>
      <c r="N45" s="487"/>
      <c r="O45" s="487"/>
      <c r="P45" s="487"/>
      <c r="Q45" s="487"/>
      <c r="R45" s="487"/>
      <c r="S45" s="487"/>
      <c r="T45" s="487"/>
      <c r="U45" s="487"/>
      <c r="V45" s="487"/>
      <c r="W45" s="487"/>
      <c r="X45" s="487"/>
      <c r="Y45" s="487"/>
      <c r="Z45" s="487"/>
      <c r="AA45" s="487"/>
      <c r="AB45" s="487"/>
      <c r="AC45" s="487"/>
      <c r="AD45" s="1313"/>
      <c r="AE45" s="645"/>
      <c r="AF45" s="1430"/>
      <c r="AG45" s="1430"/>
      <c r="AH45" s="1154"/>
      <c r="AI45" s="1154"/>
      <c r="AJ45" s="1154"/>
      <c r="AK45" s="1154"/>
      <c r="AL45" s="1430"/>
      <c r="AM45" s="1154"/>
      <c r="AN45" s="1154"/>
      <c r="AO45" s="647"/>
      <c r="AP45" s="1154"/>
      <c r="AQ45" s="1154"/>
      <c r="AR45" s="1154"/>
      <c r="AS45" s="1154"/>
      <c r="AT45" s="1154"/>
      <c r="AU45" s="1420"/>
      <c r="AV45" s="1420"/>
      <c r="AW45" s="1420"/>
      <c r="AX45" s="1420"/>
      <c r="AY45" s="1420"/>
      <c r="AZ45" s="1423">
        <v>0</v>
      </c>
    </row>
    <row r="46" spans="1:52" s="1606" customFormat="1" ht="23.25" customHeight="1">
      <c r="A46" s="2481"/>
      <c r="B46" s="2250" t="str">
        <f>E33&amp;".2"</f>
        <v>2.2.2</v>
      </c>
      <c r="C46" s="1112" t="s">
        <v>629</v>
      </c>
      <c r="D46" s="604" t="s">
        <v>90</v>
      </c>
      <c r="E46" s="478" t="str">
        <f>B46</f>
        <v>2.2.2</v>
      </c>
      <c r="F46" s="479" t="s">
        <v>655</v>
      </c>
      <c r="G46" s="1853" t="s">
        <v>630</v>
      </c>
      <c r="H46" s="1853" t="s">
        <v>630</v>
      </c>
      <c r="I46" s="1853" t="s">
        <v>630</v>
      </c>
      <c r="J46" s="1853" t="s">
        <v>630</v>
      </c>
      <c r="K46" s="1853" t="s">
        <v>630</v>
      </c>
      <c r="L46" s="1853" t="s">
        <v>630</v>
      </c>
      <c r="M46" s="1853" t="s">
        <v>630</v>
      </c>
      <c r="N46" s="1853" t="s">
        <v>630</v>
      </c>
      <c r="O46" s="1853" t="s">
        <v>630</v>
      </c>
      <c r="P46" s="1853" t="s">
        <v>630</v>
      </c>
      <c r="Q46" s="1853" t="s">
        <v>630</v>
      </c>
      <c r="R46" s="1853" t="s">
        <v>630</v>
      </c>
      <c r="S46" s="1853" t="s">
        <v>630</v>
      </c>
      <c r="T46" s="1853" t="s">
        <v>630</v>
      </c>
      <c r="U46" s="1853" t="s">
        <v>630</v>
      </c>
      <c r="V46" s="1853" t="s">
        <v>630</v>
      </c>
      <c r="W46" s="1853" t="s">
        <v>630</v>
      </c>
      <c r="X46" s="1853" t="s">
        <v>630</v>
      </c>
      <c r="Y46" s="1853" t="s">
        <v>630</v>
      </c>
      <c r="Z46" s="1853" t="s">
        <v>630</v>
      </c>
      <c r="AA46" s="1853" t="s">
        <v>630</v>
      </c>
      <c r="AB46" s="1853" t="s">
        <v>630</v>
      </c>
      <c r="AC46" s="1853" t="s">
        <v>630</v>
      </c>
      <c r="AD46" s="1313" t="s">
        <v>631</v>
      </c>
      <c r="AE46" s="645"/>
      <c r="AF46" s="1430"/>
      <c r="AG46" s="1430"/>
      <c r="AH46" s="1154"/>
      <c r="AI46" s="1154"/>
      <c r="AJ46" s="1154"/>
      <c r="AK46" s="1154"/>
      <c r="AL46" s="1430"/>
      <c r="AM46" s="1154"/>
      <c r="AN46" s="1154"/>
      <c r="AO46" s="647"/>
      <c r="AP46" s="1154"/>
      <c r="AQ46" s="1154"/>
      <c r="AR46" s="1154"/>
      <c r="AS46" s="1154"/>
      <c r="AT46" s="1154"/>
      <c r="AU46" s="1420"/>
      <c r="AV46" s="1420"/>
      <c r="AW46" s="1420"/>
      <c r="AX46" s="1420"/>
      <c r="AY46" s="1420"/>
      <c r="AZ46" s="1423">
        <v>0</v>
      </c>
    </row>
    <row r="47" spans="1:52" s="553" customFormat="1" ht="0.75" hidden="1" customHeight="1">
      <c r="A47" s="2482"/>
      <c r="B47" s="2250" t="str">
        <f>E33&amp;".1"</f>
        <v>2.2.1</v>
      </c>
      <c r="C47" s="1112"/>
      <c r="D47" s="1112"/>
      <c r="E47" s="481"/>
      <c r="F47" s="482" t="s">
        <v>632</v>
      </c>
      <c r="G47" s="1161"/>
      <c r="H47" s="1161">
        <f t="shared" ref="H47:AC47" si="8">H48*H49+H50</f>
        <v>0</v>
      </c>
      <c r="I47" s="1161">
        <f t="shared" si="8"/>
        <v>0</v>
      </c>
      <c r="J47" s="1161">
        <f t="shared" si="8"/>
        <v>2641.4090191999999</v>
      </c>
      <c r="K47" s="1161">
        <f t="shared" si="8"/>
        <v>0</v>
      </c>
      <c r="L47" s="1161">
        <f t="shared" si="8"/>
        <v>7470.1690799999997</v>
      </c>
      <c r="M47" s="1161">
        <f t="shared" si="8"/>
        <v>0</v>
      </c>
      <c r="N47" s="1161">
        <f t="shared" si="8"/>
        <v>0</v>
      </c>
      <c r="O47" s="1161">
        <f t="shared" si="8"/>
        <v>0</v>
      </c>
      <c r="P47" s="1161">
        <f t="shared" si="8"/>
        <v>0</v>
      </c>
      <c r="Q47" s="1161">
        <f t="shared" si="8"/>
        <v>0</v>
      </c>
      <c r="R47" s="1161">
        <f t="shared" si="8"/>
        <v>0</v>
      </c>
      <c r="S47" s="1161">
        <f t="shared" si="8"/>
        <v>0</v>
      </c>
      <c r="T47" s="1161">
        <f t="shared" si="8"/>
        <v>0</v>
      </c>
      <c r="U47" s="1161">
        <f t="shared" si="8"/>
        <v>0</v>
      </c>
      <c r="V47" s="1161">
        <f t="shared" si="8"/>
        <v>0</v>
      </c>
      <c r="W47" s="1161">
        <f t="shared" si="8"/>
        <v>0</v>
      </c>
      <c r="X47" s="1161">
        <f t="shared" si="8"/>
        <v>878.6671060000001</v>
      </c>
      <c r="Y47" s="1161">
        <f t="shared" si="8"/>
        <v>0</v>
      </c>
      <c r="Z47" s="1161">
        <f t="shared" si="8"/>
        <v>0</v>
      </c>
      <c r="AA47" s="1161">
        <f t="shared" si="8"/>
        <v>0</v>
      </c>
      <c r="AB47" s="1161">
        <f t="shared" si="8"/>
        <v>0</v>
      </c>
      <c r="AC47" s="1161">
        <f t="shared" si="8"/>
        <v>0</v>
      </c>
      <c r="AD47" s="1164"/>
      <c r="AE47" s="1430"/>
      <c r="AF47" s="1430"/>
      <c r="AG47" s="1430"/>
      <c r="AH47" s="1430"/>
      <c r="AI47" s="1430"/>
      <c r="AJ47" s="1430"/>
      <c r="AK47" s="1430"/>
      <c r="AL47" s="1430"/>
      <c r="AM47" s="1430"/>
      <c r="AN47" s="1430"/>
      <c r="AO47" s="1430"/>
      <c r="AP47" s="1430"/>
      <c r="AQ47" s="1430"/>
      <c r="AR47" s="1430"/>
      <c r="AS47" s="1430"/>
      <c r="AT47" s="1430"/>
      <c r="AU47" s="1430"/>
      <c r="AV47" s="1430"/>
      <c r="AW47" s="1430"/>
      <c r="AX47" s="1430"/>
      <c r="AY47" s="1430"/>
      <c r="AZ47" s="1430">
        <v>0</v>
      </c>
    </row>
    <row r="48" spans="1:52" s="1606" customFormat="1" ht="23.25" customHeight="1">
      <c r="A48" s="2481"/>
      <c r="B48" s="2250" t="str">
        <f>E33&amp;".1"</f>
        <v>2.2.1</v>
      </c>
      <c r="C48" s="1112"/>
      <c r="D48" s="1845"/>
      <c r="E48" s="478" t="str">
        <f>B46&amp;".1"</f>
        <v>2.2.2.1</v>
      </c>
      <c r="F48" s="485" t="s">
        <v>633</v>
      </c>
      <c r="G48" s="486" t="s">
        <v>656</v>
      </c>
      <c r="H48" s="658"/>
      <c r="I48" s="658">
        <v>0</v>
      </c>
      <c r="J48" s="658">
        <v>392.84</v>
      </c>
      <c r="K48" s="658">
        <v>0</v>
      </c>
      <c r="L48" s="658">
        <v>1083.5</v>
      </c>
      <c r="M48" s="658">
        <v>0</v>
      </c>
      <c r="N48" s="658">
        <v>0</v>
      </c>
      <c r="O48" s="658">
        <v>0</v>
      </c>
      <c r="P48" s="658">
        <v>0</v>
      </c>
      <c r="Q48" s="658">
        <v>0</v>
      </c>
      <c r="R48" s="658">
        <v>0</v>
      </c>
      <c r="S48" s="658">
        <v>0</v>
      </c>
      <c r="T48" s="658">
        <v>0</v>
      </c>
      <c r="U48" s="658">
        <v>0</v>
      </c>
      <c r="V48" s="658">
        <v>0</v>
      </c>
      <c r="W48" s="658">
        <v>0</v>
      </c>
      <c r="X48" s="658">
        <v>131.80000000000001</v>
      </c>
      <c r="Y48" s="658">
        <v>0</v>
      </c>
      <c r="Z48" s="658">
        <v>0</v>
      </c>
      <c r="AA48" s="658">
        <v>0</v>
      </c>
      <c r="AB48" s="658">
        <v>0</v>
      </c>
      <c r="AC48" s="658">
        <v>0</v>
      </c>
      <c r="AD48" s="1313" t="s">
        <v>634</v>
      </c>
      <c r="AE48" s="645"/>
      <c r="AF48" s="1430"/>
      <c r="AG48" s="1430"/>
      <c r="AH48" s="1154"/>
      <c r="AI48" s="1154"/>
      <c r="AJ48" s="1154"/>
      <c r="AK48" s="1154"/>
      <c r="AL48" s="1430"/>
      <c r="AM48" s="1154"/>
      <c r="AN48" s="1154"/>
      <c r="AO48" s="647"/>
      <c r="AP48" s="1154"/>
      <c r="AQ48" s="1154"/>
      <c r="AR48" s="1154"/>
      <c r="AS48" s="1154"/>
      <c r="AT48" s="1154"/>
      <c r="AU48" s="1420"/>
      <c r="AV48" s="1420"/>
      <c r="AW48" s="1420"/>
      <c r="AX48" s="1420"/>
      <c r="AY48" s="1420"/>
      <c r="AZ48" s="1423">
        <v>0</v>
      </c>
    </row>
    <row r="49" spans="1:52" s="1606" customFormat="1" ht="18.75" customHeight="1">
      <c r="A49" s="2481"/>
      <c r="B49" s="2250" t="str">
        <f>E33&amp;".1"</f>
        <v>2.2.1</v>
      </c>
      <c r="C49" s="1112"/>
      <c r="D49" s="1845"/>
      <c r="E49" s="478" t="str">
        <f>B46&amp;".2"</f>
        <v>2.2.2.2</v>
      </c>
      <c r="F49" s="485" t="s">
        <v>635</v>
      </c>
      <c r="G49" s="1853" t="s">
        <v>636</v>
      </c>
      <c r="H49" s="658"/>
      <c r="I49" s="658">
        <v>0</v>
      </c>
      <c r="J49" s="658">
        <v>6.7238800000000003</v>
      </c>
      <c r="K49" s="658">
        <v>0</v>
      </c>
      <c r="L49" s="658">
        <v>6.8944799999999997</v>
      </c>
      <c r="M49" s="658">
        <v>0</v>
      </c>
      <c r="N49" s="658">
        <v>0</v>
      </c>
      <c r="O49" s="658">
        <v>0</v>
      </c>
      <c r="P49" s="658">
        <v>0</v>
      </c>
      <c r="Q49" s="658">
        <v>0</v>
      </c>
      <c r="R49" s="658">
        <v>0</v>
      </c>
      <c r="S49" s="658">
        <v>0</v>
      </c>
      <c r="T49" s="658">
        <v>0</v>
      </c>
      <c r="U49" s="658">
        <v>0</v>
      </c>
      <c r="V49" s="658">
        <v>0</v>
      </c>
      <c r="W49" s="658">
        <v>0</v>
      </c>
      <c r="X49" s="658">
        <v>6.6666699999999999</v>
      </c>
      <c r="Y49" s="658">
        <v>0</v>
      </c>
      <c r="Z49" s="658">
        <v>0</v>
      </c>
      <c r="AA49" s="658">
        <v>0</v>
      </c>
      <c r="AB49" s="658">
        <v>0</v>
      </c>
      <c r="AC49" s="658">
        <v>0</v>
      </c>
      <c r="AD49" s="1313"/>
      <c r="AE49" s="645"/>
      <c r="AF49" s="1430"/>
      <c r="AG49" s="1430"/>
      <c r="AH49" s="1154"/>
      <c r="AI49" s="1154"/>
      <c r="AJ49" s="1154"/>
      <c r="AK49" s="1154"/>
      <c r="AL49" s="1430"/>
      <c r="AM49" s="1154"/>
      <c r="AN49" s="1154"/>
      <c r="AO49" s="647"/>
      <c r="AP49" s="1154"/>
      <c r="AQ49" s="1154"/>
      <c r="AR49" s="1154"/>
      <c r="AS49" s="1154"/>
      <c r="AT49" s="1154"/>
      <c r="AU49" s="1420"/>
      <c r="AV49" s="1420"/>
      <c r="AW49" s="1420"/>
      <c r="AX49" s="1420"/>
      <c r="AY49" s="1420"/>
      <c r="AZ49" s="1423">
        <v>0</v>
      </c>
    </row>
    <row r="50" spans="1:52" s="1606" customFormat="1" ht="18.75" customHeight="1">
      <c r="A50" s="2481"/>
      <c r="B50" s="2250" t="str">
        <f>E33&amp;".1"</f>
        <v>2.2.1</v>
      </c>
      <c r="C50" s="1112"/>
      <c r="D50" s="1845"/>
      <c r="E50" s="478" t="str">
        <f>B46&amp;".3"</f>
        <v>2.2.2.3</v>
      </c>
      <c r="F50" s="485" t="s">
        <v>637</v>
      </c>
      <c r="G50" s="1853" t="s">
        <v>636</v>
      </c>
      <c r="H50" s="658"/>
      <c r="I50" s="658">
        <v>0</v>
      </c>
      <c r="J50" s="658">
        <v>0</v>
      </c>
      <c r="K50" s="658">
        <v>0</v>
      </c>
      <c r="L50" s="658">
        <v>0</v>
      </c>
      <c r="M50" s="658">
        <v>0</v>
      </c>
      <c r="N50" s="658">
        <v>0</v>
      </c>
      <c r="O50" s="658">
        <v>0</v>
      </c>
      <c r="P50" s="658">
        <v>0</v>
      </c>
      <c r="Q50" s="658">
        <v>0</v>
      </c>
      <c r="R50" s="658">
        <v>0</v>
      </c>
      <c r="S50" s="658">
        <v>0</v>
      </c>
      <c r="T50" s="658">
        <v>0</v>
      </c>
      <c r="U50" s="658">
        <v>0</v>
      </c>
      <c r="V50" s="658">
        <v>0</v>
      </c>
      <c r="W50" s="658">
        <v>0</v>
      </c>
      <c r="X50" s="658">
        <v>0</v>
      </c>
      <c r="Y50" s="658">
        <v>0</v>
      </c>
      <c r="Z50" s="658">
        <v>0</v>
      </c>
      <c r="AA50" s="658">
        <v>0</v>
      </c>
      <c r="AB50" s="658">
        <v>0</v>
      </c>
      <c r="AC50" s="658">
        <v>0</v>
      </c>
      <c r="AD50" s="1313"/>
      <c r="AE50" s="645"/>
      <c r="AF50" s="1430"/>
      <c r="AG50" s="1430"/>
      <c r="AH50" s="1154"/>
      <c r="AI50" s="1154"/>
      <c r="AJ50" s="1154"/>
      <c r="AK50" s="1154"/>
      <c r="AL50" s="1430"/>
      <c r="AM50" s="1154"/>
      <c r="AN50" s="1154"/>
      <c r="AO50" s="647"/>
      <c r="AP50" s="1154"/>
      <c r="AQ50" s="1154"/>
      <c r="AR50" s="1154"/>
      <c r="AS50" s="1154"/>
      <c r="AT50" s="1154"/>
      <c r="AU50" s="1420"/>
      <c r="AV50" s="1420"/>
      <c r="AW50" s="1420"/>
      <c r="AX50" s="1420"/>
      <c r="AY50" s="1420"/>
      <c r="AZ50" s="1423">
        <v>0</v>
      </c>
    </row>
    <row r="51" spans="1:52" s="1606" customFormat="1" ht="18.75" customHeight="1">
      <c r="A51" s="2481"/>
      <c r="B51" s="2250" t="str">
        <f>E33&amp;".1"</f>
        <v>2.2.1</v>
      </c>
      <c r="C51" s="1112"/>
      <c r="D51" s="1845"/>
      <c r="E51" s="478" t="str">
        <f>B46&amp;".4"</f>
        <v>2.2.2.4</v>
      </c>
      <c r="F51" s="485" t="s">
        <v>638</v>
      </c>
      <c r="G51" s="1853" t="s">
        <v>630</v>
      </c>
      <c r="H51" s="487"/>
      <c r="I51" s="487"/>
      <c r="J51" s="487"/>
      <c r="K51" s="487"/>
      <c r="L51" s="487"/>
      <c r="M51" s="487"/>
      <c r="N51" s="487"/>
      <c r="O51" s="487"/>
      <c r="P51" s="487"/>
      <c r="Q51" s="487"/>
      <c r="R51" s="487"/>
      <c r="S51" s="487"/>
      <c r="T51" s="487"/>
      <c r="U51" s="487"/>
      <c r="V51" s="487"/>
      <c r="W51" s="487"/>
      <c r="X51" s="487"/>
      <c r="Y51" s="487"/>
      <c r="Z51" s="487"/>
      <c r="AA51" s="487"/>
      <c r="AB51" s="487"/>
      <c r="AC51" s="487"/>
      <c r="AD51" s="1313"/>
      <c r="AE51" s="645"/>
      <c r="AF51" s="1430"/>
      <c r="AG51" s="1430"/>
      <c r="AH51" s="1154"/>
      <c r="AI51" s="1154"/>
      <c r="AJ51" s="1154"/>
      <c r="AK51" s="1154"/>
      <c r="AL51" s="1430"/>
      <c r="AM51" s="1154"/>
      <c r="AN51" s="1154"/>
      <c r="AO51" s="647"/>
      <c r="AP51" s="1154"/>
      <c r="AQ51" s="1154"/>
      <c r="AR51" s="1154"/>
      <c r="AS51" s="1154"/>
      <c r="AT51" s="1154"/>
      <c r="AU51" s="1420"/>
      <c r="AV51" s="1420"/>
      <c r="AW51" s="1420"/>
      <c r="AX51" s="1420"/>
      <c r="AY51" s="1420"/>
      <c r="AZ51" s="1423">
        <v>0</v>
      </c>
    </row>
    <row r="52" spans="1:52" s="1606" customFormat="1" ht="23.25" customHeight="1">
      <c r="A52" s="2481"/>
      <c r="B52" s="2250" t="str">
        <f>E33&amp;".3"</f>
        <v>2.2.3</v>
      </c>
      <c r="C52" s="1112" t="s">
        <v>629</v>
      </c>
      <c r="D52" s="604" t="s">
        <v>90</v>
      </c>
      <c r="E52" s="478" t="str">
        <f>B52</f>
        <v>2.2.3</v>
      </c>
      <c r="F52" s="479" t="s">
        <v>657</v>
      </c>
      <c r="G52" s="1853" t="s">
        <v>630</v>
      </c>
      <c r="H52" s="1853" t="s">
        <v>630</v>
      </c>
      <c r="I52" s="1853" t="s">
        <v>630</v>
      </c>
      <c r="J52" s="1853" t="s">
        <v>630</v>
      </c>
      <c r="K52" s="1853" t="s">
        <v>630</v>
      </c>
      <c r="L52" s="1853" t="s">
        <v>630</v>
      </c>
      <c r="M52" s="1853" t="s">
        <v>630</v>
      </c>
      <c r="N52" s="1853" t="s">
        <v>630</v>
      </c>
      <c r="O52" s="1853" t="s">
        <v>630</v>
      </c>
      <c r="P52" s="1853" t="s">
        <v>630</v>
      </c>
      <c r="Q52" s="1853" t="s">
        <v>630</v>
      </c>
      <c r="R52" s="1853" t="s">
        <v>630</v>
      </c>
      <c r="S52" s="1853" t="s">
        <v>630</v>
      </c>
      <c r="T52" s="1853" t="s">
        <v>630</v>
      </c>
      <c r="U52" s="1853" t="s">
        <v>630</v>
      </c>
      <c r="V52" s="1853" t="s">
        <v>630</v>
      </c>
      <c r="W52" s="1853" t="s">
        <v>630</v>
      </c>
      <c r="X52" s="1853" t="s">
        <v>630</v>
      </c>
      <c r="Y52" s="1853" t="s">
        <v>630</v>
      </c>
      <c r="Z52" s="1853" t="s">
        <v>630</v>
      </c>
      <c r="AA52" s="1853" t="s">
        <v>630</v>
      </c>
      <c r="AB52" s="1853" t="s">
        <v>630</v>
      </c>
      <c r="AC52" s="1853" t="s">
        <v>630</v>
      </c>
      <c r="AD52" s="1313" t="s">
        <v>631</v>
      </c>
      <c r="AE52" s="645"/>
      <c r="AF52" s="1430"/>
      <c r="AG52" s="1430"/>
      <c r="AH52" s="1154"/>
      <c r="AI52" s="1154"/>
      <c r="AJ52" s="1154"/>
      <c r="AK52" s="1154"/>
      <c r="AL52" s="1430"/>
      <c r="AM52" s="1154"/>
      <c r="AN52" s="1154"/>
      <c r="AO52" s="647"/>
      <c r="AP52" s="1154"/>
      <c r="AQ52" s="1154"/>
      <c r="AR52" s="1154"/>
      <c r="AS52" s="1154"/>
      <c r="AT52" s="1154"/>
      <c r="AU52" s="1420"/>
      <c r="AV52" s="1420"/>
      <c r="AW52" s="1420"/>
      <c r="AX52" s="1420"/>
      <c r="AY52" s="1420"/>
      <c r="AZ52" s="1423">
        <v>0</v>
      </c>
    </row>
    <row r="53" spans="1:52" s="553" customFormat="1" ht="0.75" hidden="1" customHeight="1">
      <c r="A53" s="2482"/>
      <c r="B53" s="2250" t="str">
        <f>E33&amp;".2"</f>
        <v>2.2.2</v>
      </c>
      <c r="C53" s="1112"/>
      <c r="D53" s="1112"/>
      <c r="E53" s="481"/>
      <c r="F53" s="482" t="s">
        <v>632</v>
      </c>
      <c r="G53" s="1161"/>
      <c r="H53" s="1161">
        <f t="shared" ref="H53:AC53" si="9">H54*H55+H56</f>
        <v>0</v>
      </c>
      <c r="I53" s="1161">
        <f t="shared" si="9"/>
        <v>0</v>
      </c>
      <c r="J53" s="1161">
        <f t="shared" si="9"/>
        <v>1323.8586224999999</v>
      </c>
      <c r="K53" s="1161">
        <f t="shared" si="9"/>
        <v>0</v>
      </c>
      <c r="L53" s="1161">
        <f t="shared" si="9"/>
        <v>0</v>
      </c>
      <c r="M53" s="1161">
        <f t="shared" si="9"/>
        <v>0</v>
      </c>
      <c r="N53" s="1161">
        <f t="shared" si="9"/>
        <v>0</v>
      </c>
      <c r="O53" s="1161">
        <f t="shared" si="9"/>
        <v>0</v>
      </c>
      <c r="P53" s="1161">
        <f t="shared" si="9"/>
        <v>0</v>
      </c>
      <c r="Q53" s="1161">
        <f t="shared" si="9"/>
        <v>0</v>
      </c>
      <c r="R53" s="1161">
        <f t="shared" si="9"/>
        <v>0</v>
      </c>
      <c r="S53" s="1161">
        <f t="shared" si="9"/>
        <v>0</v>
      </c>
      <c r="T53" s="1161">
        <f t="shared" si="9"/>
        <v>0</v>
      </c>
      <c r="U53" s="1161">
        <f t="shared" si="9"/>
        <v>0</v>
      </c>
      <c r="V53" s="1161">
        <f t="shared" si="9"/>
        <v>0</v>
      </c>
      <c r="W53" s="1161">
        <f t="shared" si="9"/>
        <v>0</v>
      </c>
      <c r="X53" s="1161">
        <f t="shared" si="9"/>
        <v>0</v>
      </c>
      <c r="Y53" s="1161">
        <f t="shared" si="9"/>
        <v>0</v>
      </c>
      <c r="Z53" s="1161">
        <f t="shared" si="9"/>
        <v>0</v>
      </c>
      <c r="AA53" s="1161">
        <f t="shared" si="9"/>
        <v>0</v>
      </c>
      <c r="AB53" s="1161">
        <f t="shared" si="9"/>
        <v>0</v>
      </c>
      <c r="AC53" s="1161">
        <f t="shared" si="9"/>
        <v>0</v>
      </c>
      <c r="AD53" s="1164"/>
      <c r="AE53" s="1430"/>
      <c r="AF53" s="1430"/>
      <c r="AG53" s="1430"/>
      <c r="AH53" s="1430"/>
      <c r="AI53" s="1430"/>
      <c r="AJ53" s="1430"/>
      <c r="AK53" s="1430"/>
      <c r="AL53" s="1430"/>
      <c r="AM53" s="1430"/>
      <c r="AN53" s="1430"/>
      <c r="AO53" s="1430"/>
      <c r="AP53" s="1430"/>
      <c r="AQ53" s="1430"/>
      <c r="AR53" s="1430"/>
      <c r="AS53" s="1430"/>
      <c r="AT53" s="1430"/>
      <c r="AU53" s="1430"/>
      <c r="AV53" s="1430"/>
      <c r="AW53" s="1430"/>
      <c r="AX53" s="1430"/>
      <c r="AY53" s="1430"/>
      <c r="AZ53" s="1430">
        <v>0</v>
      </c>
    </row>
    <row r="54" spans="1:52" s="1606" customFormat="1" ht="23.25" customHeight="1">
      <c r="A54" s="2481"/>
      <c r="B54" s="2250" t="str">
        <f>E33&amp;".2"</f>
        <v>2.2.2</v>
      </c>
      <c r="C54" s="1112"/>
      <c r="D54" s="1845"/>
      <c r="E54" s="478" t="str">
        <f>B52&amp;".1"</f>
        <v>2.2.3.1</v>
      </c>
      <c r="F54" s="485" t="s">
        <v>633</v>
      </c>
      <c r="G54" s="486" t="s">
        <v>656</v>
      </c>
      <c r="H54" s="658"/>
      <c r="I54" s="658">
        <v>0</v>
      </c>
      <c r="J54" s="658">
        <v>95.47</v>
      </c>
      <c r="K54" s="658">
        <v>0</v>
      </c>
      <c r="L54" s="658">
        <v>0</v>
      </c>
      <c r="M54" s="658">
        <v>0</v>
      </c>
      <c r="N54" s="658">
        <v>0</v>
      </c>
      <c r="O54" s="658">
        <v>0</v>
      </c>
      <c r="P54" s="658">
        <v>0</v>
      </c>
      <c r="Q54" s="658">
        <v>0</v>
      </c>
      <c r="R54" s="658">
        <v>0</v>
      </c>
      <c r="S54" s="658">
        <v>0</v>
      </c>
      <c r="T54" s="658">
        <v>0</v>
      </c>
      <c r="U54" s="658">
        <v>0</v>
      </c>
      <c r="V54" s="658">
        <v>0</v>
      </c>
      <c r="W54" s="658">
        <v>0</v>
      </c>
      <c r="X54" s="658">
        <v>0</v>
      </c>
      <c r="Y54" s="658">
        <v>0</v>
      </c>
      <c r="Z54" s="658">
        <v>0</v>
      </c>
      <c r="AA54" s="658">
        <v>0</v>
      </c>
      <c r="AB54" s="658">
        <v>0</v>
      </c>
      <c r="AC54" s="658">
        <v>0</v>
      </c>
      <c r="AD54" s="1313" t="s">
        <v>634</v>
      </c>
      <c r="AE54" s="645"/>
      <c r="AF54" s="1430"/>
      <c r="AG54" s="1430"/>
      <c r="AH54" s="1154"/>
      <c r="AI54" s="1154"/>
      <c r="AJ54" s="1154"/>
      <c r="AK54" s="1154"/>
      <c r="AL54" s="1430"/>
      <c r="AM54" s="1154"/>
      <c r="AN54" s="1154"/>
      <c r="AO54" s="647"/>
      <c r="AP54" s="1154"/>
      <c r="AQ54" s="1154"/>
      <c r="AR54" s="1154"/>
      <c r="AS54" s="1154"/>
      <c r="AT54" s="1154"/>
      <c r="AU54" s="1420"/>
      <c r="AV54" s="1420"/>
      <c r="AW54" s="1420"/>
      <c r="AX54" s="1420"/>
      <c r="AY54" s="1420"/>
      <c r="AZ54" s="1423">
        <v>0</v>
      </c>
    </row>
    <row r="55" spans="1:52" s="1606" customFormat="1" ht="18.75" customHeight="1">
      <c r="A55" s="2481"/>
      <c r="B55" s="2250" t="str">
        <f>E33&amp;".2"</f>
        <v>2.2.2</v>
      </c>
      <c r="C55" s="1112"/>
      <c r="D55" s="1845"/>
      <c r="E55" s="478" t="str">
        <f>B52&amp;".2"</f>
        <v>2.2.3.2</v>
      </c>
      <c r="F55" s="485" t="s">
        <v>635</v>
      </c>
      <c r="G55" s="1853" t="s">
        <v>636</v>
      </c>
      <c r="H55" s="658"/>
      <c r="I55" s="658">
        <v>0</v>
      </c>
      <c r="J55" s="658">
        <v>13.86675</v>
      </c>
      <c r="K55" s="658">
        <v>0</v>
      </c>
      <c r="L55" s="658">
        <v>0</v>
      </c>
      <c r="M55" s="658">
        <v>0</v>
      </c>
      <c r="N55" s="658">
        <v>0</v>
      </c>
      <c r="O55" s="658">
        <v>0</v>
      </c>
      <c r="P55" s="658">
        <v>0</v>
      </c>
      <c r="Q55" s="658">
        <v>0</v>
      </c>
      <c r="R55" s="658">
        <v>0</v>
      </c>
      <c r="S55" s="658">
        <v>0</v>
      </c>
      <c r="T55" s="658">
        <v>0</v>
      </c>
      <c r="U55" s="658">
        <v>0</v>
      </c>
      <c r="V55" s="658">
        <v>0</v>
      </c>
      <c r="W55" s="658">
        <v>0</v>
      </c>
      <c r="X55" s="658">
        <v>0</v>
      </c>
      <c r="Y55" s="658">
        <v>0</v>
      </c>
      <c r="Z55" s="658">
        <v>0</v>
      </c>
      <c r="AA55" s="658">
        <v>0</v>
      </c>
      <c r="AB55" s="658">
        <v>0</v>
      </c>
      <c r="AC55" s="658">
        <v>0</v>
      </c>
      <c r="AD55" s="1313"/>
      <c r="AE55" s="645"/>
      <c r="AF55" s="1430"/>
      <c r="AG55" s="1430"/>
      <c r="AH55" s="1154"/>
      <c r="AI55" s="1154"/>
      <c r="AJ55" s="1154"/>
      <c r="AK55" s="1154"/>
      <c r="AL55" s="1430"/>
      <c r="AM55" s="1154"/>
      <c r="AN55" s="1154"/>
      <c r="AO55" s="647"/>
      <c r="AP55" s="1154"/>
      <c r="AQ55" s="1154"/>
      <c r="AR55" s="1154"/>
      <c r="AS55" s="1154"/>
      <c r="AT55" s="1154"/>
      <c r="AU55" s="1420"/>
      <c r="AV55" s="1420"/>
      <c r="AW55" s="1420"/>
      <c r="AX55" s="1420"/>
      <c r="AY55" s="1420"/>
      <c r="AZ55" s="1423">
        <v>0</v>
      </c>
    </row>
    <row r="56" spans="1:52" s="1606" customFormat="1" ht="18.75" customHeight="1">
      <c r="A56" s="2481"/>
      <c r="B56" s="2250" t="str">
        <f>E33&amp;".2"</f>
        <v>2.2.2</v>
      </c>
      <c r="C56" s="1112"/>
      <c r="D56" s="1845"/>
      <c r="E56" s="478" t="str">
        <f>B52&amp;".3"</f>
        <v>2.2.3.3</v>
      </c>
      <c r="F56" s="485" t="s">
        <v>637</v>
      </c>
      <c r="G56" s="1853" t="s">
        <v>636</v>
      </c>
      <c r="H56" s="658"/>
      <c r="I56" s="658">
        <v>0</v>
      </c>
      <c r="J56" s="658">
        <v>0</v>
      </c>
      <c r="K56" s="658">
        <v>0</v>
      </c>
      <c r="L56" s="658">
        <v>0</v>
      </c>
      <c r="M56" s="658">
        <v>0</v>
      </c>
      <c r="N56" s="658">
        <v>0</v>
      </c>
      <c r="O56" s="658">
        <v>0</v>
      </c>
      <c r="P56" s="658">
        <v>0</v>
      </c>
      <c r="Q56" s="658">
        <v>0</v>
      </c>
      <c r="R56" s="658">
        <v>0</v>
      </c>
      <c r="S56" s="658">
        <v>0</v>
      </c>
      <c r="T56" s="658">
        <v>0</v>
      </c>
      <c r="U56" s="658">
        <v>0</v>
      </c>
      <c r="V56" s="658">
        <v>0</v>
      </c>
      <c r="W56" s="658">
        <v>0</v>
      </c>
      <c r="X56" s="658">
        <v>0</v>
      </c>
      <c r="Y56" s="658">
        <v>0</v>
      </c>
      <c r="Z56" s="658">
        <v>0</v>
      </c>
      <c r="AA56" s="658">
        <v>0</v>
      </c>
      <c r="AB56" s="658">
        <v>0</v>
      </c>
      <c r="AC56" s="658">
        <v>0</v>
      </c>
      <c r="AD56" s="1313"/>
      <c r="AE56" s="645"/>
      <c r="AF56" s="1430"/>
      <c r="AG56" s="1430"/>
      <c r="AH56" s="1154"/>
      <c r="AI56" s="1154"/>
      <c r="AJ56" s="1154"/>
      <c r="AK56" s="1154"/>
      <c r="AL56" s="1430"/>
      <c r="AM56" s="1154"/>
      <c r="AN56" s="1154"/>
      <c r="AO56" s="647"/>
      <c r="AP56" s="1154"/>
      <c r="AQ56" s="1154"/>
      <c r="AR56" s="1154"/>
      <c r="AS56" s="1154"/>
      <c r="AT56" s="1154"/>
      <c r="AU56" s="1420"/>
      <c r="AV56" s="1420"/>
      <c r="AW56" s="1420"/>
      <c r="AX56" s="1420"/>
      <c r="AY56" s="1420"/>
      <c r="AZ56" s="1423">
        <v>0</v>
      </c>
    </row>
    <row r="57" spans="1:52" s="1606" customFormat="1" ht="18.75" customHeight="1">
      <c r="A57" s="2481"/>
      <c r="B57" s="2250" t="str">
        <f>E33&amp;".2"</f>
        <v>2.2.2</v>
      </c>
      <c r="C57" s="1112"/>
      <c r="D57" s="1845"/>
      <c r="E57" s="478" t="str">
        <f>B52&amp;".4"</f>
        <v>2.2.3.4</v>
      </c>
      <c r="F57" s="485" t="s">
        <v>638</v>
      </c>
      <c r="G57" s="1853" t="s">
        <v>630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1313"/>
      <c r="AE57" s="645"/>
      <c r="AF57" s="1430"/>
      <c r="AG57" s="1430"/>
      <c r="AH57" s="1154"/>
      <c r="AI57" s="1154"/>
      <c r="AJ57" s="1154"/>
      <c r="AK57" s="1154"/>
      <c r="AL57" s="1430"/>
      <c r="AM57" s="1154"/>
      <c r="AN57" s="1154"/>
      <c r="AO57" s="647"/>
      <c r="AP57" s="1154"/>
      <c r="AQ57" s="1154"/>
      <c r="AR57" s="1154"/>
      <c r="AS57" s="1154"/>
      <c r="AT57" s="1154"/>
      <c r="AU57" s="1420"/>
      <c r="AV57" s="1420"/>
      <c r="AW57" s="1420"/>
      <c r="AX57" s="1420"/>
      <c r="AY57" s="1420"/>
      <c r="AZ57" s="1423">
        <v>0</v>
      </c>
    </row>
    <row r="58" spans="1:52" s="1154" customFormat="1" ht="22.5" customHeight="1">
      <c r="A58" s="2480"/>
      <c r="C58" s="1424"/>
      <c r="D58" s="1421"/>
      <c r="E58" s="502"/>
      <c r="F58" s="503" t="s">
        <v>658</v>
      </c>
      <c r="G58" s="504"/>
      <c r="H58" s="505"/>
      <c r="I58" s="505"/>
      <c r="J58" s="1883"/>
      <c r="K58" s="1884"/>
      <c r="L58" s="1885"/>
      <c r="M58" s="1886"/>
      <c r="N58" s="1887"/>
      <c r="O58" s="1888"/>
      <c r="P58" s="1889"/>
      <c r="Q58" s="1890"/>
      <c r="R58" s="1891"/>
      <c r="S58" s="1892"/>
      <c r="T58" s="1893"/>
      <c r="U58" s="1894"/>
      <c r="V58" s="1895"/>
      <c r="W58" s="1896"/>
      <c r="X58" s="1897"/>
      <c r="Y58" s="1898"/>
      <c r="Z58" s="1899"/>
      <c r="AA58" s="1900"/>
      <c r="AB58" s="1901"/>
      <c r="AC58" s="2225"/>
      <c r="AD58" s="235"/>
      <c r="AE58" s="1424" t="str">
        <f t="shared" ref="AE58:AE88" si="10">IF((LEN(E58)-LEN(SUBSTITUTE(E58,".","")))/LEN(".")=1,"p","")</f>
        <v/>
      </c>
      <c r="AF58" s="1424"/>
      <c r="AG58" s="1424"/>
      <c r="AL58" s="1424"/>
      <c r="AO58" s="476"/>
      <c r="AU58" s="1420"/>
      <c r="AV58" s="1420"/>
      <c r="AW58" s="1420"/>
      <c r="AX58" s="1420"/>
      <c r="AY58" s="1420"/>
      <c r="AZ58" s="961">
        <v>0</v>
      </c>
    </row>
    <row r="59" spans="1:52" ht="11.25" hidden="1" customHeight="1">
      <c r="A59" s="2480" t="s">
        <v>659</v>
      </c>
      <c r="D59" s="1426"/>
      <c r="E59" s="478" t="str">
        <f>FHD_NUM_P_5</f>
        <v/>
      </c>
      <c r="F59" s="1312" t="str">
        <f>FHD_P_5</f>
        <v/>
      </c>
      <c r="G59" s="1631" t="s">
        <v>636</v>
      </c>
      <c r="H59" s="489"/>
      <c r="I59" s="489"/>
      <c r="J59" s="489"/>
      <c r="K59" s="489"/>
      <c r="L59" s="489"/>
      <c r="M59" s="489"/>
      <c r="N59" s="489"/>
      <c r="O59" s="489"/>
      <c r="P59" s="489"/>
      <c r="Q59" s="489"/>
      <c r="R59" s="489"/>
      <c r="S59" s="489"/>
      <c r="T59" s="489"/>
      <c r="U59" s="489"/>
      <c r="V59" s="489"/>
      <c r="W59" s="489"/>
      <c r="X59" s="489"/>
      <c r="Y59" s="489"/>
      <c r="Z59" s="489"/>
      <c r="AA59" s="489"/>
      <c r="AB59" s="489"/>
      <c r="AC59" s="489"/>
      <c r="AD59" s="223" t="str">
        <f>FHD_NOTE_P_5</f>
        <v/>
      </c>
      <c r="AE59" s="1424" t="str">
        <f t="shared" si="10"/>
        <v/>
      </c>
      <c r="AZ59" s="1419">
        <v>0</v>
      </c>
    </row>
    <row r="60" spans="1:52" ht="11.25" hidden="1" customHeight="1">
      <c r="A60" s="2480"/>
      <c r="D60" s="1426"/>
      <c r="E60" s="478" t="str">
        <f>FHD_NUM_P_6</f>
        <v/>
      </c>
      <c r="F60" s="1312" t="str">
        <f>FHD_P_6</f>
        <v/>
      </c>
      <c r="G60" s="1631" t="s">
        <v>636</v>
      </c>
      <c r="H60" s="489"/>
      <c r="I60" s="489"/>
      <c r="J60" s="489"/>
      <c r="K60" s="489"/>
      <c r="L60" s="489"/>
      <c r="M60" s="489"/>
      <c r="N60" s="489"/>
      <c r="O60" s="489"/>
      <c r="P60" s="489"/>
      <c r="Q60" s="489"/>
      <c r="R60" s="489"/>
      <c r="S60" s="489"/>
      <c r="T60" s="489"/>
      <c r="U60" s="489"/>
      <c r="V60" s="489"/>
      <c r="W60" s="489"/>
      <c r="X60" s="489"/>
      <c r="Y60" s="489"/>
      <c r="Z60" s="489"/>
      <c r="AA60" s="489"/>
      <c r="AB60" s="489"/>
      <c r="AC60" s="489"/>
      <c r="AD60" s="223" t="str">
        <f>FHD_NOTE_P_6</f>
        <v/>
      </c>
      <c r="AE60" s="1424" t="str">
        <f t="shared" si="10"/>
        <v/>
      </c>
      <c r="AZ60" s="1419">
        <v>0</v>
      </c>
    </row>
    <row r="61" spans="1:52" ht="11.25" hidden="1" customHeight="1">
      <c r="A61" s="2480"/>
      <c r="D61" s="1426"/>
      <c r="E61" s="478" t="str">
        <f>FHD_NUM_P_7</f>
        <v/>
      </c>
      <c r="F61" s="1312" t="str">
        <f>FHD_P_7</f>
        <v/>
      </c>
      <c r="G61" s="1631" t="s">
        <v>636</v>
      </c>
      <c r="H61" s="489"/>
      <c r="I61" s="489"/>
      <c r="J61" s="489"/>
      <c r="K61" s="489"/>
      <c r="L61" s="489"/>
      <c r="M61" s="489"/>
      <c r="N61" s="489"/>
      <c r="O61" s="489"/>
      <c r="P61" s="489"/>
      <c r="Q61" s="489"/>
      <c r="R61" s="489"/>
      <c r="S61" s="489"/>
      <c r="T61" s="489"/>
      <c r="U61" s="489"/>
      <c r="V61" s="489"/>
      <c r="W61" s="489"/>
      <c r="X61" s="489"/>
      <c r="Y61" s="489"/>
      <c r="Z61" s="489"/>
      <c r="AA61" s="489"/>
      <c r="AB61" s="489"/>
      <c r="AC61" s="489"/>
      <c r="AD61" s="223" t="str">
        <f>FHD_NOTE_P_7</f>
        <v/>
      </c>
      <c r="AE61" s="1424" t="str">
        <f t="shared" si="10"/>
        <v/>
      </c>
      <c r="AZ61" s="1419">
        <v>0</v>
      </c>
    </row>
    <row r="62" spans="1:52" ht="23.25" customHeight="1">
      <c r="D62" s="1426"/>
      <c r="E62" s="478" t="str">
        <f>FHD_NUM_P_8</f>
        <v>2.3</v>
      </c>
      <c r="F62" s="1312" t="str">
        <f>FHD_P_8</f>
        <v>Расходы на приобретаемую электрическую энергию (мощность), используемую в технологическом процессе</v>
      </c>
      <c r="G62" s="1631" t="s">
        <v>636</v>
      </c>
      <c r="H62" s="489"/>
      <c r="I62" s="489">
        <v>11872.07</v>
      </c>
      <c r="J62" s="489">
        <v>117146.81</v>
      </c>
      <c r="K62" s="489">
        <v>73.650000000000006</v>
      </c>
      <c r="L62" s="489">
        <v>32765.9</v>
      </c>
      <c r="M62" s="489">
        <f>38631.93</f>
        <v>38631.93</v>
      </c>
      <c r="N62" s="489">
        <v>318.79000000000002</v>
      </c>
      <c r="O62" s="489">
        <v>713.62</v>
      </c>
      <c r="P62" s="489">
        <v>289.01</v>
      </c>
      <c r="Q62" s="489">
        <v>36303.040000000001</v>
      </c>
      <c r="R62" s="489">
        <f>20359.62</f>
        <v>20359.62</v>
      </c>
      <c r="S62" s="489">
        <v>4107.58</v>
      </c>
      <c r="T62" s="489">
        <v>1573.5</v>
      </c>
      <c r="U62" s="489">
        <v>18786.009999999998</v>
      </c>
      <c r="V62" s="489">
        <v>925.32</v>
      </c>
      <c r="W62" s="489">
        <v>705.4</v>
      </c>
      <c r="X62" s="489">
        <v>59258.38</v>
      </c>
      <c r="Y62" s="489">
        <v>1016.3</v>
      </c>
      <c r="Z62" s="489">
        <v>1002.17</v>
      </c>
      <c r="AA62" s="489">
        <v>1121.32</v>
      </c>
      <c r="AB62" s="489">
        <v>1629.14</v>
      </c>
      <c r="AC62" s="489">
        <v>0</v>
      </c>
      <c r="AD62" s="223" t="str">
        <f>FHD_NOTE_P_8</f>
        <v/>
      </c>
      <c r="AE62" s="1424" t="str">
        <f t="shared" si="10"/>
        <v>p</v>
      </c>
      <c r="AZ62" s="1419">
        <v>11</v>
      </c>
    </row>
    <row r="63" spans="1:52" ht="18" customHeight="1">
      <c r="D63" s="1426"/>
      <c r="E63" s="478" t="str">
        <f>FHD_NUM_P_9</f>
        <v>2.3.1</v>
      </c>
      <c r="F63" s="1438" t="str">
        <f>FHD_P_9</f>
        <v>Средневзвешенная стоимость 1 кВт.ч (с учетом мощности)</v>
      </c>
      <c r="G63" s="1631" t="s">
        <v>660</v>
      </c>
      <c r="H63" s="489"/>
      <c r="I63" s="489">
        <f t="shared" ref="I63:AB63" si="11">I62/I64</f>
        <v>9.3257635266763028</v>
      </c>
      <c r="J63" s="489">
        <f t="shared" si="11"/>
        <v>8.2490352626109456</v>
      </c>
      <c r="K63" s="489">
        <f t="shared" si="11"/>
        <v>9.2746505477899515</v>
      </c>
      <c r="L63" s="489">
        <f t="shared" si="11"/>
        <v>8.3947776258483913</v>
      </c>
      <c r="M63" s="489">
        <f t="shared" si="11"/>
        <v>5.9991493218178613</v>
      </c>
      <c r="N63" s="489">
        <f t="shared" si="11"/>
        <v>9.2596142674567226</v>
      </c>
      <c r="O63" s="489">
        <f t="shared" si="11"/>
        <v>9.2697183830406331</v>
      </c>
      <c r="P63" s="489">
        <f t="shared" si="11"/>
        <v>8.1733597285067869</v>
      </c>
      <c r="Q63" s="489">
        <f t="shared" si="11"/>
        <v>7.7479526735774895</v>
      </c>
      <c r="R63" s="489">
        <f t="shared" si="11"/>
        <v>5.4925175191917965</v>
      </c>
      <c r="S63" s="489">
        <f t="shared" si="11"/>
        <v>9.3101025394609191</v>
      </c>
      <c r="T63" s="489">
        <f t="shared" si="11"/>
        <v>9.0022312489272842</v>
      </c>
      <c r="U63" s="489">
        <f t="shared" si="11"/>
        <v>8.440278970255962</v>
      </c>
      <c r="V63" s="489">
        <f t="shared" si="11"/>
        <v>8.1588530415384479</v>
      </c>
      <c r="W63" s="489">
        <f t="shared" si="11"/>
        <v>9.3049637905789542</v>
      </c>
      <c r="X63" s="489">
        <f t="shared" si="11"/>
        <v>5.212098450312638</v>
      </c>
      <c r="Y63" s="489">
        <f t="shared" si="11"/>
        <v>8.1382126841768105</v>
      </c>
      <c r="Z63" s="489">
        <f t="shared" si="11"/>
        <v>8.2657967882681884</v>
      </c>
      <c r="AA63" s="489">
        <f t="shared" si="11"/>
        <v>10.284697508896796</v>
      </c>
      <c r="AB63" s="489">
        <f t="shared" si="11"/>
        <v>10.186199479791917</v>
      </c>
      <c r="AC63" s="489">
        <v>0</v>
      </c>
      <c r="AD63" s="223" t="str">
        <f>FHD_NOTE_P_9</f>
        <v/>
      </c>
      <c r="AE63" s="1424" t="str">
        <f t="shared" si="10"/>
        <v/>
      </c>
      <c r="AZ63" s="1419">
        <v>11</v>
      </c>
    </row>
    <row r="64" spans="1:52" s="1154" customFormat="1" ht="21.75" customHeight="1">
      <c r="A64" s="839"/>
      <c r="C64" s="1424"/>
      <c r="D64" s="506"/>
      <c r="E64" s="478" t="str">
        <f>FHD_NUM_P_10</f>
        <v>2.3.2</v>
      </c>
      <c r="F64" s="1438" t="str">
        <f>FHD_P_10</f>
        <v>Объём приобретения электрической энергии</v>
      </c>
      <c r="G64" s="1631" t="s">
        <v>661</v>
      </c>
      <c r="H64" s="489"/>
      <c r="I64" s="489">
        <v>1273.04</v>
      </c>
      <c r="J64" s="489">
        <v>14201.273999999999</v>
      </c>
      <c r="K64" s="489">
        <v>7.9409999999999998</v>
      </c>
      <c r="L64" s="489">
        <v>3903.1289999999999</v>
      </c>
      <c r="M64" s="489">
        <v>6439.5680000000002</v>
      </c>
      <c r="N64" s="489">
        <v>34.427999999999997</v>
      </c>
      <c r="O64" s="489">
        <v>76.983999999999995</v>
      </c>
      <c r="P64" s="489">
        <v>35.36</v>
      </c>
      <c r="Q64" s="489">
        <v>4685.5010000000002</v>
      </c>
      <c r="R64" s="489">
        <f>3706.792</f>
        <v>3706.7919999999999</v>
      </c>
      <c r="S64" s="489">
        <v>441.19600000000003</v>
      </c>
      <c r="T64" s="489">
        <v>174.79</v>
      </c>
      <c r="U64" s="489">
        <v>2225.7570000000001</v>
      </c>
      <c r="V64" s="489">
        <v>113.413</v>
      </c>
      <c r="W64" s="489">
        <v>75.808999999999997</v>
      </c>
      <c r="X64" s="489">
        <v>11369.39</v>
      </c>
      <c r="Y64" s="489">
        <v>124.88</v>
      </c>
      <c r="Z64" s="489">
        <v>121.24299999999999</v>
      </c>
      <c r="AA64" s="489">
        <f>109.028</f>
        <v>109.02800000000001</v>
      </c>
      <c r="AB64" s="489">
        <v>159.93600000000001</v>
      </c>
      <c r="AC64" s="489">
        <v>0</v>
      </c>
      <c r="AD64" s="223" t="str">
        <f>FHD_NOTE_P_10</f>
        <v/>
      </c>
      <c r="AE64" s="1424" t="str">
        <f t="shared" si="10"/>
        <v/>
      </c>
      <c r="AF64" s="1424"/>
      <c r="AG64" s="1424"/>
      <c r="AL64" s="1424"/>
      <c r="AO64" s="476"/>
      <c r="AU64" s="1420"/>
      <c r="AV64" s="1420"/>
      <c r="AW64" s="1420"/>
      <c r="AX64" s="1420"/>
      <c r="AY64" s="1420"/>
      <c r="AZ64" s="961">
        <v>11</v>
      </c>
    </row>
    <row r="65" spans="1:52" s="1154" customFormat="1" ht="27" customHeight="1">
      <c r="A65" s="841" t="s">
        <v>662</v>
      </c>
      <c r="C65" s="1424"/>
      <c r="D65" s="507"/>
      <c r="E65" s="478" t="str">
        <f>FHD_NUM_P_11</f>
        <v>2.4</v>
      </c>
      <c r="F65" s="1312" t="str">
        <f>FHD_P_11</f>
        <v>Расходы на приобретение холодной воды, используемой в технологическом процессе</v>
      </c>
      <c r="G65" s="1631" t="s">
        <v>636</v>
      </c>
      <c r="H65" s="489"/>
      <c r="I65" s="489">
        <v>110.37</v>
      </c>
      <c r="J65" s="489">
        <v>3423.02</v>
      </c>
      <c r="K65" s="489">
        <v>0</v>
      </c>
      <c r="L65" s="489">
        <v>670.95</v>
      </c>
      <c r="M65" s="489">
        <v>2842.12</v>
      </c>
      <c r="N65" s="489">
        <v>1.99</v>
      </c>
      <c r="O65" s="489">
        <v>27.83</v>
      </c>
      <c r="P65" s="489">
        <v>5.31</v>
      </c>
      <c r="Q65" s="489">
        <v>2161.12</v>
      </c>
      <c r="R65" s="489">
        <v>6842.77</v>
      </c>
      <c r="S65" s="489">
        <v>318.12</v>
      </c>
      <c r="T65" s="489">
        <v>19.95</v>
      </c>
      <c r="U65" s="489">
        <v>1351.98</v>
      </c>
      <c r="V65" s="489">
        <v>10.39</v>
      </c>
      <c r="W65" s="489">
        <v>31.87</v>
      </c>
      <c r="X65" s="489">
        <v>4057.44</v>
      </c>
      <c r="Y65" s="489">
        <v>32.9</v>
      </c>
      <c r="Z65" s="489">
        <v>624.44000000000005</v>
      </c>
      <c r="AA65" s="489">
        <v>194.06</v>
      </c>
      <c r="AB65" s="489">
        <v>350.9</v>
      </c>
      <c r="AC65" s="489">
        <v>0</v>
      </c>
      <c r="AD65" s="223" t="str">
        <f>FHD_NOTE_P_11</f>
        <v/>
      </c>
      <c r="AE65" s="1424" t="str">
        <f t="shared" si="10"/>
        <v>p</v>
      </c>
      <c r="AF65" s="1424"/>
      <c r="AG65" s="1424"/>
      <c r="AL65" s="1424"/>
      <c r="AO65" s="476"/>
      <c r="AU65" s="1420"/>
      <c r="AV65" s="1420"/>
      <c r="AW65" s="1420"/>
      <c r="AX65" s="1420"/>
      <c r="AY65" s="1420"/>
      <c r="AZ65" s="961">
        <v>0</v>
      </c>
    </row>
    <row r="66" spans="1:52" s="1154" customFormat="1" ht="27.75" customHeight="1">
      <c r="A66" s="841" t="s">
        <v>663</v>
      </c>
      <c r="C66" s="1424"/>
      <c r="D66" s="1426"/>
      <c r="E66" s="478" t="str">
        <f>FHD_NUM_P_12</f>
        <v>2.5</v>
      </c>
      <c r="F66" s="1312" t="str">
        <f>FHD_P_12</f>
        <v>Расходы на  химические реагенты, используемые в технологическом процессе</v>
      </c>
      <c r="G66" s="1631" t="s">
        <v>636</v>
      </c>
      <c r="H66" s="508"/>
      <c r="I66" s="508">
        <v>118.03</v>
      </c>
      <c r="J66" s="508">
        <v>1897.44</v>
      </c>
      <c r="K66" s="508">
        <v>0</v>
      </c>
      <c r="L66" s="508">
        <v>592.9</v>
      </c>
      <c r="M66" s="508">
        <v>466.42</v>
      </c>
      <c r="N66" s="508">
        <v>1.6</v>
      </c>
      <c r="O66" s="508">
        <v>1.2</v>
      </c>
      <c r="P66" s="508">
        <v>2.34</v>
      </c>
      <c r="Q66" s="508">
        <v>853.33</v>
      </c>
      <c r="R66" s="508">
        <v>734.18</v>
      </c>
      <c r="S66" s="508">
        <v>18.38</v>
      </c>
      <c r="T66" s="508">
        <v>12.27</v>
      </c>
      <c r="U66" s="508">
        <v>407.04</v>
      </c>
      <c r="V66" s="508">
        <v>6.14</v>
      </c>
      <c r="W66" s="508">
        <v>12.71</v>
      </c>
      <c r="X66" s="508">
        <v>1780.63</v>
      </c>
      <c r="Y66" s="508">
        <v>7.74</v>
      </c>
      <c r="Z66" s="508">
        <v>23.52</v>
      </c>
      <c r="AA66" s="508">
        <v>19.75</v>
      </c>
      <c r="AB66" s="508">
        <v>20.92</v>
      </c>
      <c r="AC66" s="508">
        <v>0</v>
      </c>
      <c r="AD66" s="223" t="str">
        <f>FHD_NOTE_P_12</f>
        <v/>
      </c>
      <c r="AE66" s="1424" t="str">
        <f t="shared" si="10"/>
        <v>p</v>
      </c>
      <c r="AF66" s="1424"/>
      <c r="AG66" s="1424"/>
      <c r="AL66" s="1424"/>
      <c r="AO66" s="476"/>
      <c r="AU66" s="1420"/>
      <c r="AV66" s="1420"/>
      <c r="AW66" s="1420"/>
      <c r="AX66" s="1420"/>
      <c r="AY66" s="1420"/>
      <c r="AZ66" s="961">
        <v>18</v>
      </c>
    </row>
    <row r="67" spans="1:52" s="1153" customFormat="1" ht="42" customHeight="1">
      <c r="A67" s="840"/>
      <c r="C67" s="641"/>
      <c r="D67" s="594"/>
      <c r="E67" s="478" t="str">
        <f>FHD_NUM_P_13</f>
        <v>2.6</v>
      </c>
      <c r="F67" s="131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67" s="1631" t="s">
        <v>636</v>
      </c>
      <c r="H67" s="489"/>
      <c r="I67" s="489">
        <f t="shared" ref="I67:AC67" si="12">I68+I69</f>
        <v>8974.66</v>
      </c>
      <c r="J67" s="489">
        <f t="shared" si="12"/>
        <v>217372.56</v>
      </c>
      <c r="K67" s="489">
        <f t="shared" si="12"/>
        <v>227.64999999999998</v>
      </c>
      <c r="L67" s="489">
        <f t="shared" si="12"/>
        <v>183940.91999999998</v>
      </c>
      <c r="M67" s="489">
        <f t="shared" si="12"/>
        <v>61250.7</v>
      </c>
      <c r="N67" s="489">
        <f t="shared" si="12"/>
        <v>1347.81</v>
      </c>
      <c r="O67" s="489">
        <f t="shared" si="12"/>
        <v>2644.87</v>
      </c>
      <c r="P67" s="489">
        <f t="shared" si="12"/>
        <v>1504.4</v>
      </c>
      <c r="Q67" s="489">
        <f t="shared" si="12"/>
        <v>100594.31</v>
      </c>
      <c r="R67" s="489">
        <f t="shared" si="12"/>
        <v>43093.52</v>
      </c>
      <c r="S67" s="489">
        <f t="shared" si="12"/>
        <v>3368.8599999999997</v>
      </c>
      <c r="T67" s="489">
        <f t="shared" si="12"/>
        <v>6032.2400000000007</v>
      </c>
      <c r="U67" s="489">
        <f t="shared" si="12"/>
        <v>10667.32</v>
      </c>
      <c r="V67" s="489">
        <f t="shared" si="12"/>
        <v>2525.2399999999998</v>
      </c>
      <c r="W67" s="489">
        <f t="shared" si="12"/>
        <v>4032.2599999999998</v>
      </c>
      <c r="X67" s="489">
        <f t="shared" si="12"/>
        <v>143690.64000000001</v>
      </c>
      <c r="Y67" s="489">
        <f t="shared" si="12"/>
        <v>10325.85</v>
      </c>
      <c r="Z67" s="489">
        <f t="shared" si="12"/>
        <v>3126.59</v>
      </c>
      <c r="AA67" s="489">
        <f t="shared" si="12"/>
        <v>2846.01</v>
      </c>
      <c r="AB67" s="489">
        <f t="shared" si="12"/>
        <v>3206.77</v>
      </c>
      <c r="AC67" s="489">
        <f t="shared" si="12"/>
        <v>603.75</v>
      </c>
      <c r="AD67" s="223" t="str">
        <f>FHD_NOTE_P_13</f>
        <v/>
      </c>
      <c r="AE67" s="1424" t="str">
        <f t="shared" si="10"/>
        <v>p</v>
      </c>
      <c r="AF67" s="641"/>
      <c r="AG67" s="641"/>
      <c r="AL67" s="641"/>
      <c r="AO67" s="642"/>
      <c r="AU67" s="643"/>
      <c r="AV67" s="643"/>
      <c r="AW67" s="643"/>
      <c r="AX67" s="643"/>
      <c r="AY67" s="643"/>
      <c r="AZ67" s="640">
        <v>11</v>
      </c>
    </row>
    <row r="68" spans="1:52" s="1153" customFormat="1" ht="42" customHeight="1">
      <c r="A68" s="840"/>
      <c r="C68" s="641"/>
      <c r="D68" s="594"/>
      <c r="E68" s="478" t="str">
        <f>FHD_NUM_P_14</f>
        <v>2.6.1</v>
      </c>
      <c r="F68" s="1438" t="str">
        <f>FHD_P_14</f>
        <v>Расходы на оплату труда основного производственного персонала</v>
      </c>
      <c r="G68" s="1631" t="s">
        <v>636</v>
      </c>
      <c r="H68" s="489"/>
      <c r="I68" s="489">
        <f>4237.77+2648.1</f>
        <v>6885.8700000000008</v>
      </c>
      <c r="J68" s="489">
        <f>64178.74+102649.06</f>
        <v>166827.79999999999</v>
      </c>
      <c r="K68" s="489">
        <v>174.85</v>
      </c>
      <c r="L68" s="489">
        <f>28382.86+112772.06</f>
        <v>141154.91999999998</v>
      </c>
      <c r="M68" s="489">
        <f>11868.65+35152.27</f>
        <v>47020.92</v>
      </c>
      <c r="N68" s="489">
        <f>86.93+948.26</f>
        <v>1035.19</v>
      </c>
      <c r="O68" s="489">
        <f>173.32+1858.3</f>
        <v>2031.62</v>
      </c>
      <c r="P68" s="489">
        <f>93.01+1062.44</f>
        <v>1155.45</v>
      </c>
      <c r="Q68" s="489">
        <f>18025.76+59206.67</f>
        <v>77232.429999999993</v>
      </c>
      <c r="R68" s="489">
        <f>8144.12+24956.73</f>
        <v>33100.85</v>
      </c>
      <c r="S68" s="489">
        <f>631.73+1955.93</f>
        <v>2587.66</v>
      </c>
      <c r="T68" s="489">
        <f>1106.25+3527.03</f>
        <v>4633.2800000000007</v>
      </c>
      <c r="U68" s="489">
        <f>1606.49+6590.03</f>
        <v>8196.52</v>
      </c>
      <c r="V68" s="489">
        <f>275.22+1664.29</f>
        <v>1939.51</v>
      </c>
      <c r="W68" s="489">
        <f>442.48+2654.49</f>
        <v>3096.97</v>
      </c>
      <c r="X68" s="489">
        <f>25083.04+85257.21</f>
        <v>110340.25</v>
      </c>
      <c r="Y68" s="489">
        <f>1478.52+6452.35</f>
        <v>7930.8700000000008</v>
      </c>
      <c r="Z68" s="489">
        <f>394.09+2007.34</f>
        <v>2401.4299999999998</v>
      </c>
      <c r="AA68" s="489">
        <f>358.73+1827.2</f>
        <v>2185.9300000000003</v>
      </c>
      <c r="AB68" s="489">
        <f>404.2+2058.82</f>
        <v>2463.02</v>
      </c>
      <c r="AC68" s="489">
        <f>92.92+371.07</f>
        <v>463.99</v>
      </c>
      <c r="AD68" s="223" t="str">
        <f>FHD_NOTE_P_14</f>
        <v/>
      </c>
      <c r="AE68" s="1424" t="str">
        <f t="shared" si="10"/>
        <v/>
      </c>
      <c r="AF68" s="641"/>
      <c r="AG68" s="641"/>
      <c r="AL68" s="641"/>
      <c r="AO68" s="642"/>
      <c r="AU68" s="643"/>
      <c r="AV68" s="643"/>
      <c r="AW68" s="643"/>
      <c r="AX68" s="643"/>
      <c r="AY68" s="643"/>
      <c r="AZ68" s="640">
        <v>11</v>
      </c>
    </row>
    <row r="69" spans="1:52" s="1153" customFormat="1" ht="39" customHeight="1">
      <c r="A69" s="840"/>
      <c r="C69" s="641"/>
      <c r="D69" s="594"/>
      <c r="E69" s="478" t="str">
        <f>FHD_NUM_P_15</f>
        <v>2.6.2</v>
      </c>
      <c r="F69" s="1438" t="str">
        <f>FHD_P_15</f>
        <v>Страховые взносы на обязательное социальное страхование, выплачиваемые из фонда оплаты труда основного производственного персонала</v>
      </c>
      <c r="G69" s="1631" t="s">
        <v>636</v>
      </c>
      <c r="H69" s="489"/>
      <c r="I69" s="489">
        <f>1289.17+799.62</f>
        <v>2088.79</v>
      </c>
      <c r="J69" s="489">
        <f>19379.67+31165.09</f>
        <v>50544.759999999995</v>
      </c>
      <c r="K69" s="489">
        <v>52.8</v>
      </c>
      <c r="L69" s="489">
        <f>8573.67+34212.33</f>
        <v>42786</v>
      </c>
      <c r="M69" s="489">
        <f>3585.3+10644.48</f>
        <v>14229.779999999999</v>
      </c>
      <c r="N69" s="489">
        <f>26.25+286.37</f>
        <v>312.62</v>
      </c>
      <c r="O69" s="489">
        <f>52.04+561.21</f>
        <v>613.25</v>
      </c>
      <c r="P69" s="489">
        <f>28.09+320.86</f>
        <v>348.95</v>
      </c>
      <c r="Q69" s="489">
        <f>5435.76+17926.12</f>
        <v>23361.879999999997</v>
      </c>
      <c r="R69" s="489">
        <f>2457.28+7535.39</f>
        <v>9992.67</v>
      </c>
      <c r="S69" s="489">
        <f>190.51+590.69</f>
        <v>781.2</v>
      </c>
      <c r="T69" s="489">
        <f>333.8+1065.16</f>
        <v>1398.96</v>
      </c>
      <c r="U69" s="489">
        <f>485.01+1985.79</f>
        <v>2470.8000000000002</v>
      </c>
      <c r="V69" s="489">
        <f>83.12+502.61</f>
        <v>585.73</v>
      </c>
      <c r="W69" s="489">
        <f>133.63+801.66</f>
        <v>935.29</v>
      </c>
      <c r="X69" s="489">
        <f>7545.98+25804.41</f>
        <v>33350.39</v>
      </c>
      <c r="Y69" s="489">
        <f>444.55+1950.43</f>
        <v>2394.98</v>
      </c>
      <c r="Z69" s="489">
        <f>118.7+606.46</f>
        <v>725.16000000000008</v>
      </c>
      <c r="AA69" s="489">
        <f>108.05+552.03</f>
        <v>660.07999999999993</v>
      </c>
      <c r="AB69" s="489">
        <f>121.74+622.01</f>
        <v>743.75</v>
      </c>
      <c r="AC69" s="489">
        <f>27.99+111.77</f>
        <v>139.76</v>
      </c>
      <c r="AD69" s="223" t="str">
        <f>FHD_NOTE_P_15</f>
        <v/>
      </c>
      <c r="AE69" s="1424" t="str">
        <f t="shared" si="10"/>
        <v/>
      </c>
      <c r="AF69" s="641"/>
      <c r="AG69" s="641"/>
      <c r="AL69" s="641"/>
      <c r="AO69" s="642"/>
      <c r="AU69" s="643"/>
      <c r="AV69" s="643"/>
      <c r="AW69" s="643"/>
      <c r="AX69" s="643"/>
      <c r="AY69" s="643"/>
      <c r="AZ69" s="640">
        <v>11</v>
      </c>
    </row>
    <row r="70" spans="1:52" s="1154" customFormat="1" ht="54" customHeight="1">
      <c r="A70" s="839"/>
      <c r="C70" s="1424"/>
      <c r="D70" s="1426"/>
      <c r="E70" s="478" t="str">
        <f>FHD_NUM_P_16</f>
        <v>2.7</v>
      </c>
      <c r="F70" s="131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70" s="1631" t="s">
        <v>636</v>
      </c>
      <c r="H70" s="489"/>
      <c r="I70" s="489">
        <f t="shared" ref="I70:AC70" si="13">I71+I72</f>
        <v>2300.64</v>
      </c>
      <c r="J70" s="489">
        <f t="shared" si="13"/>
        <v>55625.84</v>
      </c>
      <c r="K70" s="489">
        <f t="shared" si="13"/>
        <v>93.53</v>
      </c>
      <c r="L70" s="489">
        <f t="shared" si="13"/>
        <v>46869.909999999996</v>
      </c>
      <c r="M70" s="489">
        <f t="shared" si="13"/>
        <v>14999.28</v>
      </c>
      <c r="N70" s="489">
        <f t="shared" si="13"/>
        <v>372.94000000000005</v>
      </c>
      <c r="O70" s="489">
        <f t="shared" si="13"/>
        <v>722.51</v>
      </c>
      <c r="P70" s="489">
        <f t="shared" si="13"/>
        <v>377.82</v>
      </c>
      <c r="Q70" s="489">
        <f t="shared" si="13"/>
        <v>31066.45</v>
      </c>
      <c r="R70" s="489">
        <f t="shared" si="13"/>
        <v>13245.91</v>
      </c>
      <c r="S70" s="489">
        <f t="shared" si="13"/>
        <v>1024.02</v>
      </c>
      <c r="T70" s="489">
        <f t="shared" si="13"/>
        <v>1802.22</v>
      </c>
      <c r="U70" s="489">
        <f t="shared" si="13"/>
        <v>3491.68</v>
      </c>
      <c r="V70" s="489">
        <f t="shared" si="13"/>
        <v>843.09</v>
      </c>
      <c r="W70" s="489">
        <f t="shared" si="13"/>
        <v>1342.18</v>
      </c>
      <c r="X70" s="489">
        <f t="shared" si="13"/>
        <v>42135.74</v>
      </c>
      <c r="Y70" s="489">
        <f t="shared" si="13"/>
        <v>1919.02</v>
      </c>
      <c r="Z70" s="489">
        <f t="shared" si="13"/>
        <v>630.27</v>
      </c>
      <c r="AA70" s="489">
        <f t="shared" si="13"/>
        <v>573.71</v>
      </c>
      <c r="AB70" s="489">
        <f t="shared" si="13"/>
        <v>646.43999999999994</v>
      </c>
      <c r="AC70" s="489">
        <f t="shared" si="13"/>
        <v>87.19</v>
      </c>
      <c r="AD70" s="223" t="str">
        <f>FHD_NOTE_P_16</f>
        <v/>
      </c>
      <c r="AE70" s="1424" t="str">
        <f t="shared" si="10"/>
        <v>p</v>
      </c>
      <c r="AF70" s="1424"/>
      <c r="AG70" s="1430"/>
      <c r="AH70" s="469"/>
      <c r="AI70" s="469"/>
      <c r="AL70" s="1424"/>
      <c r="AO70" s="476"/>
      <c r="AU70" s="1420"/>
      <c r="AV70" s="1420"/>
      <c r="AW70" s="1420"/>
      <c r="AX70" s="1420"/>
      <c r="AY70" s="1420"/>
      <c r="AZ70" s="961">
        <v>11</v>
      </c>
    </row>
    <row r="71" spans="1:52" s="1154" customFormat="1" ht="24.75" customHeight="1">
      <c r="A71" s="839"/>
      <c r="C71" s="1424"/>
      <c r="D71" s="1426"/>
      <c r="E71" s="478" t="str">
        <f>FHD_NUM_P_17</f>
        <v>2.7.1</v>
      </c>
      <c r="F71" s="1438" t="str">
        <f>FHD_P_17</f>
        <v>Расходы на оплату труда административно-управленческого персонала</v>
      </c>
      <c r="G71" s="1631" t="s">
        <v>636</v>
      </c>
      <c r="H71" s="489"/>
      <c r="I71" s="489">
        <f>1774.56</f>
        <v>1774.56</v>
      </c>
      <c r="J71" s="489">
        <f>42919.17</f>
        <v>42919.17</v>
      </c>
      <c r="K71" s="489">
        <f>72.23</f>
        <v>72.23</v>
      </c>
      <c r="L71" s="489">
        <f>36046.92</f>
        <v>36046.92</v>
      </c>
      <c r="M71" s="489">
        <f>11533.84</f>
        <v>11533.84</v>
      </c>
      <c r="N71" s="489">
        <f>286.91</f>
        <v>286.91000000000003</v>
      </c>
      <c r="O71" s="489">
        <f>555.94</f>
        <v>555.94000000000005</v>
      </c>
      <c r="P71" s="489">
        <v>290.83999999999997</v>
      </c>
      <c r="Q71" s="489">
        <f>23997.27</f>
        <v>23997.27</v>
      </c>
      <c r="R71" s="489">
        <f>10230.49</f>
        <v>10230.49</v>
      </c>
      <c r="S71" s="489">
        <f>791.71</f>
        <v>791.71</v>
      </c>
      <c r="T71" s="489">
        <f>1392.97</f>
        <v>1392.97</v>
      </c>
      <c r="U71" s="489">
        <f>2698.64</f>
        <v>2698.64</v>
      </c>
      <c r="V71" s="489">
        <f>651.46</f>
        <v>651.46</v>
      </c>
      <c r="W71" s="489">
        <f>1036.02</f>
        <v>1036.02</v>
      </c>
      <c r="X71" s="489">
        <f>32528.16</f>
        <v>32528.16</v>
      </c>
      <c r="Y71" s="489">
        <f>1474.94</f>
        <v>1474.94</v>
      </c>
      <c r="Z71" s="489">
        <f>484.41</f>
        <v>484.41</v>
      </c>
      <c r="AA71" s="489">
        <f>440.94</f>
        <v>440.94</v>
      </c>
      <c r="AB71" s="489">
        <f>496.84</f>
        <v>496.84</v>
      </c>
      <c r="AC71" s="489">
        <f>67.01</f>
        <v>67.010000000000005</v>
      </c>
      <c r="AD71" s="223" t="str">
        <f>FHD_NOTE_P_17</f>
        <v/>
      </c>
      <c r="AE71" s="1424" t="str">
        <f t="shared" si="10"/>
        <v/>
      </c>
      <c r="AF71" s="1424"/>
      <c r="AG71" s="1430"/>
      <c r="AH71" s="469"/>
      <c r="AI71" s="469"/>
      <c r="AL71" s="1424"/>
      <c r="AO71" s="476"/>
      <c r="AU71" s="1420"/>
      <c r="AV71" s="1420"/>
      <c r="AW71" s="1420"/>
      <c r="AX71" s="1420"/>
      <c r="AY71" s="1420"/>
      <c r="AZ71" s="961">
        <v>11</v>
      </c>
    </row>
    <row r="72" spans="1:52" s="1154" customFormat="1" ht="36" customHeight="1">
      <c r="A72" s="839"/>
      <c r="C72" s="1424"/>
      <c r="D72" s="1426"/>
      <c r="E72" s="478" t="str">
        <f>FHD_NUM_P_18</f>
        <v>2.7.2</v>
      </c>
      <c r="F72" s="1438" t="str">
        <f>FHD_P_18</f>
        <v>Страховые взносы на обязательное социальное страхование, выплачиваемые из фонда оплаты труда административно-управленческого персонала</v>
      </c>
      <c r="G72" s="1631" t="s">
        <v>636</v>
      </c>
      <c r="H72" s="489"/>
      <c r="I72" s="489">
        <f>526.08</f>
        <v>526.08000000000004</v>
      </c>
      <c r="J72" s="489">
        <f>12706.67</f>
        <v>12706.67</v>
      </c>
      <c r="K72" s="489">
        <f>21.3</f>
        <v>21.3</v>
      </c>
      <c r="L72" s="489">
        <f>10822.99</f>
        <v>10822.99</v>
      </c>
      <c r="M72" s="489">
        <f>3465.44</f>
        <v>3465.44</v>
      </c>
      <c r="N72" s="489">
        <f>86.03</f>
        <v>86.03</v>
      </c>
      <c r="O72" s="489">
        <f>166.57</f>
        <v>166.57</v>
      </c>
      <c r="P72" s="489">
        <f>86.98</f>
        <v>86.98</v>
      </c>
      <c r="Q72" s="489">
        <f>7069.18</f>
        <v>7069.18</v>
      </c>
      <c r="R72" s="489">
        <f>3015.42</f>
        <v>3015.42</v>
      </c>
      <c r="S72" s="489">
        <f>232.31</f>
        <v>232.31</v>
      </c>
      <c r="T72" s="489">
        <f>409.25</f>
        <v>409.25</v>
      </c>
      <c r="U72" s="489">
        <f>793.04</f>
        <v>793.04</v>
      </c>
      <c r="V72" s="489">
        <f>191.63</f>
        <v>191.63</v>
      </c>
      <c r="W72" s="489">
        <f>306.16</f>
        <v>306.16000000000003</v>
      </c>
      <c r="X72" s="489">
        <f>9607.58</f>
        <v>9607.58</v>
      </c>
      <c r="Y72" s="489">
        <f>444.08</f>
        <v>444.08</v>
      </c>
      <c r="Z72" s="489">
        <f>145.86</f>
        <v>145.86000000000001</v>
      </c>
      <c r="AA72" s="489">
        <f>132.77</f>
        <v>132.77000000000001</v>
      </c>
      <c r="AB72" s="489">
        <f>149.6</f>
        <v>149.6</v>
      </c>
      <c r="AC72" s="489">
        <f>20.18</f>
        <v>20.18</v>
      </c>
      <c r="AD72" s="223" t="str">
        <f>FHD_NOTE_P_18</f>
        <v/>
      </c>
      <c r="AE72" s="1424" t="str">
        <f t="shared" si="10"/>
        <v/>
      </c>
      <c r="AF72" s="1424"/>
      <c r="AG72" s="1430"/>
      <c r="AH72" s="469"/>
      <c r="AI72" s="469"/>
      <c r="AL72" s="1424"/>
      <c r="AO72" s="476"/>
      <c r="AU72" s="1420"/>
      <c r="AV72" s="1420"/>
      <c r="AW72" s="1420"/>
      <c r="AX72" s="1420"/>
      <c r="AY72" s="1420"/>
      <c r="AZ72" s="961">
        <v>11</v>
      </c>
    </row>
    <row r="73" spans="1:52" s="1154" customFormat="1" ht="35.25" customHeight="1">
      <c r="A73" s="839"/>
      <c r="C73" s="1424"/>
      <c r="D73" s="507"/>
      <c r="E73" s="478" t="str">
        <f>FHD_NUM_P_19</f>
        <v>2.8</v>
      </c>
      <c r="F73" s="1312" t="str">
        <f>FHD_P_19</f>
        <v>Расходы на амортизацию основных средств и нематериальных активов</v>
      </c>
      <c r="G73" s="1631" t="s">
        <v>636</v>
      </c>
      <c r="H73" s="489"/>
      <c r="I73" s="489">
        <f t="shared" ref="I73:AC73" si="14">I74+I75</f>
        <v>6558.49</v>
      </c>
      <c r="J73" s="489">
        <f t="shared" si="14"/>
        <v>48531.64</v>
      </c>
      <c r="K73" s="489">
        <f t="shared" si="14"/>
        <v>4.79</v>
      </c>
      <c r="L73" s="489">
        <f t="shared" si="14"/>
        <v>27117.1</v>
      </c>
      <c r="M73" s="489">
        <f t="shared" si="14"/>
        <v>7320.33</v>
      </c>
      <c r="N73" s="489">
        <f t="shared" si="14"/>
        <v>12.5</v>
      </c>
      <c r="O73" s="489">
        <f t="shared" si="14"/>
        <v>24.57</v>
      </c>
      <c r="P73" s="489">
        <f t="shared" si="14"/>
        <v>13.07</v>
      </c>
      <c r="Q73" s="489">
        <f t="shared" si="14"/>
        <v>8680.1299999999992</v>
      </c>
      <c r="R73" s="489">
        <f t="shared" si="14"/>
        <v>5787.39</v>
      </c>
      <c r="S73" s="489">
        <f t="shared" si="14"/>
        <v>4714.8900000000003</v>
      </c>
      <c r="T73" s="489">
        <f t="shared" si="14"/>
        <v>108.9</v>
      </c>
      <c r="U73" s="489">
        <f t="shared" si="14"/>
        <v>14552.99</v>
      </c>
      <c r="V73" s="489">
        <f t="shared" si="14"/>
        <v>96.06</v>
      </c>
      <c r="W73" s="489">
        <f t="shared" si="14"/>
        <v>74.989999999999995</v>
      </c>
      <c r="X73" s="489">
        <f t="shared" si="14"/>
        <v>18193.310000000001</v>
      </c>
      <c r="Y73" s="489">
        <f t="shared" si="14"/>
        <v>2043.88</v>
      </c>
      <c r="Z73" s="489">
        <f t="shared" si="14"/>
        <v>173.07</v>
      </c>
      <c r="AA73" s="489">
        <f t="shared" si="14"/>
        <v>157.54</v>
      </c>
      <c r="AB73" s="489">
        <f t="shared" si="14"/>
        <v>177.51</v>
      </c>
      <c r="AC73" s="489">
        <f t="shared" si="14"/>
        <v>16.649999999999999</v>
      </c>
      <c r="AD73" s="223" t="str">
        <f>FHD_NOTE_P_19</f>
        <v/>
      </c>
      <c r="AE73" s="1424" t="str">
        <f t="shared" si="10"/>
        <v>p</v>
      </c>
      <c r="AF73" s="1424"/>
      <c r="AG73" s="1424"/>
      <c r="AL73" s="1424"/>
      <c r="AO73" s="476"/>
      <c r="AU73" s="1420"/>
      <c r="AV73" s="1420"/>
      <c r="AW73" s="1420"/>
      <c r="AX73" s="1420"/>
      <c r="AY73" s="1420"/>
      <c r="AZ73" s="961">
        <v>11</v>
      </c>
    </row>
    <row r="74" spans="1:52" s="1154" customFormat="1" ht="24.75" customHeight="1">
      <c r="A74" s="839"/>
      <c r="C74" s="1424"/>
      <c r="D74" s="507"/>
      <c r="E74" s="478" t="str">
        <f>FHD_NUM_P_20</f>
        <v>2.8.1</v>
      </c>
      <c r="F74" s="1438" t="str">
        <f>FHD_P_20</f>
        <v>Расходы на амортизацию основных средств</v>
      </c>
      <c r="G74" s="1631" t="s">
        <v>636</v>
      </c>
      <c r="H74" s="489"/>
      <c r="I74" s="489">
        <v>6558.49</v>
      </c>
      <c r="J74" s="489">
        <v>48531.64</v>
      </c>
      <c r="K74" s="489">
        <f>4.45+0.34</f>
        <v>4.79</v>
      </c>
      <c r="L74" s="489">
        <v>27117.1</v>
      </c>
      <c r="M74" s="489">
        <v>7320.33</v>
      </c>
      <c r="N74" s="489">
        <v>12.5</v>
      </c>
      <c r="O74" s="489">
        <v>24.57</v>
      </c>
      <c r="P74" s="489">
        <v>13.07</v>
      </c>
      <c r="Q74" s="489">
        <v>8680.1299999999992</v>
      </c>
      <c r="R74" s="489">
        <v>5787.39</v>
      </c>
      <c r="S74" s="489">
        <v>4714.8900000000003</v>
      </c>
      <c r="T74" s="489">
        <v>108.9</v>
      </c>
      <c r="U74" s="489">
        <v>14552.99</v>
      </c>
      <c r="V74" s="489">
        <v>96.06</v>
      </c>
      <c r="W74" s="489">
        <v>74.989999999999995</v>
      </c>
      <c r="X74" s="489">
        <v>18193.310000000001</v>
      </c>
      <c r="Y74" s="489">
        <v>2043.88</v>
      </c>
      <c r="Z74" s="489">
        <v>173.07</v>
      </c>
      <c r="AA74" s="489">
        <v>157.54</v>
      </c>
      <c r="AB74" s="489">
        <v>177.51</v>
      </c>
      <c r="AC74" s="489">
        <v>16.649999999999999</v>
      </c>
      <c r="AD74" s="223" t="str">
        <f>FHD_NOTE_P_20</f>
        <v/>
      </c>
      <c r="AE74" s="1424" t="str">
        <f t="shared" si="10"/>
        <v/>
      </c>
      <c r="AF74" s="1424"/>
      <c r="AG74" s="1424"/>
      <c r="AL74" s="1424"/>
      <c r="AO74" s="476"/>
      <c r="AU74" s="1420"/>
      <c r="AV74" s="1420"/>
      <c r="AW74" s="1420"/>
      <c r="AX74" s="1420"/>
      <c r="AY74" s="1420"/>
      <c r="AZ74" s="961">
        <v>11</v>
      </c>
    </row>
    <row r="75" spans="1:52" s="1154" customFormat="1" ht="11.45" customHeight="1">
      <c r="A75" s="839"/>
      <c r="C75" s="1424"/>
      <c r="D75" s="507"/>
      <c r="E75" s="478" t="str">
        <f>FHD_NUM_P_21</f>
        <v>2.8.2</v>
      </c>
      <c r="F75" s="1438" t="str">
        <f>FHD_P_21</f>
        <v>Расходы на амортизацию нематериальных активов</v>
      </c>
      <c r="G75" s="1631" t="s">
        <v>636</v>
      </c>
      <c r="H75" s="489"/>
      <c r="I75" s="489">
        <v>0</v>
      </c>
      <c r="J75" s="489">
        <v>0</v>
      </c>
      <c r="K75" s="489">
        <v>0</v>
      </c>
      <c r="L75" s="489">
        <v>0</v>
      </c>
      <c r="M75" s="489">
        <v>0</v>
      </c>
      <c r="N75" s="489">
        <v>0</v>
      </c>
      <c r="O75" s="489">
        <v>0</v>
      </c>
      <c r="P75" s="489">
        <v>0</v>
      </c>
      <c r="Q75" s="489">
        <v>0</v>
      </c>
      <c r="R75" s="489">
        <v>0</v>
      </c>
      <c r="S75" s="489">
        <v>0</v>
      </c>
      <c r="T75" s="489">
        <v>0</v>
      </c>
      <c r="U75" s="489">
        <v>0</v>
      </c>
      <c r="V75" s="489">
        <v>0</v>
      </c>
      <c r="W75" s="489">
        <v>0</v>
      </c>
      <c r="X75" s="489">
        <v>0</v>
      </c>
      <c r="Y75" s="489">
        <v>0</v>
      </c>
      <c r="Z75" s="489">
        <v>0</v>
      </c>
      <c r="AA75" s="489">
        <v>0</v>
      </c>
      <c r="AB75" s="489">
        <v>0</v>
      </c>
      <c r="AC75" s="489">
        <v>0</v>
      </c>
      <c r="AD75" s="223" t="str">
        <f>FHD_NOTE_P_21</f>
        <v/>
      </c>
      <c r="AE75" s="1424" t="str">
        <f t="shared" si="10"/>
        <v/>
      </c>
      <c r="AF75" s="1424"/>
      <c r="AG75" s="1424"/>
      <c r="AL75" s="1424"/>
      <c r="AO75" s="476"/>
      <c r="AU75" s="1420"/>
      <c r="AV75" s="1420"/>
      <c r="AW75" s="1420"/>
      <c r="AX75" s="1420"/>
      <c r="AY75" s="1420"/>
      <c r="AZ75" s="961">
        <v>11</v>
      </c>
    </row>
    <row r="76" spans="1:52" s="1154" customFormat="1" ht="32.25" customHeight="1">
      <c r="A76" s="839"/>
      <c r="C76" s="1424"/>
      <c r="D76" s="1426"/>
      <c r="E76" s="478" t="str">
        <f>FHD_NUM_P_22</f>
        <v>2.9</v>
      </c>
      <c r="F76" s="1312" t="str">
        <f>FHD_P_22</f>
        <v>Расходы на аренду имущества, используемого для осуществления регулируемого вида деятельности</v>
      </c>
      <c r="G76" s="1631" t="s">
        <v>636</v>
      </c>
      <c r="H76" s="489"/>
      <c r="I76" s="489">
        <f>225.25+57.78</f>
        <v>283.02999999999997</v>
      </c>
      <c r="J76" s="489">
        <f>11738.52+371.6</f>
        <v>12110.12</v>
      </c>
      <c r="K76" s="489">
        <f>19.84+0.64+0.07</f>
        <v>20.55</v>
      </c>
      <c r="L76" s="489">
        <f>4084.8+171.96</f>
        <v>4256.76</v>
      </c>
      <c r="M76" s="489">
        <f>6775.82+256.27</f>
        <v>7032.09</v>
      </c>
      <c r="N76" s="489">
        <f>24.24+0.38</f>
        <v>24.619999999999997</v>
      </c>
      <c r="O76" s="489">
        <f>12.6+0.75</f>
        <v>13.35</v>
      </c>
      <c r="P76" s="489">
        <f>205.5+0.56</f>
        <v>206.06</v>
      </c>
      <c r="Q76" s="489">
        <f>2202.91+76.63</f>
        <v>2279.54</v>
      </c>
      <c r="R76" s="489">
        <f>245.45+430.88</f>
        <v>676.32999999999993</v>
      </c>
      <c r="S76" s="489">
        <v>6.54</v>
      </c>
      <c r="T76" s="489">
        <f>283.32+34.86</f>
        <v>318.18</v>
      </c>
      <c r="U76" s="489">
        <f>474.94+35.64</f>
        <v>510.58</v>
      </c>
      <c r="V76" s="489">
        <v>7.44</v>
      </c>
      <c r="W76" s="489">
        <v>202.58</v>
      </c>
      <c r="X76" s="489">
        <f>6169.09+64.45</f>
        <v>6233.54</v>
      </c>
      <c r="Y76" s="489">
        <f>71.81</f>
        <v>71.81</v>
      </c>
      <c r="Z76" s="489">
        <f>4212.55</f>
        <v>4212.55</v>
      </c>
      <c r="AA76" s="489">
        <f>4053.31</f>
        <v>4053.31</v>
      </c>
      <c r="AB76" s="489">
        <f>4091.19+0</f>
        <v>4091.19</v>
      </c>
      <c r="AC76" s="489">
        <f>13.88</f>
        <v>13.88</v>
      </c>
      <c r="AD76" s="223" t="str">
        <f>FHD_NOTE_P_22</f>
        <v/>
      </c>
      <c r="AE76" s="1424" t="str">
        <f t="shared" si="10"/>
        <v>p</v>
      </c>
      <c r="AF76" s="1424"/>
      <c r="AG76" s="1424"/>
      <c r="AL76" s="1424"/>
      <c r="AO76" s="476"/>
      <c r="AU76" s="1420"/>
      <c r="AV76" s="1420"/>
      <c r="AW76" s="1420"/>
      <c r="AX76" s="1420"/>
      <c r="AY76" s="1420"/>
      <c r="AZ76" s="961">
        <v>11</v>
      </c>
    </row>
    <row r="77" spans="1:52" s="1154" customFormat="1" ht="19.5" customHeight="1">
      <c r="A77" s="839"/>
      <c r="C77" s="1424"/>
      <c r="D77" s="507"/>
      <c r="E77" s="478" t="str">
        <f>FHD_NUM_P_23</f>
        <v>2.10</v>
      </c>
      <c r="F77" s="1312" t="str">
        <f>FHD_P_23</f>
        <v>Общепроизводственные расходы, в том числе:</v>
      </c>
      <c r="G77" s="1631" t="s">
        <v>636</v>
      </c>
      <c r="H77" s="489"/>
      <c r="I77" s="489">
        <f>592.1</f>
        <v>592.1</v>
      </c>
      <c r="J77" s="489">
        <v>14842.04</v>
      </c>
      <c r="K77" s="489">
        <v>32.4</v>
      </c>
      <c r="L77" s="489">
        <v>10850.08</v>
      </c>
      <c r="M77" s="489">
        <v>3498.04</v>
      </c>
      <c r="N77" s="489">
        <v>82.05</v>
      </c>
      <c r="O77" s="489">
        <v>163.01</v>
      </c>
      <c r="P77" s="489">
        <v>93.47</v>
      </c>
      <c r="Q77" s="489">
        <v>7279.85</v>
      </c>
      <c r="R77" s="489">
        <v>3048.72</v>
      </c>
      <c r="S77" s="489">
        <v>235.08</v>
      </c>
      <c r="T77" s="489">
        <v>437.45</v>
      </c>
      <c r="U77" s="489">
        <v>1160.25</v>
      </c>
      <c r="V77" s="489">
        <v>184.56</v>
      </c>
      <c r="W77" s="489">
        <v>294.86</v>
      </c>
      <c r="X77" s="489">
        <v>7946.26</v>
      </c>
      <c r="Y77" s="489">
        <v>1322.85</v>
      </c>
      <c r="Z77" s="489">
        <v>418.9</v>
      </c>
      <c r="AA77" s="489">
        <v>381.3</v>
      </c>
      <c r="AB77" s="489">
        <v>429.65</v>
      </c>
      <c r="AC77" s="489">
        <v>80.66</v>
      </c>
      <c r="AD77" s="223" t="str">
        <f>FHD_NOTE_P_23</f>
        <v>Указывается общая сумма общепроизводственных расходов.</v>
      </c>
      <c r="AE77" s="1424" t="str">
        <f t="shared" si="10"/>
        <v>p</v>
      </c>
      <c r="AF77" s="1424"/>
      <c r="AG77" s="1424"/>
      <c r="AL77" s="1424"/>
      <c r="AO77" s="476"/>
      <c r="AU77" s="1420"/>
      <c r="AV77" s="1420"/>
      <c r="AW77" s="1420"/>
      <c r="AX77" s="1420"/>
      <c r="AY77" s="1420"/>
      <c r="AZ77" s="961">
        <v>11</v>
      </c>
    </row>
    <row r="78" spans="1:52" s="1154" customFormat="1" ht="11.45" customHeight="1">
      <c r="A78" s="839"/>
      <c r="C78" s="1424"/>
      <c r="D78" s="507"/>
      <c r="E78" s="478" t="str">
        <f>FHD_NUM_P_24</f>
        <v>2.10.1</v>
      </c>
      <c r="F78" s="1438" t="str">
        <f>FHD_P_24</f>
        <v>Расходы на текущий ремонт</v>
      </c>
      <c r="G78" s="1631" t="s">
        <v>636</v>
      </c>
      <c r="H78" s="489"/>
      <c r="I78" s="489">
        <v>28.21</v>
      </c>
      <c r="J78" s="489">
        <v>679.29</v>
      </c>
      <c r="K78" s="489">
        <v>1.08</v>
      </c>
      <c r="L78" s="489">
        <v>1804.92</v>
      </c>
      <c r="M78" s="489">
        <v>639.22</v>
      </c>
      <c r="N78" s="489">
        <v>10.78</v>
      </c>
      <c r="O78" s="489">
        <v>23.41</v>
      </c>
      <c r="P78" s="489">
        <v>7.62</v>
      </c>
      <c r="Q78" s="489">
        <v>492.67</v>
      </c>
      <c r="R78" s="489">
        <v>216</v>
      </c>
      <c r="S78" s="489">
        <v>16.11</v>
      </c>
      <c r="T78" s="489">
        <v>16.11</v>
      </c>
      <c r="U78" s="489">
        <v>52.88</v>
      </c>
      <c r="V78" s="489">
        <v>11.67</v>
      </c>
      <c r="W78" s="489">
        <v>19.2</v>
      </c>
      <c r="X78" s="489">
        <v>358.21</v>
      </c>
      <c r="Y78" s="489">
        <v>32.049999999999997</v>
      </c>
      <c r="Z78" s="489">
        <v>13.41</v>
      </c>
      <c r="AA78" s="489">
        <v>12.2</v>
      </c>
      <c r="AB78" s="489">
        <v>13.75</v>
      </c>
      <c r="AC78" s="489">
        <v>0.86</v>
      </c>
      <c r="AD78" s="223" t="str">
        <f>FHD_NOTE_P_24</f>
        <v>Указываются расходы на текущий ремонт, отнесенные к общепроизводственным расходам.</v>
      </c>
      <c r="AE78" s="1424" t="str">
        <f t="shared" si="10"/>
        <v/>
      </c>
      <c r="AF78" s="1424"/>
      <c r="AG78" s="1424"/>
      <c r="AL78" s="1424"/>
      <c r="AO78" s="476"/>
      <c r="AU78" s="1420"/>
      <c r="AV78" s="1420"/>
      <c r="AW78" s="1420"/>
      <c r="AX78" s="1420"/>
      <c r="AY78" s="1420"/>
      <c r="AZ78" s="961">
        <v>11</v>
      </c>
    </row>
    <row r="79" spans="1:52" s="1154" customFormat="1" ht="11.45" customHeight="1">
      <c r="A79" s="839"/>
      <c r="C79" s="1424"/>
      <c r="D79" s="507"/>
      <c r="E79" s="478" t="str">
        <f>FHD_NUM_P_25</f>
        <v>2.10.2</v>
      </c>
      <c r="F79" s="1438" t="str">
        <f>FHD_P_25</f>
        <v>Расходы на капитальный ремонт</v>
      </c>
      <c r="G79" s="1631" t="s">
        <v>636</v>
      </c>
      <c r="H79" s="489"/>
      <c r="I79" s="489">
        <v>0</v>
      </c>
      <c r="J79" s="489">
        <v>0</v>
      </c>
      <c r="K79" s="489">
        <v>0</v>
      </c>
      <c r="L79" s="489">
        <v>0</v>
      </c>
      <c r="M79" s="489">
        <v>0</v>
      </c>
      <c r="N79" s="489">
        <v>0</v>
      </c>
      <c r="O79" s="489">
        <v>0</v>
      </c>
      <c r="P79" s="489">
        <v>0</v>
      </c>
      <c r="Q79" s="489">
        <v>0</v>
      </c>
      <c r="R79" s="489">
        <v>0</v>
      </c>
      <c r="S79" s="489">
        <v>0</v>
      </c>
      <c r="T79" s="489">
        <v>0</v>
      </c>
      <c r="U79" s="489">
        <v>0</v>
      </c>
      <c r="V79" s="489">
        <v>0</v>
      </c>
      <c r="W79" s="489">
        <v>0</v>
      </c>
      <c r="X79" s="489">
        <v>0</v>
      </c>
      <c r="Y79" s="489">
        <v>0</v>
      </c>
      <c r="Z79" s="489">
        <v>0</v>
      </c>
      <c r="AA79" s="489">
        <v>0</v>
      </c>
      <c r="AB79" s="489">
        <v>0</v>
      </c>
      <c r="AC79" s="489">
        <v>0</v>
      </c>
      <c r="AD79" s="223" t="str">
        <f>FHD_NOTE_P_25</f>
        <v>Указываются расходы на капитальный ремонт, отнесенные к общепроизводственным расходам.</v>
      </c>
      <c r="AE79" s="1424" t="str">
        <f t="shared" si="10"/>
        <v/>
      </c>
      <c r="AF79" s="1424"/>
      <c r="AG79" s="1424"/>
      <c r="AL79" s="1424"/>
      <c r="AO79" s="476"/>
      <c r="AU79" s="1420"/>
      <c r="AV79" s="1420"/>
      <c r="AW79" s="1420"/>
      <c r="AX79" s="1420"/>
      <c r="AY79" s="1420"/>
      <c r="AZ79" s="961">
        <v>11</v>
      </c>
    </row>
    <row r="80" spans="1:52" s="1154" customFormat="1" ht="11.45" customHeight="1">
      <c r="A80" s="839"/>
      <c r="C80" s="1424"/>
      <c r="D80" s="1426"/>
      <c r="E80" s="478" t="str">
        <f>FHD_NUM_P_26</f>
        <v>2.11</v>
      </c>
      <c r="F80" s="1312" t="str">
        <f>FHD_P_26</f>
        <v>Общехозяйственные расходы, в том числе:</v>
      </c>
      <c r="G80" s="1631" t="s">
        <v>636</v>
      </c>
      <c r="H80" s="489"/>
      <c r="I80" s="489">
        <f>649.15</f>
        <v>649.15</v>
      </c>
      <c r="J80" s="489">
        <v>16192.08</v>
      </c>
      <c r="K80" s="489">
        <v>21.03</v>
      </c>
      <c r="L80" s="489">
        <v>18763.63</v>
      </c>
      <c r="M80" s="489">
        <v>5722.47</v>
      </c>
      <c r="N80" s="489">
        <v>123.42</v>
      </c>
      <c r="O80" s="489">
        <v>351.14</v>
      </c>
      <c r="P80" s="489">
        <v>199.83</v>
      </c>
      <c r="Q80" s="489">
        <v>6301.79</v>
      </c>
      <c r="R80" s="489">
        <v>2134.3000000000002</v>
      </c>
      <c r="S80" s="489">
        <v>193.03</v>
      </c>
      <c r="T80" s="489">
        <v>366.15</v>
      </c>
      <c r="U80" s="489">
        <v>751.07</v>
      </c>
      <c r="V80" s="489">
        <v>165.71</v>
      </c>
      <c r="W80" s="489">
        <v>276.93</v>
      </c>
      <c r="X80" s="489">
        <v>6410.84</v>
      </c>
      <c r="Y80" s="489">
        <v>378.22</v>
      </c>
      <c r="Z80" s="489">
        <v>116.64</v>
      </c>
      <c r="AA80" s="489">
        <v>121.66</v>
      </c>
      <c r="AB80" s="489">
        <v>119.6</v>
      </c>
      <c r="AC80" s="489">
        <v>22.61</v>
      </c>
      <c r="AD80" s="223" t="str">
        <f>FHD_NOTE_P_26</f>
        <v>Указывается общая сумма общехозяйственных расходов.</v>
      </c>
      <c r="AE80" s="1424" t="str">
        <f t="shared" si="10"/>
        <v>p</v>
      </c>
      <c r="AF80" s="1424"/>
      <c r="AG80" s="1424"/>
      <c r="AL80" s="1424"/>
      <c r="AO80" s="476"/>
      <c r="AU80" s="1420"/>
      <c r="AV80" s="1420"/>
      <c r="AW80" s="1420"/>
      <c r="AX80" s="1420"/>
      <c r="AY80" s="1420"/>
      <c r="AZ80" s="961">
        <v>11</v>
      </c>
    </row>
    <row r="81" spans="1:52" s="1154" customFormat="1" ht="11.45" customHeight="1">
      <c r="A81" s="839"/>
      <c r="C81" s="1424"/>
      <c r="D81" s="1426"/>
      <c r="E81" s="478" t="str">
        <f>FHD_NUM_P_27</f>
        <v>2.11.1</v>
      </c>
      <c r="F81" s="1438" t="str">
        <f>FHD_P_27</f>
        <v>Расходы на текущий ремонт</v>
      </c>
      <c r="G81" s="1631" t="s">
        <v>636</v>
      </c>
      <c r="H81" s="489"/>
      <c r="I81" s="489">
        <v>18.260000000000002</v>
      </c>
      <c r="J81" s="489">
        <v>426.35</v>
      </c>
      <c r="K81" s="489">
        <v>0.79</v>
      </c>
      <c r="L81" s="489">
        <v>7976.99</v>
      </c>
      <c r="M81" s="489">
        <v>2697.64</v>
      </c>
      <c r="N81" s="489">
        <v>54.76</v>
      </c>
      <c r="O81" s="489">
        <v>119.7</v>
      </c>
      <c r="P81" s="489">
        <v>56.54</v>
      </c>
      <c r="Q81" s="489">
        <v>9.44</v>
      </c>
      <c r="R81" s="489">
        <v>4.2</v>
      </c>
      <c r="S81" s="489">
        <v>0.33</v>
      </c>
      <c r="T81" s="489">
        <v>0.33</v>
      </c>
      <c r="U81" s="489">
        <v>1.04</v>
      </c>
      <c r="V81" s="489">
        <v>0.22</v>
      </c>
      <c r="W81" s="489">
        <v>0.41</v>
      </c>
      <c r="X81" s="489">
        <v>1.42</v>
      </c>
      <c r="Y81" s="489">
        <v>0</v>
      </c>
      <c r="Z81" s="489">
        <v>0</v>
      </c>
      <c r="AA81" s="489">
        <v>0</v>
      </c>
      <c r="AB81" s="489">
        <v>0</v>
      </c>
      <c r="AC81" s="489">
        <v>0</v>
      </c>
      <c r="AD81" s="223" t="str">
        <f>FHD_NOTE_P_27</f>
        <v>Указываются расходы на текущий ремонт, отнесенные к общехозяйственным расходам.</v>
      </c>
      <c r="AE81" s="1424" t="str">
        <f t="shared" si="10"/>
        <v/>
      </c>
      <c r="AF81" s="1424"/>
      <c r="AG81" s="1424"/>
      <c r="AL81" s="1424"/>
      <c r="AO81" s="476"/>
      <c r="AU81" s="1420"/>
      <c r="AV81" s="1420"/>
      <c r="AW81" s="1420"/>
      <c r="AX81" s="1420"/>
      <c r="AY81" s="1420"/>
      <c r="AZ81" s="961">
        <v>11</v>
      </c>
    </row>
    <row r="82" spans="1:52" s="1154" customFormat="1" ht="11.45" customHeight="1">
      <c r="A82" s="839"/>
      <c r="C82" s="1424"/>
      <c r="D82" s="1426"/>
      <c r="E82" s="478" t="str">
        <f>FHD_NUM_P_28</f>
        <v>2.11.2</v>
      </c>
      <c r="F82" s="1438" t="str">
        <f>FHD_P_28</f>
        <v>Расходы на капитальный ремонт</v>
      </c>
      <c r="G82" s="1631" t="s">
        <v>636</v>
      </c>
      <c r="H82" s="489"/>
      <c r="I82" s="489">
        <v>0</v>
      </c>
      <c r="J82" s="489">
        <v>0</v>
      </c>
      <c r="K82" s="489">
        <v>0</v>
      </c>
      <c r="L82" s="489">
        <v>0</v>
      </c>
      <c r="M82" s="489">
        <v>0</v>
      </c>
      <c r="N82" s="489">
        <v>0</v>
      </c>
      <c r="O82" s="489">
        <v>0</v>
      </c>
      <c r="P82" s="489">
        <v>0</v>
      </c>
      <c r="Q82" s="489">
        <v>0</v>
      </c>
      <c r="R82" s="489">
        <v>0</v>
      </c>
      <c r="S82" s="489">
        <v>0</v>
      </c>
      <c r="T82" s="489">
        <v>0</v>
      </c>
      <c r="U82" s="489">
        <v>0</v>
      </c>
      <c r="V82" s="489">
        <v>0</v>
      </c>
      <c r="W82" s="489">
        <v>0</v>
      </c>
      <c r="X82" s="489">
        <v>0</v>
      </c>
      <c r="Y82" s="489">
        <v>0</v>
      </c>
      <c r="Z82" s="489">
        <v>0</v>
      </c>
      <c r="AA82" s="489">
        <v>0</v>
      </c>
      <c r="AB82" s="489">
        <v>0</v>
      </c>
      <c r="AC82" s="489">
        <v>0</v>
      </c>
      <c r="AD82" s="223" t="str">
        <f>FHD_NOTE_P_28</f>
        <v>Указываются расходы на капитальный ремонт, отнесенные к общехозяйственным расходам.</v>
      </c>
      <c r="AE82" s="1424" t="str">
        <f t="shared" si="10"/>
        <v/>
      </c>
      <c r="AF82" s="1424"/>
      <c r="AG82" s="1424"/>
      <c r="AL82" s="1424"/>
      <c r="AO82" s="476"/>
      <c r="AU82" s="1420"/>
      <c r="AV82" s="1420"/>
      <c r="AW82" s="1420"/>
      <c r="AX82" s="1420"/>
      <c r="AY82" s="1420"/>
      <c r="AZ82" s="961">
        <v>11</v>
      </c>
    </row>
    <row r="83" spans="1:52" s="1154" customFormat="1" ht="15" customHeight="1">
      <c r="A83" s="839"/>
      <c r="C83" s="1424"/>
      <c r="D83" s="1426"/>
      <c r="E83" s="478" t="str">
        <f>FHD_NUM_P_29</f>
        <v>2.12</v>
      </c>
      <c r="F83" s="1312" t="str">
        <f>FHD_P_29</f>
        <v>Расходы на капитальный и текущий ремонт основных средств</v>
      </c>
      <c r="G83" s="1631" t="s">
        <v>636</v>
      </c>
      <c r="H83" s="489"/>
      <c r="I83" s="489">
        <v>5677.92</v>
      </c>
      <c r="J83" s="489">
        <v>23413.360000000001</v>
      </c>
      <c r="K83" s="489">
        <v>3.19</v>
      </c>
      <c r="L83" s="489">
        <v>17915.82</v>
      </c>
      <c r="M83" s="489">
        <v>17382.400000000001</v>
      </c>
      <c r="N83" s="489">
        <v>34.18</v>
      </c>
      <c r="O83" s="489">
        <v>703.21</v>
      </c>
      <c r="P83" s="489">
        <v>107.87</v>
      </c>
      <c r="Q83" s="489">
        <v>13933.93</v>
      </c>
      <c r="R83" s="489">
        <v>6326.91</v>
      </c>
      <c r="S83" s="489">
        <v>94.83</v>
      </c>
      <c r="T83" s="489">
        <v>6429.29</v>
      </c>
      <c r="U83" s="489">
        <v>6221.67</v>
      </c>
      <c r="V83" s="489">
        <v>387.83</v>
      </c>
      <c r="W83" s="489">
        <v>385.55</v>
      </c>
      <c r="X83" s="489">
        <v>22483.43</v>
      </c>
      <c r="Y83" s="489">
        <v>271.47000000000003</v>
      </c>
      <c r="Z83" s="489">
        <v>1225.82</v>
      </c>
      <c r="AA83" s="489">
        <v>332.86</v>
      </c>
      <c r="AB83" s="489">
        <v>1060.31</v>
      </c>
      <c r="AC83" s="489">
        <v>0</v>
      </c>
      <c r="AD83" s="223"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E83" s="1424" t="str">
        <f t="shared" si="10"/>
        <v>p</v>
      </c>
      <c r="AF83" s="1424"/>
      <c r="AG83" s="1424"/>
      <c r="AL83" s="1424"/>
      <c r="AO83" s="476"/>
      <c r="AU83" s="1420"/>
      <c r="AV83" s="1420"/>
      <c r="AW83" s="1420"/>
      <c r="AX83" s="1420"/>
      <c r="AY83" s="1420"/>
      <c r="AZ83" s="961">
        <v>11</v>
      </c>
    </row>
    <row r="84" spans="1:52" s="1154" customFormat="1" ht="55.5" customHeight="1">
      <c r="A84" s="839"/>
      <c r="C84" s="1424"/>
      <c r="D84" s="1426"/>
      <c r="E84" s="478" t="str">
        <f>FHD_NUM_P_30</f>
        <v>2.12.1</v>
      </c>
      <c r="F84" s="143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84" s="1631" t="s">
        <v>390</v>
      </c>
      <c r="H84" s="1437" t="s">
        <v>664</v>
      </c>
      <c r="I84" s="1437" t="s">
        <v>664</v>
      </c>
      <c r="J84" s="1863" t="s">
        <v>664</v>
      </c>
      <c r="K84" s="1863" t="s">
        <v>664</v>
      </c>
      <c r="L84" s="1863" t="s">
        <v>664</v>
      </c>
      <c r="M84" s="1863" t="s">
        <v>664</v>
      </c>
      <c r="N84" s="1863" t="s">
        <v>664</v>
      </c>
      <c r="O84" s="1863" t="s">
        <v>664</v>
      </c>
      <c r="P84" s="1863" t="s">
        <v>664</v>
      </c>
      <c r="Q84" s="1863" t="s">
        <v>664</v>
      </c>
      <c r="R84" s="1863" t="s">
        <v>664</v>
      </c>
      <c r="S84" s="1863" t="s">
        <v>664</v>
      </c>
      <c r="T84" s="1863" t="s">
        <v>664</v>
      </c>
      <c r="U84" s="1863" t="s">
        <v>664</v>
      </c>
      <c r="V84" s="1863" t="s">
        <v>664</v>
      </c>
      <c r="W84" s="1863" t="s">
        <v>664</v>
      </c>
      <c r="X84" s="1863" t="s">
        <v>664</v>
      </c>
      <c r="Y84" s="1863" t="s">
        <v>664</v>
      </c>
      <c r="Z84" s="1863" t="s">
        <v>664</v>
      </c>
      <c r="AA84" s="1863" t="s">
        <v>664</v>
      </c>
      <c r="AB84" s="1863" t="s">
        <v>664</v>
      </c>
      <c r="AC84" s="1863" t="s">
        <v>664</v>
      </c>
      <c r="AD84" s="223" t="str">
        <f>FHD_NOTE_P_30</f>
        <v/>
      </c>
      <c r="AE84" s="1424" t="str">
        <f t="shared" si="10"/>
        <v/>
      </c>
      <c r="AF84" s="1424">
        <f>IFERROR(MATCH("есть",B_FHD_FLAG_INDEX_1,0),0)</f>
        <v>0</v>
      </c>
      <c r="AG84" s="1424"/>
      <c r="AL84" s="1424"/>
      <c r="AO84" s="476"/>
      <c r="AU84" s="1420"/>
      <c r="AV84" s="1420"/>
      <c r="AW84" s="1420"/>
      <c r="AX84" s="1420"/>
      <c r="AY84" s="1420"/>
      <c r="AZ84" s="961">
        <v>11</v>
      </c>
    </row>
    <row r="85" spans="1:52" s="1154" customFormat="1" ht="23.25" hidden="1" customHeight="1">
      <c r="A85" s="2480" t="s">
        <v>665</v>
      </c>
      <c r="C85" s="1424"/>
      <c r="D85" s="1426"/>
      <c r="E85" s="478" t="str">
        <f>FHD_NUM_P_31</f>
        <v/>
      </c>
      <c r="F85" s="1312" t="str">
        <f>FHD_P_31</f>
        <v/>
      </c>
      <c r="G85" s="1631" t="s">
        <v>636</v>
      </c>
      <c r="H85" s="489"/>
      <c r="I85" s="489"/>
      <c r="J85" s="489"/>
      <c r="K85" s="489"/>
      <c r="L85" s="489"/>
      <c r="M85" s="489"/>
      <c r="N85" s="489"/>
      <c r="O85" s="489"/>
      <c r="P85" s="489"/>
      <c r="Q85" s="489"/>
      <c r="R85" s="489"/>
      <c r="S85" s="489"/>
      <c r="T85" s="489"/>
      <c r="U85" s="489"/>
      <c r="V85" s="489"/>
      <c r="W85" s="489"/>
      <c r="X85" s="489"/>
      <c r="Y85" s="489"/>
      <c r="Z85" s="489"/>
      <c r="AA85" s="489"/>
      <c r="AB85" s="489"/>
      <c r="AC85" s="489"/>
      <c r="AD85" s="223" t="str">
        <f>FHD_NOTE_P_31</f>
        <v/>
      </c>
      <c r="AE85" s="1424" t="str">
        <f t="shared" si="10"/>
        <v/>
      </c>
      <c r="AF85" s="1424"/>
      <c r="AG85" s="1424"/>
      <c r="AL85" s="1424"/>
      <c r="AO85" s="476"/>
      <c r="AU85" s="1420"/>
      <c r="AV85" s="1420"/>
      <c r="AW85" s="1420"/>
      <c r="AX85" s="1420"/>
      <c r="AY85" s="1420"/>
      <c r="AZ85" s="961">
        <v>22</v>
      </c>
    </row>
    <row r="86" spans="1:52" s="1154" customFormat="1" ht="47.25" hidden="1" customHeight="1">
      <c r="A86" s="2480"/>
      <c r="C86" s="1424"/>
      <c r="D86" s="1426"/>
      <c r="E86" s="478" t="str">
        <f>FHD_NUM_P_32</f>
        <v/>
      </c>
      <c r="F86" s="1438" t="str">
        <f>FHD_P_32</f>
        <v/>
      </c>
      <c r="G86" s="1631" t="s">
        <v>390</v>
      </c>
      <c r="H86" s="1437" t="s">
        <v>664</v>
      </c>
      <c r="I86" s="1437" t="s">
        <v>664</v>
      </c>
      <c r="J86" s="1863" t="s">
        <v>664</v>
      </c>
      <c r="K86" s="1863" t="s">
        <v>664</v>
      </c>
      <c r="L86" s="1863" t="s">
        <v>664</v>
      </c>
      <c r="M86" s="1863" t="s">
        <v>664</v>
      </c>
      <c r="N86" s="1863" t="s">
        <v>664</v>
      </c>
      <c r="O86" s="1863" t="s">
        <v>664</v>
      </c>
      <c r="P86" s="1863" t="s">
        <v>664</v>
      </c>
      <c r="Q86" s="1863" t="s">
        <v>664</v>
      </c>
      <c r="R86" s="1863" t="s">
        <v>664</v>
      </c>
      <c r="S86" s="1863" t="s">
        <v>664</v>
      </c>
      <c r="T86" s="1863" t="s">
        <v>664</v>
      </c>
      <c r="U86" s="1863" t="s">
        <v>664</v>
      </c>
      <c r="V86" s="1863" t="s">
        <v>664</v>
      </c>
      <c r="W86" s="1863" t="s">
        <v>664</v>
      </c>
      <c r="X86" s="1863" t="s">
        <v>664</v>
      </c>
      <c r="Y86" s="1863" t="s">
        <v>664</v>
      </c>
      <c r="Z86" s="1863" t="s">
        <v>664</v>
      </c>
      <c r="AA86" s="1863" t="s">
        <v>664</v>
      </c>
      <c r="AB86" s="1863" t="s">
        <v>664</v>
      </c>
      <c r="AC86" s="1863" t="s">
        <v>664</v>
      </c>
      <c r="AD86" s="223" t="str">
        <f>FHD_NOTE_P_32</f>
        <v/>
      </c>
      <c r="AE86" s="1424" t="str">
        <f t="shared" si="10"/>
        <v/>
      </c>
      <c r="AF86" s="1424">
        <f>IFERROR(MATCH("есть",B_FHD_FLAG_INDEX_2,0),0)</f>
        <v>0</v>
      </c>
      <c r="AG86" s="1424"/>
      <c r="AL86" s="1424"/>
      <c r="AO86" s="476"/>
      <c r="AU86" s="1420"/>
      <c r="AV86" s="1420"/>
      <c r="AW86" s="1420"/>
      <c r="AX86" s="1420"/>
      <c r="AY86" s="1420"/>
      <c r="AZ86" s="961">
        <v>45</v>
      </c>
    </row>
    <row r="87" spans="1:52" s="1154" customFormat="1" ht="11.45" customHeight="1">
      <c r="A87" s="839"/>
      <c r="C87" s="1424"/>
      <c r="D87" s="1426"/>
      <c r="E87" s="478" t="str">
        <f>FHD_NUM_P_33</f>
        <v>2.13</v>
      </c>
      <c r="F87" s="1312" t="str">
        <f>FHD_P_33</f>
        <v>Прочие расходы, которые подлежат отнесению на регулируемые виды деятельности в соответствии с законодательством Российской Федерации</v>
      </c>
      <c r="G87" s="1632" t="s">
        <v>636</v>
      </c>
      <c r="H87" s="510">
        <f t="shared" ref="H87:AC87" si="15">SUM(H88:H94)</f>
        <v>0</v>
      </c>
      <c r="I87" s="510">
        <f t="shared" si="15"/>
        <v>5190.3799999999992</v>
      </c>
      <c r="J87" s="510">
        <f t="shared" si="15"/>
        <v>131887.75</v>
      </c>
      <c r="K87" s="510">
        <f t="shared" si="15"/>
        <v>250.26999999999998</v>
      </c>
      <c r="L87" s="510">
        <f t="shared" si="15"/>
        <v>78782.98000000001</v>
      </c>
      <c r="M87" s="510">
        <f t="shared" si="15"/>
        <v>25477.51</v>
      </c>
      <c r="N87" s="510">
        <f t="shared" si="15"/>
        <v>600</v>
      </c>
      <c r="O87" s="510">
        <f t="shared" si="15"/>
        <v>1211.8600000000001</v>
      </c>
      <c r="P87" s="510">
        <f t="shared" si="15"/>
        <v>694.06999999999994</v>
      </c>
      <c r="Q87" s="510">
        <f t="shared" si="15"/>
        <v>52493.729999999996</v>
      </c>
      <c r="R87" s="510">
        <f t="shared" si="15"/>
        <v>33689.199999999997</v>
      </c>
      <c r="S87" s="510">
        <f t="shared" si="15"/>
        <v>1715.6599999999999</v>
      </c>
      <c r="T87" s="510">
        <f t="shared" si="15"/>
        <v>3235.28</v>
      </c>
      <c r="U87" s="510">
        <f t="shared" si="15"/>
        <v>5765.9500000000007</v>
      </c>
      <c r="V87" s="510">
        <f t="shared" si="15"/>
        <v>1397.29</v>
      </c>
      <c r="W87" s="510">
        <f t="shared" si="15"/>
        <v>2226.6600000000003</v>
      </c>
      <c r="X87" s="510">
        <f t="shared" si="15"/>
        <v>75985.39</v>
      </c>
      <c r="Y87" s="510">
        <f t="shared" si="15"/>
        <v>5417.97</v>
      </c>
      <c r="Z87" s="510">
        <f t="shared" si="15"/>
        <v>1630.84</v>
      </c>
      <c r="AA87" s="510">
        <f t="shared" si="15"/>
        <v>1484.9800000000002</v>
      </c>
      <c r="AB87" s="510">
        <f t="shared" si="15"/>
        <v>1672.4700000000003</v>
      </c>
      <c r="AC87" s="510">
        <f t="shared" si="15"/>
        <v>479.28000000000003</v>
      </c>
      <c r="AD87" s="223"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AE87" s="1424" t="str">
        <f t="shared" si="10"/>
        <v>p</v>
      </c>
      <c r="AF87" s="1424"/>
      <c r="AG87" s="1424"/>
      <c r="AL87" s="1424"/>
      <c r="AO87" s="476"/>
      <c r="AU87" s="1420"/>
      <c r="AV87" s="1420"/>
      <c r="AW87" s="1420"/>
      <c r="AX87" s="1420"/>
      <c r="AY87" s="1420"/>
      <c r="AZ87" s="961">
        <v>11</v>
      </c>
    </row>
    <row r="88" spans="1:52" s="1430" customFormat="1" ht="1.1499999999999999" customHeight="1">
      <c r="A88" s="968"/>
      <c r="D88" s="480"/>
      <c r="E88" s="865" t="str">
        <f>E87&amp;".0"</f>
        <v>2.13.0</v>
      </c>
      <c r="F88" s="843"/>
      <c r="G88" s="865"/>
      <c r="H88" s="844"/>
      <c r="I88" s="844"/>
      <c r="J88" s="844"/>
      <c r="K88" s="844"/>
      <c r="L88" s="844"/>
      <c r="M88" s="844"/>
      <c r="N88" s="844"/>
      <c r="O88" s="844"/>
      <c r="P88" s="844"/>
      <c r="Q88" s="844"/>
      <c r="R88" s="844"/>
      <c r="S88" s="844"/>
      <c r="T88" s="844"/>
      <c r="U88" s="844"/>
      <c r="V88" s="844"/>
      <c r="W88" s="844"/>
      <c r="X88" s="844"/>
      <c r="Y88" s="844"/>
      <c r="Z88" s="844"/>
      <c r="AA88" s="844"/>
      <c r="AB88" s="844"/>
      <c r="AC88" s="844"/>
      <c r="AD88" s="845"/>
      <c r="AE88" s="1424" t="str">
        <f t="shared" si="10"/>
        <v/>
      </c>
      <c r="AZ88" s="1424">
        <v>1</v>
      </c>
    </row>
    <row r="89" spans="1:52" s="1420" customFormat="1" ht="22.5" customHeight="1">
      <c r="A89" s="839"/>
      <c r="B89" s="1154"/>
      <c r="C89" s="1430"/>
      <c r="D89" s="604" t="s">
        <v>90</v>
      </c>
      <c r="E89" s="1853" t="str">
        <f>E87&amp;".1"</f>
        <v>2.13.1</v>
      </c>
      <c r="F89" s="472" t="s">
        <v>666</v>
      </c>
      <c r="G89" s="1853" t="s">
        <v>636</v>
      </c>
      <c r="H89" s="658"/>
      <c r="I89" s="658">
        <v>54.89</v>
      </c>
      <c r="J89" s="658">
        <v>1371.35</v>
      </c>
      <c r="K89" s="658">
        <v>2.14</v>
      </c>
      <c r="L89" s="658">
        <v>0</v>
      </c>
      <c r="M89" s="658"/>
      <c r="N89" s="658"/>
      <c r="O89" s="658"/>
      <c r="P89" s="658"/>
      <c r="Q89" s="658">
        <v>418.38</v>
      </c>
      <c r="R89" s="658">
        <v>171.98</v>
      </c>
      <c r="S89" s="658">
        <v>14.81</v>
      </c>
      <c r="T89" s="658">
        <v>31.74</v>
      </c>
      <c r="U89" s="658">
        <v>42.86</v>
      </c>
      <c r="V89" s="658">
        <v>12.43</v>
      </c>
      <c r="W89" s="658">
        <v>19.760000000000002</v>
      </c>
      <c r="X89" s="658">
        <v>0</v>
      </c>
      <c r="Y89" s="658">
        <v>337.38</v>
      </c>
      <c r="Z89" s="658">
        <v>103.25</v>
      </c>
      <c r="AA89" s="658">
        <v>93.99</v>
      </c>
      <c r="AB89" s="658">
        <v>105.9</v>
      </c>
      <c r="AC89" s="658">
        <v>39.119999999999997</v>
      </c>
      <c r="AD89" s="474" t="s">
        <v>639</v>
      </c>
      <c r="AE89" s="645"/>
      <c r="AF89" s="1430"/>
      <c r="AG89" s="1430"/>
      <c r="AH89" s="1154"/>
      <c r="AI89" s="1154"/>
      <c r="AJ89" s="1154"/>
      <c r="AK89" s="1154"/>
      <c r="AL89" s="1430"/>
      <c r="AM89" s="1154"/>
      <c r="AN89" s="1154"/>
      <c r="AO89" s="647"/>
      <c r="AP89" s="1154"/>
      <c r="AQ89" s="1154"/>
      <c r="AR89" s="1154"/>
      <c r="AS89" s="1154"/>
      <c r="AT89" s="1154"/>
      <c r="AZ89" s="1154">
        <v>0</v>
      </c>
    </row>
    <row r="90" spans="1:52" s="1420" customFormat="1" ht="22.5" customHeight="1">
      <c r="A90" s="839"/>
      <c r="B90" s="1154"/>
      <c r="C90" s="1430"/>
      <c r="D90" s="604" t="s">
        <v>90</v>
      </c>
      <c r="E90" s="1853" t="str">
        <f>E87&amp;".2"</f>
        <v>2.13.2</v>
      </c>
      <c r="F90" s="472" t="s">
        <v>667</v>
      </c>
      <c r="G90" s="1853" t="s">
        <v>636</v>
      </c>
      <c r="H90" s="658"/>
      <c r="I90" s="658">
        <v>862.78</v>
      </c>
      <c r="J90" s="658">
        <v>20783.95</v>
      </c>
      <c r="K90" s="658">
        <v>34.74</v>
      </c>
      <c r="L90" s="658">
        <v>17465.47</v>
      </c>
      <c r="M90" s="658">
        <v>5822.78</v>
      </c>
      <c r="N90" s="658">
        <v>128.08000000000001</v>
      </c>
      <c r="O90" s="658">
        <v>250.41</v>
      </c>
      <c r="P90" s="658">
        <v>136.02000000000001</v>
      </c>
      <c r="Q90" s="658">
        <v>9854.6</v>
      </c>
      <c r="R90" s="658">
        <v>4232.0600000000004</v>
      </c>
      <c r="S90" s="658">
        <v>326.89</v>
      </c>
      <c r="T90" s="658">
        <v>574.51</v>
      </c>
      <c r="U90" s="658">
        <v>1059.72</v>
      </c>
      <c r="V90" s="658">
        <v>247.31</v>
      </c>
      <c r="W90" s="658">
        <v>396.62</v>
      </c>
      <c r="X90" s="658">
        <v>14960.77</v>
      </c>
      <c r="Y90" s="658">
        <v>1120.25</v>
      </c>
      <c r="Z90" s="658">
        <v>340.23</v>
      </c>
      <c r="AA90" s="658">
        <v>309.7</v>
      </c>
      <c r="AB90" s="658">
        <v>348.95</v>
      </c>
      <c r="AC90" s="658">
        <v>93.48</v>
      </c>
      <c r="AD90" s="474" t="s">
        <v>639</v>
      </c>
      <c r="AE90" s="645"/>
      <c r="AF90" s="1430"/>
      <c r="AG90" s="1430"/>
      <c r="AH90" s="1154"/>
      <c r="AI90" s="1154"/>
      <c r="AJ90" s="1154"/>
      <c r="AK90" s="1154"/>
      <c r="AL90" s="1430"/>
      <c r="AM90" s="1154"/>
      <c r="AN90" s="1154"/>
      <c r="AO90" s="647"/>
      <c r="AP90" s="1154"/>
      <c r="AQ90" s="1154"/>
      <c r="AR90" s="1154"/>
      <c r="AS90" s="1154"/>
      <c r="AT90" s="1154"/>
      <c r="AZ90" s="1154">
        <v>0</v>
      </c>
    </row>
    <row r="91" spans="1:52" s="1420" customFormat="1" ht="22.5" customHeight="1">
      <c r="A91" s="839"/>
      <c r="B91" s="1154"/>
      <c r="C91" s="1430"/>
      <c r="D91" s="604" t="s">
        <v>90</v>
      </c>
      <c r="E91" s="1853" t="str">
        <f>E87&amp;".3"</f>
        <v>2.13.3</v>
      </c>
      <c r="F91" s="472" t="s">
        <v>668</v>
      </c>
      <c r="G91" s="1853" t="s">
        <v>636</v>
      </c>
      <c r="H91" s="658"/>
      <c r="I91" s="658">
        <f>3.41+5.29+140.28</f>
        <v>148.97999999999999</v>
      </c>
      <c r="J91" s="658">
        <f>84.37+131.06+3473.33</f>
        <v>3688.7599999999998</v>
      </c>
      <c r="K91" s="658">
        <f>0.27+4.29</f>
        <v>4.5600000000000005</v>
      </c>
      <c r="L91" s="658">
        <f>53.43+1096.88</f>
        <v>1150.3100000000002</v>
      </c>
      <c r="M91" s="658">
        <v>407.36</v>
      </c>
      <c r="N91" s="658">
        <v>7.86</v>
      </c>
      <c r="O91" s="658">
        <v>15.43</v>
      </c>
      <c r="P91" s="658">
        <v>7.26</v>
      </c>
      <c r="Q91" s="658">
        <v>4644.83</v>
      </c>
      <c r="R91" s="658">
        <v>2093.34</v>
      </c>
      <c r="S91" s="658">
        <v>150.97999999999999</v>
      </c>
      <c r="T91" s="658">
        <v>242.18</v>
      </c>
      <c r="U91" s="658">
        <v>501</v>
      </c>
      <c r="V91" s="658">
        <v>102.94</v>
      </c>
      <c r="W91" s="658">
        <v>172.56</v>
      </c>
      <c r="X91" s="658">
        <v>431.66</v>
      </c>
      <c r="Y91" s="658">
        <v>30.9</v>
      </c>
      <c r="Z91" s="658">
        <v>10.55</v>
      </c>
      <c r="AA91" s="658">
        <v>9.6</v>
      </c>
      <c r="AB91" s="658">
        <v>10.82</v>
      </c>
      <c r="AC91" s="658">
        <v>0.67</v>
      </c>
      <c r="AD91" s="474" t="s">
        <v>639</v>
      </c>
      <c r="AE91" s="645"/>
      <c r="AF91" s="1430"/>
      <c r="AG91" s="1430"/>
      <c r="AH91" s="1154"/>
      <c r="AI91" s="1154"/>
      <c r="AJ91" s="1154"/>
      <c r="AK91" s="1154"/>
      <c r="AL91" s="1430"/>
      <c r="AM91" s="1154"/>
      <c r="AN91" s="1154"/>
      <c r="AO91" s="647"/>
      <c r="AP91" s="1154"/>
      <c r="AQ91" s="1154"/>
      <c r="AR91" s="1154"/>
      <c r="AS91" s="1154"/>
      <c r="AT91" s="1154"/>
      <c r="AZ91" s="1154">
        <v>0</v>
      </c>
    </row>
    <row r="92" spans="1:52" s="1420" customFormat="1" ht="22.5" customHeight="1">
      <c r="A92" s="839"/>
      <c r="B92" s="1154"/>
      <c r="C92" s="1430"/>
      <c r="D92" s="604" t="s">
        <v>90</v>
      </c>
      <c r="E92" s="1853" t="str">
        <f>E87&amp;".4"</f>
        <v>2.13.4</v>
      </c>
      <c r="F92" s="472" t="s">
        <v>669</v>
      </c>
      <c r="G92" s="1853" t="s">
        <v>636</v>
      </c>
      <c r="H92" s="658"/>
      <c r="I92" s="658">
        <v>1819.57</v>
      </c>
      <c r="J92" s="658">
        <v>49936.94</v>
      </c>
      <c r="K92" s="658">
        <f>51.03+53.83</f>
        <v>104.86</v>
      </c>
      <c r="L92" s="658">
        <v>13989.06</v>
      </c>
      <c r="M92" s="658">
        <v>4109.63</v>
      </c>
      <c r="N92" s="658">
        <v>117.22</v>
      </c>
      <c r="O92" s="658">
        <v>259.18</v>
      </c>
      <c r="P92" s="658">
        <v>170.74</v>
      </c>
      <c r="Q92" s="658">
        <v>10860.38</v>
      </c>
      <c r="R92" s="658">
        <v>4425.17</v>
      </c>
      <c r="S92" s="658">
        <v>321.85000000000002</v>
      </c>
      <c r="T92" s="658">
        <v>790.9</v>
      </c>
      <c r="U92" s="658">
        <v>1260.98</v>
      </c>
      <c r="V92" s="658">
        <v>345.37</v>
      </c>
      <c r="W92" s="658">
        <v>536.82000000000005</v>
      </c>
      <c r="X92" s="658">
        <v>22125.99</v>
      </c>
      <c r="Y92" s="658">
        <v>237.8</v>
      </c>
      <c r="Z92" s="658">
        <v>63</v>
      </c>
      <c r="AA92" s="658">
        <v>57.35</v>
      </c>
      <c r="AB92" s="658">
        <v>64.61</v>
      </c>
      <c r="AC92" s="658">
        <v>49.07</v>
      </c>
      <c r="AD92" s="474" t="s">
        <v>639</v>
      </c>
      <c r="AE92" s="645"/>
      <c r="AF92" s="1430"/>
      <c r="AG92" s="1430"/>
      <c r="AH92" s="1154"/>
      <c r="AI92" s="1154"/>
      <c r="AJ92" s="1154"/>
      <c r="AK92" s="1154"/>
      <c r="AL92" s="1430"/>
      <c r="AM92" s="1154"/>
      <c r="AN92" s="1154"/>
      <c r="AO92" s="647"/>
      <c r="AP92" s="1154"/>
      <c r="AQ92" s="1154"/>
      <c r="AR92" s="1154"/>
      <c r="AS92" s="1154"/>
      <c r="AT92" s="1154"/>
      <c r="AZ92" s="1154">
        <v>0</v>
      </c>
    </row>
    <row r="93" spans="1:52" s="1420" customFormat="1" ht="22.5" customHeight="1">
      <c r="A93" s="839"/>
      <c r="B93" s="1154"/>
      <c r="C93" s="1430"/>
      <c r="D93" s="604" t="s">
        <v>90</v>
      </c>
      <c r="E93" s="1853" t="str">
        <f>E87&amp;".5"</f>
        <v>2.13.5</v>
      </c>
      <c r="F93" s="472" t="s">
        <v>670</v>
      </c>
      <c r="G93" s="1853" t="s">
        <v>636</v>
      </c>
      <c r="H93" s="658"/>
      <c r="I93" s="658">
        <f>67.03+4.21+1766.65+49.58+36.67+108.57+271.45</f>
        <v>2304.16</v>
      </c>
      <c r="J93" s="658">
        <f>6542.25+1713.33+42950.26+1218.01+922.59+2635.97+124.34</f>
        <v>56106.75</v>
      </c>
      <c r="K93" s="658">
        <f>1.01+8.73+3.59+0.74+0.87+0.21+0.78+1.96+0.07+0.11+72.1+0.77+0.23+0.46+0.13+0.01+0.06+3.47+0.41+0.07+0.02+0.7+4.24+3.15+0.08</f>
        <v>103.96999999999997</v>
      </c>
      <c r="L93" s="658">
        <f>5007.12+1647.98+111.39+35742.67+456.47+581.8+2630.71</f>
        <v>46178.14</v>
      </c>
      <c r="M93" s="658">
        <f>1685.51+535.94+18.01+11729.48+152+157.51+859.29</f>
        <v>15137.739999999998</v>
      </c>
      <c r="N93" s="658">
        <f>35.73+11.84+5.91+269.23+3.37+19.64+1.12</f>
        <v>346.84000000000003</v>
      </c>
      <c r="O93" s="658">
        <f>70.03+24.21+3.7+530.97+6.63+12.06+39.24</f>
        <v>686.84</v>
      </c>
      <c r="P93" s="658">
        <f>35.9+12.49+0.99+301.68+3.62+22.27+3.1</f>
        <v>380.05</v>
      </c>
      <c r="Q93" s="658">
        <f>2567.6+1104.82+52.51+19997.56+455.18+411.84+2125.75+0.28</f>
        <v>26715.54</v>
      </c>
      <c r="R93" s="658">
        <f>1120.4+473.55+66.01+8520.54+193.96+162.66+888.59+11340.94</f>
        <v>22766.65</v>
      </c>
      <c r="S93" s="658">
        <f>85.33+34.21+1.54+665.39+15.29+31.07+68.3</f>
        <v>901.13</v>
      </c>
      <c r="T93" s="658">
        <f>141.18+64+7.91+1203.89+27.63+133.17+18.17</f>
        <v>1595.9500000000003</v>
      </c>
      <c r="U93" s="658">
        <f>277.93+119+10.39+2154.55+48.75+66.92+223.85</f>
        <v>2901.3900000000003</v>
      </c>
      <c r="V93" s="658">
        <f>61.64+28.05+1.03+520.72+11.76+7.9+58.14</f>
        <v>689.24</v>
      </c>
      <c r="W93" s="658">
        <f>99.19+46.17+1.65+830.45+18.73+10.24+94.47</f>
        <v>1100.9000000000001</v>
      </c>
      <c r="X93" s="658">
        <f>2948.3+451.87+40.48+30489.33+1659.56+493.82+2359.61+24</f>
        <v>38466.97</v>
      </c>
      <c r="Y93" s="658">
        <f>592.91+103.61+7.23+2868.29+3.35+31.64+84.61</f>
        <v>3691.64</v>
      </c>
      <c r="Z93" s="658">
        <f>183.3+27.68+6.84+860.69+1.06+6.25+27.99</f>
        <v>1113.81</v>
      </c>
      <c r="AA93" s="658">
        <f>166.84+25.19+6.72+783.45+0.97+5.69+25.48</f>
        <v>1014.3400000000001</v>
      </c>
      <c r="AB93" s="658">
        <f>187.99+28.39+6.87+882.75+1.9+6.4+27.89</f>
        <v>1142.1900000000003</v>
      </c>
      <c r="AC93" s="658">
        <f>34.72+15.45+0.36+244.05+0.01+2.35</f>
        <v>296.94000000000005</v>
      </c>
      <c r="AD93" s="474" t="s">
        <v>639</v>
      </c>
      <c r="AE93" s="645"/>
      <c r="AF93" s="1430"/>
      <c r="AG93" s="1430"/>
      <c r="AH93" s="1154"/>
      <c r="AI93" s="1154"/>
      <c r="AJ93" s="1154"/>
      <c r="AK93" s="1154"/>
      <c r="AL93" s="1430"/>
      <c r="AM93" s="1154"/>
      <c r="AN93" s="1154"/>
      <c r="AO93" s="647"/>
      <c r="AP93" s="1154"/>
      <c r="AQ93" s="1154"/>
      <c r="AR93" s="1154"/>
      <c r="AS93" s="1154"/>
      <c r="AT93" s="1154"/>
      <c r="AZ93" s="1154">
        <v>0</v>
      </c>
    </row>
    <row r="94" spans="1:52" s="1154" customFormat="1" ht="14.65" customHeight="1">
      <c r="A94" s="839"/>
      <c r="C94" s="1424"/>
      <c r="D94" s="1421"/>
      <c r="E94" s="502"/>
      <c r="F94" s="503" t="s">
        <v>671</v>
      </c>
      <c r="G94" s="504"/>
      <c r="H94" s="505"/>
      <c r="I94" s="505"/>
      <c r="J94" s="1902"/>
      <c r="K94" s="1903"/>
      <c r="L94" s="1904"/>
      <c r="M94" s="1905"/>
      <c r="N94" s="1906"/>
      <c r="O94" s="1907"/>
      <c r="P94" s="1908"/>
      <c r="Q94" s="1909"/>
      <c r="R94" s="1910"/>
      <c r="S94" s="1911"/>
      <c r="T94" s="1912"/>
      <c r="U94" s="1913"/>
      <c r="V94" s="1914"/>
      <c r="W94" s="1915"/>
      <c r="X94" s="1916"/>
      <c r="Y94" s="1917"/>
      <c r="Z94" s="1918"/>
      <c r="AA94" s="1919"/>
      <c r="AB94" s="1920"/>
      <c r="AC94" s="2226"/>
      <c r="AD94" s="235"/>
      <c r="AE94" s="1424"/>
      <c r="AF94" s="1424"/>
      <c r="AG94" s="1424"/>
      <c r="AL94" s="1424"/>
      <c r="AO94" s="476"/>
      <c r="AU94" s="1420"/>
      <c r="AV94" s="1420"/>
      <c r="AW94" s="1420"/>
      <c r="AX94" s="1420"/>
      <c r="AY94" s="1420"/>
      <c r="AZ94" s="961">
        <v>14</v>
      </c>
    </row>
    <row r="95" spans="1:52" s="1154" customFormat="1" ht="29.25" customHeight="1">
      <c r="A95" s="841" t="s">
        <v>672</v>
      </c>
      <c r="C95" s="1424"/>
      <c r="D95" s="1426"/>
      <c r="E95" s="478" t="str">
        <f>FHD_NUM_P_34</f>
        <v>3</v>
      </c>
      <c r="F95" s="1633" t="str">
        <f>FHD_P_34</f>
        <v>Валовая прибыль (убытки) от реализации товаров и оказания услуг по регулируемому виду деятельности</v>
      </c>
      <c r="G95" s="1631" t="s">
        <v>636</v>
      </c>
      <c r="H95" s="489"/>
      <c r="I95" s="489">
        <f t="shared" ref="I95:AC95" si="16">I30-I31</f>
        <v>6294.5122719999927</v>
      </c>
      <c r="J95" s="489">
        <f t="shared" si="16"/>
        <v>106183.36600309983</v>
      </c>
      <c r="K95" s="489">
        <f t="shared" si="16"/>
        <v>705.23496280000029</v>
      </c>
      <c r="L95" s="489">
        <f t="shared" si="16"/>
        <v>-145515.09134000004</v>
      </c>
      <c r="M95" s="489">
        <f t="shared" si="16"/>
        <v>2094.6365575999371</v>
      </c>
      <c r="N95" s="489">
        <f t="shared" si="16"/>
        <v>1488.0364809000002</v>
      </c>
      <c r="O95" s="489">
        <f t="shared" si="16"/>
        <v>1837.7308644000004</v>
      </c>
      <c r="P95" s="489">
        <f t="shared" si="16"/>
        <v>-1.9720175999991625</v>
      </c>
      <c r="Q95" s="489">
        <f t="shared" si="16"/>
        <v>43276.751231600065</v>
      </c>
      <c r="R95" s="489">
        <f t="shared" si="16"/>
        <v>-25101.109443199995</v>
      </c>
      <c r="S95" s="489">
        <f t="shared" si="16"/>
        <v>9493.2577731999991</v>
      </c>
      <c r="T95" s="489">
        <f t="shared" si="16"/>
        <v>-5506.025169200002</v>
      </c>
      <c r="U95" s="489">
        <f t="shared" si="16"/>
        <v>1547.2925804000115</v>
      </c>
      <c r="V95" s="489">
        <f t="shared" si="16"/>
        <v>2323.0300319999988</v>
      </c>
      <c r="W95" s="489">
        <f t="shared" si="16"/>
        <v>-827.48868960000073</v>
      </c>
      <c r="X95" s="489">
        <f t="shared" si="16"/>
        <v>46534.484637999907</v>
      </c>
      <c r="Y95" s="489">
        <f t="shared" si="16"/>
        <v>-9342.8398227000034</v>
      </c>
      <c r="Z95" s="489">
        <f t="shared" si="16"/>
        <v>-5360.8145240000013</v>
      </c>
      <c r="AA95" s="489">
        <f t="shared" si="16"/>
        <v>2530.7058499999985</v>
      </c>
      <c r="AB95" s="489">
        <f t="shared" si="16"/>
        <v>-256.52294500000062</v>
      </c>
      <c r="AC95" s="489">
        <f t="shared" si="16"/>
        <v>113.09601280000015</v>
      </c>
      <c r="AD95" s="223" t="str">
        <f>FHD_NOTE_P_34</f>
        <v/>
      </c>
      <c r="AE95" s="475"/>
      <c r="AF95" s="1424"/>
      <c r="AG95" s="1424"/>
      <c r="AL95" s="1424"/>
      <c r="AO95" s="476"/>
      <c r="AU95" s="1420"/>
      <c r="AV95" s="1420"/>
      <c r="AW95" s="1420"/>
      <c r="AX95" s="1420"/>
      <c r="AY95" s="1420"/>
      <c r="AZ95" s="961">
        <v>0</v>
      </c>
    </row>
    <row r="96" spans="1:52" s="1154" customFormat="1" ht="20.25" customHeight="1">
      <c r="A96" s="839"/>
      <c r="C96" s="1424"/>
      <c r="D96" s="507"/>
      <c r="E96" s="478" t="str">
        <f>FHD_NUM_P_35</f>
        <v>4</v>
      </c>
      <c r="F96" s="1633" t="str">
        <f>FHD_P_35</f>
        <v>Чистая прибыль, полученная от регулируемого вида деятельности, в том числе:</v>
      </c>
      <c r="G96" s="1631" t="s">
        <v>636</v>
      </c>
      <c r="H96" s="489"/>
      <c r="I96" s="489">
        <v>0</v>
      </c>
      <c r="J96" s="489">
        <v>14020</v>
      </c>
      <c r="K96" s="489">
        <v>0</v>
      </c>
      <c r="L96" s="489">
        <v>-110786</v>
      </c>
      <c r="M96" s="489">
        <v>0</v>
      </c>
      <c r="N96" s="489">
        <v>0</v>
      </c>
      <c r="O96" s="489">
        <v>0</v>
      </c>
      <c r="P96" s="489">
        <v>0</v>
      </c>
      <c r="Q96" s="489">
        <v>-42912</v>
      </c>
      <c r="R96" s="489">
        <v>0</v>
      </c>
      <c r="S96" s="489">
        <v>0</v>
      </c>
      <c r="T96" s="489">
        <v>0</v>
      </c>
      <c r="U96" s="489">
        <v>0</v>
      </c>
      <c r="V96" s="489">
        <v>0</v>
      </c>
      <c r="W96" s="489">
        <v>0</v>
      </c>
      <c r="X96" s="489">
        <v>25233</v>
      </c>
      <c r="Y96" s="489">
        <v>163485</v>
      </c>
      <c r="Z96" s="489">
        <v>0</v>
      </c>
      <c r="AA96" s="489">
        <v>0</v>
      </c>
      <c r="AB96" s="489">
        <v>0</v>
      </c>
      <c r="AC96" s="489">
        <v>0</v>
      </c>
      <c r="AD96" s="223" t="str">
        <f>FHD_NOTE_P_35</f>
        <v>Указывается общая сумма чистой прибыли, полученной от регулируемого вида деятельности.</v>
      </c>
      <c r="AE96" s="475"/>
      <c r="AF96" s="1424"/>
      <c r="AG96" s="1424"/>
      <c r="AL96" s="1424"/>
      <c r="AO96" s="476"/>
      <c r="AU96" s="1420"/>
      <c r="AV96" s="1420"/>
      <c r="AW96" s="1420"/>
      <c r="AX96" s="1420"/>
      <c r="AY96" s="1420"/>
      <c r="AZ96" s="961">
        <v>19</v>
      </c>
    </row>
    <row r="97" spans="1:52" s="1154" customFormat="1" ht="33.75" customHeight="1">
      <c r="A97" s="839"/>
      <c r="C97" s="1424"/>
      <c r="D97" s="1426"/>
      <c r="E97" s="478" t="str">
        <f>FHD_NUM_P_36</f>
        <v>4.1</v>
      </c>
      <c r="F97" s="1312" t="str">
        <f>FHD_P_36</f>
        <v>Размер расходования чистой прибыли на финансирование мероприятий, предусмотренных инвестиционной программой регулируемой организации</v>
      </c>
      <c r="G97" s="1631" t="s">
        <v>636</v>
      </c>
      <c r="H97" s="489"/>
      <c r="I97" s="489">
        <v>0</v>
      </c>
      <c r="J97" s="489">
        <v>87921.74</v>
      </c>
      <c r="K97" s="489">
        <v>0</v>
      </c>
      <c r="L97" s="489">
        <v>42552.97</v>
      </c>
      <c r="M97" s="489">
        <v>0</v>
      </c>
      <c r="N97" s="489">
        <v>0</v>
      </c>
      <c r="O97" s="489">
        <v>0</v>
      </c>
      <c r="P97" s="489">
        <v>0</v>
      </c>
      <c r="Q97" s="489">
        <v>0</v>
      </c>
      <c r="R97" s="489">
        <v>0</v>
      </c>
      <c r="S97" s="489">
        <v>0</v>
      </c>
      <c r="T97" s="489">
        <v>0</v>
      </c>
      <c r="U97" s="489">
        <v>0</v>
      </c>
      <c r="V97" s="489">
        <v>0</v>
      </c>
      <c r="W97" s="489">
        <v>0</v>
      </c>
      <c r="X97" s="489">
        <v>0</v>
      </c>
      <c r="Y97" s="489">
        <v>0</v>
      </c>
      <c r="Z97" s="489">
        <v>0</v>
      </c>
      <c r="AA97" s="489">
        <v>0</v>
      </c>
      <c r="AB97" s="489">
        <v>0</v>
      </c>
      <c r="AC97" s="489">
        <v>0</v>
      </c>
      <c r="AD97" s="223" t="str">
        <f>FHD_NOTE_P_36</f>
        <v/>
      </c>
      <c r="AE97" s="475"/>
      <c r="AF97" s="1424"/>
      <c r="AG97" s="1424"/>
      <c r="AL97" s="1424"/>
      <c r="AO97" s="476"/>
      <c r="AU97" s="1420"/>
      <c r="AV97" s="1420"/>
      <c r="AW97" s="1420"/>
      <c r="AX97" s="1420"/>
      <c r="AY97" s="1420"/>
      <c r="AZ97" s="961">
        <v>19</v>
      </c>
    </row>
    <row r="98" spans="1:52" s="1154" customFormat="1" ht="20.25" customHeight="1">
      <c r="A98" s="839"/>
      <c r="C98" s="1424"/>
      <c r="D98" s="1426"/>
      <c r="E98" s="478" t="str">
        <f>FHD_NUM_P_37</f>
        <v>5</v>
      </c>
      <c r="F98" s="1633" t="str">
        <f>FHD_P_37</f>
        <v>Изменение стоимости основных фондов, в том числе:</v>
      </c>
      <c r="G98" s="1631" t="s">
        <v>636</v>
      </c>
      <c r="H98" s="489"/>
      <c r="I98" s="489">
        <v>0</v>
      </c>
      <c r="J98" s="489">
        <v>64118</v>
      </c>
      <c r="K98" s="489">
        <v>0</v>
      </c>
      <c r="L98" s="489">
        <v>25327</v>
      </c>
      <c r="M98" s="489">
        <v>0</v>
      </c>
      <c r="N98" s="489">
        <v>0</v>
      </c>
      <c r="O98" s="489">
        <v>0</v>
      </c>
      <c r="P98" s="489">
        <v>0</v>
      </c>
      <c r="Q98" s="489">
        <v>4955</v>
      </c>
      <c r="R98" s="489">
        <v>0</v>
      </c>
      <c r="S98" s="489">
        <v>0</v>
      </c>
      <c r="T98" s="489">
        <v>0</v>
      </c>
      <c r="U98" s="489">
        <v>0</v>
      </c>
      <c r="V98" s="489">
        <v>0</v>
      </c>
      <c r="W98" s="489">
        <v>0</v>
      </c>
      <c r="X98" s="489">
        <v>1899</v>
      </c>
      <c r="Y98" s="489">
        <v>58075</v>
      </c>
      <c r="Z98" s="489">
        <v>0</v>
      </c>
      <c r="AA98" s="489">
        <v>0</v>
      </c>
      <c r="AB98" s="489">
        <v>0</v>
      </c>
      <c r="AC98" s="489">
        <v>0</v>
      </c>
      <c r="AD98" s="223" t="str">
        <f>FHD_NOTE_P_37</f>
        <v>Указывается общее изменение стоимости основных фондов.</v>
      </c>
      <c r="AE98" s="475"/>
      <c r="AF98" s="1424"/>
      <c r="AG98" s="1424"/>
      <c r="AL98" s="1424"/>
      <c r="AO98" s="476"/>
      <c r="AU98" s="1420"/>
      <c r="AV98" s="1420"/>
      <c r="AW98" s="1420"/>
      <c r="AX98" s="1420"/>
      <c r="AY98" s="1420"/>
      <c r="AZ98" s="961">
        <v>19</v>
      </c>
    </row>
    <row r="99" spans="1:52" s="1154" customFormat="1" ht="19.899999999999999" customHeight="1">
      <c r="A99" s="839"/>
      <c r="C99" s="1424"/>
      <c r="D99" s="1426"/>
      <c r="E99" s="478" t="str">
        <f>FHD_NUM_P_38</f>
        <v>5.1</v>
      </c>
      <c r="F99" s="1312" t="str">
        <f>FHD_P_38</f>
        <v>Изменение стоимости основных фондов за счет:</v>
      </c>
      <c r="G99" s="1631" t="s">
        <v>636</v>
      </c>
      <c r="H99" s="489"/>
      <c r="I99" s="489">
        <v>0</v>
      </c>
      <c r="J99" s="489">
        <v>0</v>
      </c>
      <c r="K99" s="489">
        <v>0</v>
      </c>
      <c r="L99" s="489">
        <v>0</v>
      </c>
      <c r="M99" s="489">
        <v>0</v>
      </c>
      <c r="N99" s="489">
        <v>0</v>
      </c>
      <c r="O99" s="489">
        <v>0</v>
      </c>
      <c r="P99" s="489">
        <v>0</v>
      </c>
      <c r="Q99" s="489">
        <v>0</v>
      </c>
      <c r="R99" s="489">
        <v>0</v>
      </c>
      <c r="S99" s="489">
        <v>0</v>
      </c>
      <c r="T99" s="489">
        <v>0</v>
      </c>
      <c r="U99" s="489">
        <v>0</v>
      </c>
      <c r="V99" s="489">
        <v>0</v>
      </c>
      <c r="W99" s="489">
        <v>0</v>
      </c>
      <c r="X99" s="489">
        <v>0</v>
      </c>
      <c r="Y99" s="489">
        <v>0</v>
      </c>
      <c r="Z99" s="489">
        <v>0</v>
      </c>
      <c r="AA99" s="489">
        <v>0</v>
      </c>
      <c r="AB99" s="489">
        <v>0</v>
      </c>
      <c r="AC99" s="489">
        <v>0</v>
      </c>
      <c r="AD99" s="223" t="str">
        <f>FHD_NOTE_P_38</f>
        <v>Указываются общее изменение стоимости основных фондов за счет их ввода в эксплуатацию и вывода из эксплуатации.</v>
      </c>
      <c r="AE99" s="475"/>
      <c r="AF99" s="1424"/>
      <c r="AG99" s="1424"/>
      <c r="AL99" s="1424"/>
      <c r="AO99" s="476"/>
      <c r="AU99" s="1420"/>
      <c r="AV99" s="1420"/>
      <c r="AW99" s="1420"/>
      <c r="AX99" s="1420"/>
      <c r="AY99" s="1420"/>
      <c r="AZ99" s="961">
        <v>19</v>
      </c>
    </row>
    <row r="100" spans="1:52" s="1154" customFormat="1" ht="20.25" customHeight="1">
      <c r="A100" s="839"/>
      <c r="C100" s="1424"/>
      <c r="D100" s="1426"/>
      <c r="E100" s="478" t="str">
        <f>FHD_NUM_P_39</f>
        <v>5.1.1</v>
      </c>
      <c r="F100" s="1438" t="str">
        <f>FHD_P_39</f>
        <v>Изменения стоимости основных фондов за счет их ввода в эксплуатацию</v>
      </c>
      <c r="G100" s="1822" t="s">
        <v>636</v>
      </c>
      <c r="H100" s="489"/>
      <c r="I100" s="489">
        <v>0</v>
      </c>
      <c r="J100" s="489">
        <v>68048</v>
      </c>
      <c r="K100" s="489">
        <v>0</v>
      </c>
      <c r="L100" s="489">
        <v>35902</v>
      </c>
      <c r="M100" s="489">
        <v>0</v>
      </c>
      <c r="N100" s="489">
        <v>0</v>
      </c>
      <c r="O100" s="489">
        <v>0</v>
      </c>
      <c r="P100" s="489">
        <v>0</v>
      </c>
      <c r="Q100" s="489">
        <v>9343</v>
      </c>
      <c r="R100" s="489">
        <v>0</v>
      </c>
      <c r="S100" s="489">
        <v>0</v>
      </c>
      <c r="T100" s="489">
        <v>0</v>
      </c>
      <c r="U100" s="489">
        <v>0</v>
      </c>
      <c r="V100" s="489">
        <v>0</v>
      </c>
      <c r="W100" s="489">
        <v>0</v>
      </c>
      <c r="X100" s="489">
        <v>1987</v>
      </c>
      <c r="Y100" s="489">
        <v>66782</v>
      </c>
      <c r="Z100" s="489">
        <v>0</v>
      </c>
      <c r="AA100" s="489">
        <v>0</v>
      </c>
      <c r="AB100" s="489">
        <v>0</v>
      </c>
      <c r="AC100" s="489">
        <v>0</v>
      </c>
      <c r="AD100" s="223" t="str">
        <f>FHD_NOTE_P_39</f>
        <v>Указываются изменение стоимости основных фондов за счет их ввода в эксплуатацию.</v>
      </c>
      <c r="AE100" s="475"/>
      <c r="AF100" s="1424"/>
      <c r="AG100" s="1424"/>
      <c r="AL100" s="1424"/>
      <c r="AO100" s="476"/>
      <c r="AU100" s="1420"/>
      <c r="AV100" s="1420"/>
      <c r="AW100" s="1420"/>
      <c r="AX100" s="1420"/>
      <c r="AY100" s="1420"/>
      <c r="AZ100" s="961">
        <v>19</v>
      </c>
    </row>
    <row r="101" spans="1:52" s="1154" customFormat="1" ht="20.25" customHeight="1">
      <c r="A101" s="839"/>
      <c r="C101" s="1424"/>
      <c r="D101" s="1426"/>
      <c r="E101" s="478" t="str">
        <f>FHD_NUM_P_40</f>
        <v>5.1.2</v>
      </c>
      <c r="F101" s="1826" t="str">
        <f>FHD_P_40</f>
        <v>Изменения стоимости основных фондов за счет их вывода в эксплуатацию</v>
      </c>
      <c r="G101" s="1821" t="s">
        <v>636</v>
      </c>
      <c r="H101" s="828"/>
      <c r="I101" s="489">
        <v>0</v>
      </c>
      <c r="J101" s="828">
        <v>3930</v>
      </c>
      <c r="K101" s="828">
        <v>0</v>
      </c>
      <c r="L101" s="828">
        <v>10575</v>
      </c>
      <c r="M101" s="828">
        <v>0</v>
      </c>
      <c r="N101" s="828">
        <v>0</v>
      </c>
      <c r="O101" s="828">
        <v>0</v>
      </c>
      <c r="P101" s="828">
        <v>0</v>
      </c>
      <c r="Q101" s="828">
        <v>4388</v>
      </c>
      <c r="R101" s="828">
        <v>0</v>
      </c>
      <c r="S101" s="828">
        <v>0</v>
      </c>
      <c r="T101" s="828">
        <v>0</v>
      </c>
      <c r="U101" s="828">
        <v>0</v>
      </c>
      <c r="V101" s="828">
        <v>0</v>
      </c>
      <c r="W101" s="828">
        <v>0</v>
      </c>
      <c r="X101" s="828">
        <v>88</v>
      </c>
      <c r="Y101" s="828">
        <v>8707</v>
      </c>
      <c r="Z101" s="828">
        <v>0</v>
      </c>
      <c r="AA101" s="828">
        <v>0</v>
      </c>
      <c r="AB101" s="828">
        <v>0</v>
      </c>
      <c r="AC101" s="828">
        <v>0</v>
      </c>
      <c r="AD101" s="223" t="str">
        <f>FHD_NOTE_P_40</f>
        <v>Указываются изменение стоимости основных фондов за счет их вывода из эксплуатации.</v>
      </c>
      <c r="AE101" s="475"/>
      <c r="AF101" s="1424"/>
      <c r="AG101" s="1424"/>
      <c r="AL101" s="1424"/>
      <c r="AO101" s="476"/>
      <c r="AU101" s="1420"/>
      <c r="AV101" s="1420"/>
      <c r="AW101" s="1420"/>
      <c r="AX101" s="1420"/>
      <c r="AY101" s="1420"/>
      <c r="AZ101" s="961">
        <v>19</v>
      </c>
    </row>
    <row r="102" spans="1:52" s="1154" customFormat="1" ht="19.899999999999999" customHeight="1">
      <c r="A102" s="839"/>
      <c r="C102" s="1424"/>
      <c r="D102" s="1426"/>
      <c r="E102" s="478" t="str">
        <f>FHD_NUM_P_41</f>
        <v>5.2</v>
      </c>
      <c r="F102" s="1825" t="str">
        <f>FHD_P_41</f>
        <v>Изменение стоимости основных фондов за счет их переоценки</v>
      </c>
      <c r="G102" s="1821" t="s">
        <v>636</v>
      </c>
      <c r="H102" s="828"/>
      <c r="I102" s="489">
        <v>0</v>
      </c>
      <c r="J102" s="828">
        <v>0</v>
      </c>
      <c r="K102" s="828">
        <v>0</v>
      </c>
      <c r="L102" s="828">
        <v>0</v>
      </c>
      <c r="M102" s="828">
        <v>0</v>
      </c>
      <c r="N102" s="828">
        <v>0</v>
      </c>
      <c r="O102" s="828">
        <v>0</v>
      </c>
      <c r="P102" s="828">
        <v>0</v>
      </c>
      <c r="Q102" s="828">
        <v>0</v>
      </c>
      <c r="R102" s="828">
        <v>0</v>
      </c>
      <c r="S102" s="828">
        <v>0</v>
      </c>
      <c r="T102" s="828">
        <v>0</v>
      </c>
      <c r="U102" s="828">
        <v>0</v>
      </c>
      <c r="V102" s="828">
        <v>0</v>
      </c>
      <c r="W102" s="828">
        <v>0</v>
      </c>
      <c r="X102" s="828">
        <v>0</v>
      </c>
      <c r="Y102" s="828">
        <v>0</v>
      </c>
      <c r="Z102" s="828">
        <v>0</v>
      </c>
      <c r="AA102" s="828">
        <v>0</v>
      </c>
      <c r="AB102" s="828">
        <v>0</v>
      </c>
      <c r="AC102" s="828">
        <v>0</v>
      </c>
      <c r="AD102" s="223" t="str">
        <f>FHD_NOTE_P_41</f>
        <v/>
      </c>
      <c r="AE102" s="475"/>
      <c r="AF102" s="1424"/>
      <c r="AG102" s="1424"/>
      <c r="AL102" s="1424"/>
      <c r="AO102" s="476"/>
      <c r="AU102" s="1420"/>
      <c r="AV102" s="1420"/>
      <c r="AW102" s="1420"/>
      <c r="AX102" s="1420"/>
      <c r="AY102" s="1420"/>
      <c r="AZ102" s="961">
        <v>19</v>
      </c>
    </row>
    <row r="103" spans="1:52" s="1154" customFormat="1" ht="20.25" hidden="1" customHeight="1">
      <c r="A103" s="841" t="s">
        <v>673</v>
      </c>
      <c r="C103" s="1424" t="s">
        <v>9</v>
      </c>
      <c r="D103" s="1426"/>
      <c r="E103" s="478" t="str">
        <f>FHD_NUM_P_42</f>
        <v/>
      </c>
      <c r="F103" s="1823" t="str">
        <f>FHD_P_42</f>
        <v/>
      </c>
      <c r="G103" s="1821" t="s">
        <v>636</v>
      </c>
      <c r="H103" s="828"/>
      <c r="I103" s="489"/>
      <c r="J103" s="828"/>
      <c r="K103" s="828"/>
      <c r="L103" s="828"/>
      <c r="M103" s="828"/>
      <c r="N103" s="828"/>
      <c r="O103" s="828"/>
      <c r="P103" s="828"/>
      <c r="Q103" s="828"/>
      <c r="R103" s="828"/>
      <c r="S103" s="828"/>
      <c r="T103" s="828"/>
      <c r="U103" s="828"/>
      <c r="V103" s="828"/>
      <c r="W103" s="828"/>
      <c r="X103" s="828"/>
      <c r="Y103" s="828"/>
      <c r="Z103" s="828"/>
      <c r="AA103" s="828"/>
      <c r="AB103" s="828"/>
      <c r="AC103" s="828"/>
      <c r="AD103" s="223" t="str">
        <f>FHD_NOTE_P_42</f>
        <v/>
      </c>
      <c r="AE103" s="475"/>
      <c r="AF103" s="1424"/>
      <c r="AG103" s="1424"/>
      <c r="AL103" s="1424"/>
      <c r="AO103" s="476"/>
      <c r="AU103" s="1420"/>
      <c r="AV103" s="1420"/>
      <c r="AW103" s="1420"/>
      <c r="AX103" s="1420"/>
      <c r="AY103" s="1420"/>
      <c r="AZ103" s="961">
        <v>19</v>
      </c>
    </row>
    <row r="104" spans="1:52" s="1154" customFormat="1" ht="20.25" customHeight="1">
      <c r="A104" s="839"/>
      <c r="C104" s="1424" t="s">
        <v>674</v>
      </c>
      <c r="D104" s="1426"/>
      <c r="E104" s="478" t="str">
        <f>FHD_NUM_P_43</f>
        <v>6</v>
      </c>
      <c r="F104" s="1633" t="str">
        <f>FHD_P_43</f>
        <v>Годовая бухгалтерская (финансовая) отчетность, включая бухгалтерский баланс и приложения к нему</v>
      </c>
      <c r="G104" s="1824" t="s">
        <v>390</v>
      </c>
      <c r="H104" s="891"/>
      <c r="I104" s="2243" t="s">
        <v>675</v>
      </c>
      <c r="J104" s="2244" t="s">
        <v>675</v>
      </c>
      <c r="K104" s="2244" t="s">
        <v>675</v>
      </c>
      <c r="L104" s="2244" t="s">
        <v>675</v>
      </c>
      <c r="M104" s="2244" t="s">
        <v>675</v>
      </c>
      <c r="N104" s="2244" t="s">
        <v>675</v>
      </c>
      <c r="O104" s="2244" t="s">
        <v>675</v>
      </c>
      <c r="P104" s="2244" t="s">
        <v>675</v>
      </c>
      <c r="Q104" s="2244" t="s">
        <v>675</v>
      </c>
      <c r="R104" s="2244" t="s">
        <v>675</v>
      </c>
      <c r="S104" s="2244" t="s">
        <v>675</v>
      </c>
      <c r="T104" s="2244" t="s">
        <v>675</v>
      </c>
      <c r="U104" s="2244" t="s">
        <v>675</v>
      </c>
      <c r="V104" s="2244" t="s">
        <v>675</v>
      </c>
      <c r="W104" s="2244" t="s">
        <v>675</v>
      </c>
      <c r="X104" s="2244" t="s">
        <v>675</v>
      </c>
      <c r="Y104" s="2244" t="s">
        <v>675</v>
      </c>
      <c r="Z104" s="2244" t="s">
        <v>675</v>
      </c>
      <c r="AA104" s="2244" t="s">
        <v>675</v>
      </c>
      <c r="AB104" s="2244" t="s">
        <v>675</v>
      </c>
      <c r="AC104" s="2244" t="s">
        <v>675</v>
      </c>
      <c r="AD104" s="223"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AE104" s="475"/>
      <c r="AF104" s="1424"/>
      <c r="AG104" s="1424"/>
      <c r="AL104" s="1424"/>
      <c r="AO104" s="476"/>
      <c r="AU104" s="1420"/>
      <c r="AV104" s="1420"/>
      <c r="AW104" s="1420"/>
      <c r="AX104" s="1420"/>
      <c r="AY104" s="1420"/>
      <c r="AZ104" s="961">
        <v>19</v>
      </c>
    </row>
    <row r="105" spans="1:52" s="1154" customFormat="1" ht="18.75" hidden="1" customHeight="1">
      <c r="A105" s="2480" t="s">
        <v>676</v>
      </c>
      <c r="C105" s="646"/>
      <c r="D105" s="644"/>
      <c r="E105" s="478" t="str">
        <f>FHD_NUM_P_44</f>
        <v/>
      </c>
      <c r="F105" s="1633" t="str">
        <f>FHD_P_44</f>
        <v/>
      </c>
      <c r="G105" s="1634" t="s">
        <v>677</v>
      </c>
      <c r="H105" s="829"/>
      <c r="I105" s="508"/>
      <c r="J105" s="829"/>
      <c r="K105" s="829"/>
      <c r="L105" s="829"/>
      <c r="M105" s="829"/>
      <c r="N105" s="829"/>
      <c r="O105" s="829"/>
      <c r="P105" s="829"/>
      <c r="Q105" s="829"/>
      <c r="R105" s="829"/>
      <c r="S105" s="829"/>
      <c r="T105" s="829"/>
      <c r="U105" s="829"/>
      <c r="V105" s="829"/>
      <c r="W105" s="829"/>
      <c r="X105" s="829"/>
      <c r="Y105" s="829"/>
      <c r="Z105" s="829"/>
      <c r="AA105" s="829"/>
      <c r="AB105" s="829"/>
      <c r="AC105" s="829"/>
      <c r="AD105" s="223" t="str">
        <f>FHD_NOTE_P_44</f>
        <v/>
      </c>
      <c r="AE105" s="645"/>
      <c r="AF105" s="646"/>
      <c r="AG105" s="646"/>
      <c r="AL105" s="646"/>
      <c r="AO105" s="647"/>
      <c r="AU105" s="648"/>
      <c r="AV105" s="648"/>
      <c r="AW105" s="648"/>
      <c r="AX105" s="648"/>
      <c r="AY105" s="648"/>
      <c r="AZ105" s="798">
        <v>0</v>
      </c>
    </row>
    <row r="106" spans="1:52" s="1154" customFormat="1" ht="18.75" hidden="1" customHeight="1">
      <c r="A106" s="2480"/>
      <c r="C106" s="646"/>
      <c r="D106" s="644"/>
      <c r="E106" s="478" t="str">
        <f>FHD_NUM_P_45</f>
        <v/>
      </c>
      <c r="F106" s="1633" t="str">
        <f>FHD_P_45</f>
        <v/>
      </c>
      <c r="G106" s="1634" t="s">
        <v>677</v>
      </c>
      <c r="H106" s="829"/>
      <c r="I106" s="508"/>
      <c r="J106" s="829"/>
      <c r="K106" s="829"/>
      <c r="L106" s="829"/>
      <c r="M106" s="829"/>
      <c r="N106" s="829"/>
      <c r="O106" s="829"/>
      <c r="P106" s="829"/>
      <c r="Q106" s="829"/>
      <c r="R106" s="829"/>
      <c r="S106" s="829"/>
      <c r="T106" s="829"/>
      <c r="U106" s="829"/>
      <c r="V106" s="829"/>
      <c r="W106" s="829"/>
      <c r="X106" s="829"/>
      <c r="Y106" s="829"/>
      <c r="Z106" s="829"/>
      <c r="AA106" s="829"/>
      <c r="AB106" s="829"/>
      <c r="AC106" s="829"/>
      <c r="AD106" s="223" t="str">
        <f>FHD_NOTE_P_45</f>
        <v/>
      </c>
      <c r="AE106" s="645"/>
      <c r="AF106" s="646"/>
      <c r="AG106" s="646"/>
      <c r="AL106" s="646"/>
      <c r="AO106" s="647"/>
      <c r="AU106" s="648"/>
      <c r="AV106" s="648"/>
      <c r="AW106" s="648"/>
      <c r="AX106" s="648"/>
      <c r="AY106" s="648"/>
      <c r="AZ106" s="798">
        <v>0</v>
      </c>
    </row>
    <row r="107" spans="1:52" s="1154" customFormat="1" ht="18.75" hidden="1" customHeight="1">
      <c r="A107" s="2480"/>
      <c r="C107" s="646"/>
      <c r="D107" s="649"/>
      <c r="E107" s="478" t="str">
        <f>FHD_NUM_P_46</f>
        <v/>
      </c>
      <c r="F107" s="1633" t="str">
        <f>FHD_P_46</f>
        <v/>
      </c>
      <c r="G107" s="1634" t="s">
        <v>677</v>
      </c>
      <c r="H107" s="829"/>
      <c r="I107" s="508"/>
      <c r="J107" s="829"/>
      <c r="K107" s="829"/>
      <c r="L107" s="829"/>
      <c r="M107" s="829"/>
      <c r="N107" s="829"/>
      <c r="O107" s="829"/>
      <c r="P107" s="829"/>
      <c r="Q107" s="829"/>
      <c r="R107" s="829"/>
      <c r="S107" s="829"/>
      <c r="T107" s="829"/>
      <c r="U107" s="829"/>
      <c r="V107" s="829"/>
      <c r="W107" s="829"/>
      <c r="X107" s="829"/>
      <c r="Y107" s="829"/>
      <c r="Z107" s="829"/>
      <c r="AA107" s="829"/>
      <c r="AB107" s="829"/>
      <c r="AC107" s="829"/>
      <c r="AD107" s="223" t="str">
        <f>FHD_NOTE_P_46</f>
        <v/>
      </c>
      <c r="AE107" s="645"/>
      <c r="AF107" s="646"/>
      <c r="AG107" s="646"/>
      <c r="AL107" s="646"/>
      <c r="AO107" s="647"/>
      <c r="AU107" s="648"/>
      <c r="AV107" s="648"/>
      <c r="AW107" s="648"/>
      <c r="AX107" s="648"/>
      <c r="AY107" s="648"/>
      <c r="AZ107" s="798">
        <v>0</v>
      </c>
    </row>
    <row r="108" spans="1:52" s="1154" customFormat="1" ht="18.75" hidden="1" customHeight="1">
      <c r="A108" s="2480"/>
      <c r="C108" s="646"/>
      <c r="D108" s="644"/>
      <c r="E108" s="478" t="str">
        <f>FHD_NUM_P_47</f>
        <v/>
      </c>
      <c r="F108" s="1633" t="str">
        <f>FHD_P_47</f>
        <v/>
      </c>
      <c r="G108" s="1634" t="s">
        <v>677</v>
      </c>
      <c r="H108" s="829"/>
      <c r="I108" s="508"/>
      <c r="J108" s="829"/>
      <c r="K108" s="829"/>
      <c r="L108" s="829"/>
      <c r="M108" s="829"/>
      <c r="N108" s="829"/>
      <c r="O108" s="829"/>
      <c r="P108" s="829"/>
      <c r="Q108" s="829"/>
      <c r="R108" s="829"/>
      <c r="S108" s="829"/>
      <c r="T108" s="829"/>
      <c r="U108" s="829"/>
      <c r="V108" s="829"/>
      <c r="W108" s="829"/>
      <c r="X108" s="829"/>
      <c r="Y108" s="829"/>
      <c r="Z108" s="829"/>
      <c r="AA108" s="829"/>
      <c r="AB108" s="829"/>
      <c r="AC108" s="829"/>
      <c r="AD108" s="223" t="str">
        <f>FHD_NOTE_P_47</f>
        <v/>
      </c>
      <c r="AE108" s="645"/>
      <c r="AF108" s="646"/>
      <c r="AG108" s="646"/>
      <c r="AL108" s="646"/>
      <c r="AO108" s="647"/>
      <c r="AU108" s="648"/>
      <c r="AV108" s="648"/>
      <c r="AW108" s="648"/>
      <c r="AX108" s="648"/>
      <c r="AY108" s="648"/>
      <c r="AZ108" s="798">
        <v>0</v>
      </c>
    </row>
    <row r="109" spans="1:52" s="1423" customFormat="1" ht="18.75" hidden="1" customHeight="1">
      <c r="A109" s="2480"/>
      <c r="B109" s="798"/>
      <c r="C109" s="646"/>
      <c r="D109" s="644"/>
      <c r="E109" s="478" t="str">
        <f>FHD_NUM_P_48</f>
        <v/>
      </c>
      <c r="F109" s="1633" t="str">
        <f>FHD_P_48</f>
        <v/>
      </c>
      <c r="G109" s="1634" t="s">
        <v>677</v>
      </c>
      <c r="H109" s="829"/>
      <c r="I109" s="508"/>
      <c r="J109" s="829"/>
      <c r="K109" s="829"/>
      <c r="L109" s="829"/>
      <c r="M109" s="829"/>
      <c r="N109" s="829"/>
      <c r="O109" s="829"/>
      <c r="P109" s="829"/>
      <c r="Q109" s="829"/>
      <c r="R109" s="829"/>
      <c r="S109" s="829"/>
      <c r="T109" s="829"/>
      <c r="U109" s="829"/>
      <c r="V109" s="829"/>
      <c r="W109" s="829"/>
      <c r="X109" s="829"/>
      <c r="Y109" s="829"/>
      <c r="Z109" s="829"/>
      <c r="AA109" s="829"/>
      <c r="AB109" s="829"/>
      <c r="AC109" s="829"/>
      <c r="AD109" s="223" t="str">
        <f>FHD_NOTE_P_48</f>
        <v/>
      </c>
      <c r="AE109" s="645"/>
      <c r="AF109" s="646"/>
      <c r="AG109" s="646"/>
      <c r="AH109" s="798"/>
      <c r="AI109" s="798"/>
      <c r="AJ109" s="798"/>
      <c r="AK109" s="798"/>
      <c r="AL109" s="646"/>
      <c r="AM109" s="798"/>
      <c r="AN109" s="798"/>
      <c r="AO109" s="647"/>
      <c r="AP109" s="798"/>
      <c r="AQ109" s="798"/>
      <c r="AR109" s="798"/>
      <c r="AS109" s="798"/>
      <c r="AT109" s="798"/>
      <c r="AU109" s="648"/>
      <c r="AV109" s="648"/>
      <c r="AW109" s="648"/>
      <c r="AX109" s="648"/>
      <c r="AY109" s="648"/>
      <c r="AZ109" s="650">
        <v>0</v>
      </c>
    </row>
    <row r="110" spans="1:52" s="1423" customFormat="1" ht="18.75" hidden="1" customHeight="1">
      <c r="A110" s="2480"/>
      <c r="B110" s="798"/>
      <c r="C110" s="646"/>
      <c r="D110" s="644"/>
      <c r="E110" s="478" t="str">
        <f>FHD_NUM_P_49</f>
        <v/>
      </c>
      <c r="F110" s="1633" t="str">
        <f>FHD_P_49</f>
        <v/>
      </c>
      <c r="G110" s="1634" t="s">
        <v>677</v>
      </c>
      <c r="H110" s="830">
        <f t="shared" ref="H110:AC110" si="17">SUM(H111:H112)</f>
        <v>0</v>
      </c>
      <c r="I110" s="656">
        <f t="shared" si="17"/>
        <v>0</v>
      </c>
      <c r="J110" s="830">
        <f t="shared" si="17"/>
        <v>0</v>
      </c>
      <c r="K110" s="830">
        <f t="shared" si="17"/>
        <v>0</v>
      </c>
      <c r="L110" s="830">
        <f t="shared" si="17"/>
        <v>0</v>
      </c>
      <c r="M110" s="830">
        <f t="shared" si="17"/>
        <v>0</v>
      </c>
      <c r="N110" s="830">
        <f t="shared" si="17"/>
        <v>0</v>
      </c>
      <c r="O110" s="830">
        <f t="shared" si="17"/>
        <v>0</v>
      </c>
      <c r="P110" s="830">
        <f t="shared" si="17"/>
        <v>0</v>
      </c>
      <c r="Q110" s="830">
        <f t="shared" si="17"/>
        <v>0</v>
      </c>
      <c r="R110" s="830">
        <f t="shared" si="17"/>
        <v>0</v>
      </c>
      <c r="S110" s="830">
        <f t="shared" si="17"/>
        <v>0</v>
      </c>
      <c r="T110" s="830">
        <f t="shared" si="17"/>
        <v>0</v>
      </c>
      <c r="U110" s="830">
        <f t="shared" si="17"/>
        <v>0</v>
      </c>
      <c r="V110" s="830">
        <f t="shared" si="17"/>
        <v>0</v>
      </c>
      <c r="W110" s="830">
        <f t="shared" si="17"/>
        <v>0</v>
      </c>
      <c r="X110" s="830">
        <f t="shared" si="17"/>
        <v>0</v>
      </c>
      <c r="Y110" s="830">
        <f t="shared" si="17"/>
        <v>0</v>
      </c>
      <c r="Z110" s="830">
        <f t="shared" si="17"/>
        <v>0</v>
      </c>
      <c r="AA110" s="830">
        <f t="shared" si="17"/>
        <v>0</v>
      </c>
      <c r="AB110" s="830">
        <f t="shared" si="17"/>
        <v>0</v>
      </c>
      <c r="AC110" s="830">
        <f t="shared" si="17"/>
        <v>0</v>
      </c>
      <c r="AD110" s="223" t="str">
        <f>FHD_NOTE_P_49</f>
        <v/>
      </c>
      <c r="AE110" s="645"/>
      <c r="AF110" s="646"/>
      <c r="AG110" s="646"/>
      <c r="AH110" s="798"/>
      <c r="AI110" s="798"/>
      <c r="AJ110" s="798"/>
      <c r="AK110" s="798"/>
      <c r="AL110" s="646"/>
      <c r="AM110" s="798"/>
      <c r="AN110" s="798"/>
      <c r="AO110" s="647"/>
      <c r="AP110" s="798"/>
      <c r="AQ110" s="798"/>
      <c r="AR110" s="798"/>
      <c r="AS110" s="798"/>
      <c r="AT110" s="798"/>
      <c r="AU110" s="648"/>
      <c r="AV110" s="648"/>
      <c r="AW110" s="648"/>
      <c r="AX110" s="648"/>
      <c r="AY110" s="648"/>
      <c r="AZ110" s="650">
        <v>0</v>
      </c>
    </row>
    <row r="111" spans="1:52" s="1423" customFormat="1" ht="18.75" hidden="1" customHeight="1">
      <c r="A111" s="2480"/>
      <c r="B111" s="798"/>
      <c r="C111" s="646"/>
      <c r="D111" s="644"/>
      <c r="E111" s="478" t="str">
        <f>FHD_NUM_P_50</f>
        <v/>
      </c>
      <c r="F111" s="1633" t="str">
        <f>FHD_P_50</f>
        <v/>
      </c>
      <c r="G111" s="1634" t="s">
        <v>677</v>
      </c>
      <c r="H111" s="829"/>
      <c r="I111" s="508"/>
      <c r="J111" s="829"/>
      <c r="K111" s="829"/>
      <c r="L111" s="829"/>
      <c r="M111" s="829"/>
      <c r="N111" s="829"/>
      <c r="O111" s="829"/>
      <c r="P111" s="829"/>
      <c r="Q111" s="829"/>
      <c r="R111" s="829"/>
      <c r="S111" s="829"/>
      <c r="T111" s="829"/>
      <c r="U111" s="829"/>
      <c r="V111" s="829"/>
      <c r="W111" s="829"/>
      <c r="X111" s="829"/>
      <c r="Y111" s="829"/>
      <c r="Z111" s="829"/>
      <c r="AA111" s="829"/>
      <c r="AB111" s="829"/>
      <c r="AC111" s="829"/>
      <c r="AD111" s="223" t="str">
        <f>FHD_NOTE_P_50</f>
        <v/>
      </c>
      <c r="AE111" s="645"/>
      <c r="AF111" s="646"/>
      <c r="AG111" s="646"/>
      <c r="AH111" s="798"/>
      <c r="AI111" s="798"/>
      <c r="AJ111" s="798"/>
      <c r="AK111" s="798"/>
      <c r="AL111" s="646"/>
      <c r="AM111" s="798"/>
      <c r="AN111" s="798"/>
      <c r="AO111" s="647"/>
      <c r="AP111" s="798"/>
      <c r="AQ111" s="798"/>
      <c r="AR111" s="798"/>
      <c r="AS111" s="798"/>
      <c r="AT111" s="798"/>
      <c r="AU111" s="648"/>
      <c r="AV111" s="648"/>
      <c r="AW111" s="648"/>
      <c r="AX111" s="648"/>
      <c r="AY111" s="648"/>
      <c r="AZ111" s="650">
        <v>0</v>
      </c>
    </row>
    <row r="112" spans="1:52" s="1423" customFormat="1" ht="18.75" hidden="1" customHeight="1">
      <c r="A112" s="2480"/>
      <c r="B112" s="798"/>
      <c r="C112" s="646"/>
      <c r="D112" s="644"/>
      <c r="E112" s="478" t="str">
        <f>FHD_NUM_P_51</f>
        <v/>
      </c>
      <c r="F112" s="1633" t="str">
        <f>FHD_P_51</f>
        <v/>
      </c>
      <c r="G112" s="1634" t="s">
        <v>677</v>
      </c>
      <c r="H112" s="829"/>
      <c r="I112" s="508"/>
      <c r="J112" s="829"/>
      <c r="K112" s="829"/>
      <c r="L112" s="829"/>
      <c r="M112" s="829"/>
      <c r="N112" s="829"/>
      <c r="O112" s="829"/>
      <c r="P112" s="829"/>
      <c r="Q112" s="829"/>
      <c r="R112" s="829"/>
      <c r="S112" s="829"/>
      <c r="T112" s="829"/>
      <c r="U112" s="829"/>
      <c r="V112" s="829"/>
      <c r="W112" s="829"/>
      <c r="X112" s="829"/>
      <c r="Y112" s="829"/>
      <c r="Z112" s="829"/>
      <c r="AA112" s="829"/>
      <c r="AB112" s="829"/>
      <c r="AC112" s="829"/>
      <c r="AD112" s="223" t="str">
        <f>FHD_NOTE_P_51</f>
        <v/>
      </c>
      <c r="AE112" s="645"/>
      <c r="AF112" s="646"/>
      <c r="AG112" s="646"/>
      <c r="AH112" s="798"/>
      <c r="AI112" s="798"/>
      <c r="AJ112" s="798"/>
      <c r="AK112" s="798"/>
      <c r="AL112" s="646"/>
      <c r="AM112" s="798"/>
      <c r="AN112" s="798"/>
      <c r="AO112" s="647"/>
      <c r="AP112" s="798"/>
      <c r="AQ112" s="798"/>
      <c r="AR112" s="798"/>
      <c r="AS112" s="798"/>
      <c r="AT112" s="798"/>
      <c r="AU112" s="648"/>
      <c r="AV112" s="648"/>
      <c r="AW112" s="648"/>
      <c r="AX112" s="648"/>
      <c r="AY112" s="648"/>
      <c r="AZ112" s="650">
        <v>0</v>
      </c>
    </row>
    <row r="113" spans="1:52" s="1423" customFormat="1" ht="18.75" hidden="1" customHeight="1">
      <c r="A113" s="2480"/>
      <c r="B113" s="798"/>
      <c r="C113" s="646"/>
      <c r="D113" s="644"/>
      <c r="E113" s="478" t="str">
        <f>FHD_NUM_P_52</f>
        <v/>
      </c>
      <c r="F113" s="1633" t="str">
        <f>FHD_P_52</f>
        <v/>
      </c>
      <c r="G113" s="1634" t="s">
        <v>642</v>
      </c>
      <c r="H113" s="828"/>
      <c r="I113" s="489"/>
      <c r="J113" s="828"/>
      <c r="K113" s="828"/>
      <c r="L113" s="828"/>
      <c r="M113" s="828"/>
      <c r="N113" s="828"/>
      <c r="O113" s="828"/>
      <c r="P113" s="828"/>
      <c r="Q113" s="828"/>
      <c r="R113" s="828"/>
      <c r="S113" s="828"/>
      <c r="T113" s="828"/>
      <c r="U113" s="828"/>
      <c r="V113" s="828"/>
      <c r="W113" s="828"/>
      <c r="X113" s="828"/>
      <c r="Y113" s="828"/>
      <c r="Z113" s="828"/>
      <c r="AA113" s="828"/>
      <c r="AB113" s="828"/>
      <c r="AC113" s="828"/>
      <c r="AD113" s="223" t="str">
        <f>FHD_NOTE_P_52</f>
        <v/>
      </c>
      <c r="AE113" s="645"/>
      <c r="AF113" s="646"/>
      <c r="AG113" s="646"/>
      <c r="AH113" s="798"/>
      <c r="AI113" s="798"/>
      <c r="AJ113" s="798"/>
      <c r="AK113" s="798"/>
      <c r="AL113" s="646"/>
      <c r="AM113" s="798"/>
      <c r="AN113" s="798"/>
      <c r="AO113" s="647"/>
      <c r="AP113" s="798"/>
      <c r="AQ113" s="798"/>
      <c r="AR113" s="798"/>
      <c r="AS113" s="798"/>
      <c r="AT113" s="798"/>
      <c r="AU113" s="648"/>
      <c r="AV113" s="648"/>
      <c r="AW113" s="648"/>
      <c r="AX113" s="648"/>
      <c r="AY113" s="648"/>
      <c r="AZ113" s="650">
        <v>0</v>
      </c>
    </row>
    <row r="114" spans="1:52" s="1154" customFormat="1" ht="18.75" hidden="1" customHeight="1">
      <c r="A114" s="2480" t="s">
        <v>678</v>
      </c>
      <c r="C114" s="646"/>
      <c r="D114" s="644"/>
      <c r="E114" s="478" t="str">
        <f>FHD_NUM_P_53</f>
        <v/>
      </c>
      <c r="F114" s="1633" t="str">
        <f>FHD_P_53</f>
        <v/>
      </c>
      <c r="G114" s="1634" t="s">
        <v>677</v>
      </c>
      <c r="H114" s="829"/>
      <c r="I114" s="508"/>
      <c r="J114" s="829"/>
      <c r="K114" s="829"/>
      <c r="L114" s="829"/>
      <c r="M114" s="829"/>
      <c r="N114" s="829"/>
      <c r="O114" s="829"/>
      <c r="P114" s="829"/>
      <c r="Q114" s="829"/>
      <c r="R114" s="829"/>
      <c r="S114" s="829"/>
      <c r="T114" s="829"/>
      <c r="U114" s="829"/>
      <c r="V114" s="829"/>
      <c r="W114" s="829"/>
      <c r="X114" s="829"/>
      <c r="Y114" s="829"/>
      <c r="Z114" s="829"/>
      <c r="AA114" s="829"/>
      <c r="AB114" s="829"/>
      <c r="AC114" s="829"/>
      <c r="AD114" s="223" t="str">
        <f>FHD_NOTE_P_53</f>
        <v/>
      </c>
      <c r="AE114" s="645"/>
      <c r="AF114" s="646"/>
      <c r="AG114" s="646"/>
      <c r="AL114" s="646"/>
      <c r="AO114" s="647"/>
      <c r="AU114" s="648"/>
      <c r="AV114" s="648"/>
      <c r="AW114" s="648"/>
      <c r="AX114" s="648"/>
      <c r="AY114" s="648"/>
      <c r="AZ114" s="798">
        <v>0</v>
      </c>
    </row>
    <row r="115" spans="1:52" s="1154" customFormat="1" ht="18.75" hidden="1" customHeight="1">
      <c r="A115" s="2480"/>
      <c r="C115" s="646"/>
      <c r="D115" s="644"/>
      <c r="E115" s="478" t="str">
        <f>FHD_NUM_P_54</f>
        <v/>
      </c>
      <c r="F115" s="1633" t="str">
        <f>FHD_P_54</f>
        <v/>
      </c>
      <c r="G115" s="1634" t="s">
        <v>677</v>
      </c>
      <c r="H115" s="829"/>
      <c r="I115" s="508"/>
      <c r="J115" s="829"/>
      <c r="K115" s="829"/>
      <c r="L115" s="829"/>
      <c r="M115" s="829"/>
      <c r="N115" s="829"/>
      <c r="O115" s="829"/>
      <c r="P115" s="829"/>
      <c r="Q115" s="829"/>
      <c r="R115" s="829"/>
      <c r="S115" s="829"/>
      <c r="T115" s="829"/>
      <c r="U115" s="829"/>
      <c r="V115" s="829"/>
      <c r="W115" s="829"/>
      <c r="X115" s="829"/>
      <c r="Y115" s="829"/>
      <c r="Z115" s="829"/>
      <c r="AA115" s="829"/>
      <c r="AB115" s="829"/>
      <c r="AC115" s="829"/>
      <c r="AD115" s="223" t="str">
        <f>FHD_NOTE_P_54</f>
        <v/>
      </c>
      <c r="AE115" s="645"/>
      <c r="AF115" s="646"/>
      <c r="AG115" s="646"/>
      <c r="AL115" s="646"/>
      <c r="AO115" s="647"/>
      <c r="AU115" s="648"/>
      <c r="AV115" s="648"/>
      <c r="AW115" s="648"/>
      <c r="AX115" s="648"/>
      <c r="AY115" s="648"/>
      <c r="AZ115" s="798">
        <v>0</v>
      </c>
    </row>
    <row r="116" spans="1:52" s="1154" customFormat="1" ht="18.75" hidden="1" customHeight="1">
      <c r="A116" s="2480"/>
      <c r="C116" s="646"/>
      <c r="D116" s="649"/>
      <c r="E116" s="478" t="str">
        <f>FHD_NUM_P_55</f>
        <v/>
      </c>
      <c r="F116" s="1633" t="str">
        <f>FHD_P_55</f>
        <v/>
      </c>
      <c r="G116" s="1637"/>
      <c r="H116" s="829"/>
      <c r="I116" s="508"/>
      <c r="J116" s="829"/>
      <c r="K116" s="829"/>
      <c r="L116" s="829"/>
      <c r="M116" s="829"/>
      <c r="N116" s="829"/>
      <c r="O116" s="829"/>
      <c r="P116" s="829"/>
      <c r="Q116" s="829"/>
      <c r="R116" s="829"/>
      <c r="S116" s="829"/>
      <c r="T116" s="829"/>
      <c r="U116" s="829"/>
      <c r="V116" s="829"/>
      <c r="W116" s="829"/>
      <c r="X116" s="829"/>
      <c r="Y116" s="829"/>
      <c r="Z116" s="829"/>
      <c r="AA116" s="829"/>
      <c r="AB116" s="829"/>
      <c r="AC116" s="829"/>
      <c r="AD116" s="223" t="str">
        <f>FHD_NOTE_P_55</f>
        <v/>
      </c>
      <c r="AE116" s="645"/>
      <c r="AF116" s="646"/>
      <c r="AG116" s="646"/>
      <c r="AL116" s="646"/>
      <c r="AO116" s="647"/>
      <c r="AU116" s="648"/>
      <c r="AV116" s="648"/>
      <c r="AW116" s="648"/>
      <c r="AX116" s="648"/>
      <c r="AY116" s="648"/>
      <c r="AZ116" s="798">
        <v>0</v>
      </c>
    </row>
    <row r="117" spans="1:52" s="1154" customFormat="1" ht="18.75" hidden="1" customHeight="1">
      <c r="A117" s="2480"/>
      <c r="C117" s="646"/>
      <c r="D117" s="644"/>
      <c r="E117" s="478" t="str">
        <f>FHD_NUM_P_56</f>
        <v/>
      </c>
      <c r="F117" s="1633" t="str">
        <f>FHD_P_56</f>
        <v/>
      </c>
      <c r="G117" s="1634" t="s">
        <v>679</v>
      </c>
      <c r="H117" s="829"/>
      <c r="I117" s="508"/>
      <c r="J117" s="829"/>
      <c r="K117" s="829"/>
      <c r="L117" s="829"/>
      <c r="M117" s="829"/>
      <c r="N117" s="829"/>
      <c r="O117" s="829"/>
      <c r="P117" s="829"/>
      <c r="Q117" s="829"/>
      <c r="R117" s="829"/>
      <c r="S117" s="829"/>
      <c r="T117" s="829"/>
      <c r="U117" s="829"/>
      <c r="V117" s="829"/>
      <c r="W117" s="829"/>
      <c r="X117" s="829"/>
      <c r="Y117" s="829"/>
      <c r="Z117" s="829"/>
      <c r="AA117" s="829"/>
      <c r="AB117" s="829"/>
      <c r="AC117" s="829"/>
      <c r="AD117" s="223" t="str">
        <f>FHD_NOTE_P_56</f>
        <v/>
      </c>
      <c r="AE117" s="645"/>
      <c r="AF117" s="646"/>
      <c r="AG117" s="646"/>
      <c r="AL117" s="646"/>
      <c r="AO117" s="647"/>
      <c r="AU117" s="648"/>
      <c r="AV117" s="648"/>
      <c r="AW117" s="648"/>
      <c r="AX117" s="648"/>
      <c r="AY117" s="648"/>
      <c r="AZ117" s="798">
        <v>0</v>
      </c>
    </row>
    <row r="118" spans="1:52" s="1423" customFormat="1" ht="18.75" hidden="1" customHeight="1">
      <c r="A118" s="2480"/>
      <c r="B118" s="798"/>
      <c r="C118" s="646"/>
      <c r="D118" s="644"/>
      <c r="E118" s="478" t="str">
        <f>FHD_NUM_P_57</f>
        <v/>
      </c>
      <c r="F118" s="1633" t="str">
        <f>FHD_P_57</f>
        <v/>
      </c>
      <c r="G118" s="1634" t="s">
        <v>642</v>
      </c>
      <c r="H118" s="828"/>
      <c r="I118" s="489"/>
      <c r="J118" s="828"/>
      <c r="K118" s="828"/>
      <c r="L118" s="828"/>
      <c r="M118" s="828"/>
      <c r="N118" s="828"/>
      <c r="O118" s="828"/>
      <c r="P118" s="828"/>
      <c r="Q118" s="828"/>
      <c r="R118" s="828"/>
      <c r="S118" s="828"/>
      <c r="T118" s="828"/>
      <c r="U118" s="828"/>
      <c r="V118" s="828"/>
      <c r="W118" s="828"/>
      <c r="X118" s="828"/>
      <c r="Y118" s="828"/>
      <c r="Z118" s="828"/>
      <c r="AA118" s="828"/>
      <c r="AB118" s="828"/>
      <c r="AC118" s="828"/>
      <c r="AD118" s="223" t="str">
        <f>FHD_NOTE_P_57</f>
        <v/>
      </c>
      <c r="AE118" s="645"/>
      <c r="AF118" s="646"/>
      <c r="AG118" s="646"/>
      <c r="AH118" s="798"/>
      <c r="AI118" s="798"/>
      <c r="AJ118" s="798"/>
      <c r="AK118" s="798"/>
      <c r="AL118" s="646"/>
      <c r="AM118" s="798"/>
      <c r="AN118" s="798"/>
      <c r="AO118" s="647"/>
      <c r="AP118" s="798"/>
      <c r="AQ118" s="798"/>
      <c r="AR118" s="798"/>
      <c r="AS118" s="798"/>
      <c r="AT118" s="798"/>
      <c r="AU118" s="648"/>
      <c r="AV118" s="648"/>
      <c r="AW118" s="648"/>
      <c r="AX118" s="648"/>
      <c r="AY118" s="648"/>
      <c r="AZ118" s="650">
        <v>0</v>
      </c>
    </row>
    <row r="119" spans="1:52" ht="18.75" hidden="1" customHeight="1">
      <c r="A119" s="2480" t="s">
        <v>680</v>
      </c>
      <c r="D119" s="1426"/>
      <c r="E119" s="478" t="str">
        <f>FHD_NUM_P_58</f>
        <v/>
      </c>
      <c r="F119" s="1633" t="str">
        <f>FHD_P_58</f>
        <v/>
      </c>
      <c r="G119" s="1634" t="s">
        <v>677</v>
      </c>
      <c r="H119" s="829"/>
      <c r="I119" s="508"/>
      <c r="J119" s="829"/>
      <c r="K119" s="829"/>
      <c r="L119" s="829"/>
      <c r="M119" s="829"/>
      <c r="N119" s="829"/>
      <c r="O119" s="829"/>
      <c r="P119" s="829"/>
      <c r="Q119" s="829"/>
      <c r="R119" s="829"/>
      <c r="S119" s="829"/>
      <c r="T119" s="829"/>
      <c r="U119" s="829"/>
      <c r="V119" s="829"/>
      <c r="W119" s="829"/>
      <c r="X119" s="829"/>
      <c r="Y119" s="829"/>
      <c r="Z119" s="829"/>
      <c r="AA119" s="829"/>
      <c r="AB119" s="829"/>
      <c r="AC119" s="829"/>
      <c r="AD119" s="223" t="str">
        <f>FHD_NOTE_P_58</f>
        <v/>
      </c>
      <c r="AE119" s="475"/>
      <c r="AZ119" s="1419">
        <v>0</v>
      </c>
    </row>
    <row r="120" spans="1:52" ht="18.75" hidden="1" customHeight="1">
      <c r="A120" s="2480"/>
      <c r="D120" s="1426"/>
      <c r="E120" s="478" t="str">
        <f>FHD_NUM_P_59</f>
        <v/>
      </c>
      <c r="F120" s="1633" t="str">
        <f>FHD_P_59</f>
        <v/>
      </c>
      <c r="G120" s="1634" t="s">
        <v>677</v>
      </c>
      <c r="H120" s="829"/>
      <c r="I120" s="508"/>
      <c r="J120" s="829"/>
      <c r="K120" s="829"/>
      <c r="L120" s="829"/>
      <c r="M120" s="829"/>
      <c r="N120" s="829"/>
      <c r="O120" s="829"/>
      <c r="P120" s="829"/>
      <c r="Q120" s="829"/>
      <c r="R120" s="829"/>
      <c r="S120" s="829"/>
      <c r="T120" s="829"/>
      <c r="U120" s="829"/>
      <c r="V120" s="829"/>
      <c r="W120" s="829"/>
      <c r="X120" s="829"/>
      <c r="Y120" s="829"/>
      <c r="Z120" s="829"/>
      <c r="AA120" s="829"/>
      <c r="AB120" s="829"/>
      <c r="AC120" s="829"/>
      <c r="AD120" s="223" t="str">
        <f>FHD_NOTE_P_59</f>
        <v/>
      </c>
      <c r="AE120" s="475"/>
      <c r="AZ120" s="1419">
        <v>0</v>
      </c>
    </row>
    <row r="121" spans="1:52" ht="18.75" hidden="1" customHeight="1">
      <c r="A121" s="2480"/>
      <c r="D121" s="1426"/>
      <c r="E121" s="478" t="str">
        <f>FHD_NUM_P_60</f>
        <v/>
      </c>
      <c r="F121" s="1633" t="str">
        <f>FHD_P_60</f>
        <v/>
      </c>
      <c r="G121" s="1634" t="s">
        <v>677</v>
      </c>
      <c r="H121" s="829"/>
      <c r="I121" s="508"/>
      <c r="J121" s="829"/>
      <c r="K121" s="829"/>
      <c r="L121" s="829"/>
      <c r="M121" s="829"/>
      <c r="N121" s="829"/>
      <c r="O121" s="829"/>
      <c r="P121" s="829"/>
      <c r="Q121" s="829"/>
      <c r="R121" s="829"/>
      <c r="S121" s="829"/>
      <c r="T121" s="829"/>
      <c r="U121" s="829"/>
      <c r="V121" s="829"/>
      <c r="W121" s="829"/>
      <c r="X121" s="829"/>
      <c r="Y121" s="829"/>
      <c r="Z121" s="829"/>
      <c r="AA121" s="829"/>
      <c r="AB121" s="829"/>
      <c r="AC121" s="829"/>
      <c r="AD121" s="223" t="str">
        <f>FHD_NOTE_P_60</f>
        <v/>
      </c>
      <c r="AE121" s="475"/>
      <c r="AZ121" s="1419">
        <v>0</v>
      </c>
    </row>
    <row r="122" spans="1:52" s="1154" customFormat="1" ht="43.5" customHeight="1">
      <c r="A122" s="2480" t="s">
        <v>681</v>
      </c>
      <c r="C122" s="1424"/>
      <c r="D122" s="1426"/>
      <c r="E122" s="478" t="str">
        <f>FHD_NUM_P_61</f>
        <v>7</v>
      </c>
      <c r="F122" s="163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22" s="1631" t="s">
        <v>640</v>
      </c>
      <c r="H122" s="831"/>
      <c r="I122" s="651">
        <v>0</v>
      </c>
      <c r="J122" s="831">
        <v>0</v>
      </c>
      <c r="K122" s="831">
        <v>0</v>
      </c>
      <c r="L122" s="831">
        <v>0</v>
      </c>
      <c r="M122" s="831">
        <v>0</v>
      </c>
      <c r="N122" s="831">
        <v>0</v>
      </c>
      <c r="O122" s="831">
        <v>0</v>
      </c>
      <c r="P122" s="831">
        <v>0</v>
      </c>
      <c r="Q122" s="831">
        <v>0</v>
      </c>
      <c r="R122" s="831">
        <v>0</v>
      </c>
      <c r="S122" s="831">
        <v>0</v>
      </c>
      <c r="T122" s="831">
        <v>0</v>
      </c>
      <c r="U122" s="831">
        <v>0</v>
      </c>
      <c r="V122" s="831">
        <v>0</v>
      </c>
      <c r="W122" s="831">
        <v>0</v>
      </c>
      <c r="X122" s="831">
        <v>0</v>
      </c>
      <c r="Y122" s="831">
        <v>0</v>
      </c>
      <c r="Z122" s="831">
        <v>0</v>
      </c>
      <c r="AA122" s="831">
        <v>0</v>
      </c>
      <c r="AB122" s="831">
        <v>0</v>
      </c>
      <c r="AC122" s="831">
        <v>0</v>
      </c>
      <c r="AD122" s="223"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AE122" s="475"/>
      <c r="AF122" s="1424"/>
      <c r="AG122" s="1424"/>
      <c r="AL122" s="1424"/>
      <c r="AO122" s="476"/>
      <c r="AU122" s="1420"/>
      <c r="AV122" s="1420"/>
      <c r="AW122" s="1420"/>
      <c r="AX122" s="1420"/>
      <c r="AY122" s="1420"/>
      <c r="AZ122" s="961">
        <v>0</v>
      </c>
    </row>
    <row r="123" spans="1:52" s="1430" customFormat="1" ht="21.75" customHeight="1">
      <c r="A123" s="2480"/>
      <c r="D123" s="480"/>
      <c r="E123" s="865" t="str">
        <f>E122&amp;".0"</f>
        <v>7.0</v>
      </c>
      <c r="F123" s="846"/>
      <c r="G123" s="847"/>
      <c r="H123" s="844"/>
      <c r="I123" s="844"/>
      <c r="J123" s="844"/>
      <c r="K123" s="844"/>
      <c r="L123" s="844"/>
      <c r="M123" s="844"/>
      <c r="N123" s="844"/>
      <c r="O123" s="844"/>
      <c r="P123" s="844"/>
      <c r="Q123" s="844"/>
      <c r="R123" s="844"/>
      <c r="S123" s="844"/>
      <c r="T123" s="844"/>
      <c r="U123" s="844"/>
      <c r="V123" s="844"/>
      <c r="W123" s="844"/>
      <c r="X123" s="844"/>
      <c r="Y123" s="844"/>
      <c r="Z123" s="844"/>
      <c r="AA123" s="844"/>
      <c r="AB123" s="844"/>
      <c r="AC123" s="844"/>
      <c r="AD123" s="848"/>
      <c r="AZ123" s="1424">
        <v>0</v>
      </c>
    </row>
    <row r="124" spans="1:52" ht="15" customHeight="1">
      <c r="A124" s="2480"/>
      <c r="D124" s="1421"/>
      <c r="E124" s="823"/>
      <c r="F124" s="824" t="s">
        <v>682</v>
      </c>
      <c r="G124" s="504"/>
      <c r="H124" s="505"/>
      <c r="I124" s="505"/>
      <c r="J124" s="1921"/>
      <c r="K124" s="1922"/>
      <c r="L124" s="1923"/>
      <c r="M124" s="1924"/>
      <c r="N124" s="1925"/>
      <c r="O124" s="1926"/>
      <c r="P124" s="1927"/>
      <c r="Q124" s="1928"/>
      <c r="R124" s="1929"/>
      <c r="S124" s="1930"/>
      <c r="T124" s="1931"/>
      <c r="U124" s="1932"/>
      <c r="V124" s="1933"/>
      <c r="W124" s="1934"/>
      <c r="X124" s="1935"/>
      <c r="Y124" s="1936"/>
      <c r="Z124" s="1937"/>
      <c r="AA124" s="1938"/>
      <c r="AB124" s="1939"/>
      <c r="AC124" s="2227"/>
      <c r="AD124" s="856" t="s">
        <v>683</v>
      </c>
      <c r="AE124" s="475"/>
      <c r="AZ124" s="1419">
        <v>0</v>
      </c>
    </row>
    <row r="125" spans="1:52" s="1154" customFormat="1" ht="24.75" customHeight="1">
      <c r="A125" s="2480"/>
      <c r="C125" s="1424"/>
      <c r="D125" s="1426"/>
      <c r="E125" s="478" t="str">
        <f>FHD_NUM_P_62</f>
        <v>8</v>
      </c>
      <c r="F125" s="1633" t="str">
        <f>FHD_P_62</f>
        <v>Тепловая нагрузка по договорам, заключенным в рамках осуществления регулируемых видов деятельности</v>
      </c>
      <c r="G125" s="1630" t="s">
        <v>640</v>
      </c>
      <c r="H125" s="489"/>
      <c r="I125" s="489">
        <v>16.279</v>
      </c>
      <c r="J125" s="489">
        <v>157.04</v>
      </c>
      <c r="K125" s="489">
        <v>0.10793800000000001</v>
      </c>
      <c r="L125" s="489">
        <v>91.436000000000007</v>
      </c>
      <c r="M125" s="489">
        <v>55.628</v>
      </c>
      <c r="N125" s="489">
        <v>0.39900000000000002</v>
      </c>
      <c r="O125" s="489">
        <v>0.68600000000000005</v>
      </c>
      <c r="P125" s="489">
        <v>0.43219000000000002</v>
      </c>
      <c r="Q125" s="489">
        <v>53.881</v>
      </c>
      <c r="R125" s="489">
        <v>27.408000000000001</v>
      </c>
      <c r="S125" s="489">
        <v>5.0880000000000001</v>
      </c>
      <c r="T125" s="489">
        <v>2.7879999999999998</v>
      </c>
      <c r="U125" s="489">
        <v>7.3890000000000002</v>
      </c>
      <c r="V125" s="489">
        <v>0.68600000000000005</v>
      </c>
      <c r="W125" s="489">
        <v>1.145</v>
      </c>
      <c r="X125" s="489">
        <v>87.813999999999993</v>
      </c>
      <c r="Y125" s="489">
        <v>2.4660000000000002</v>
      </c>
      <c r="Z125" s="489">
        <v>2.109</v>
      </c>
      <c r="AA125" s="489">
        <v>1.9239999999999999</v>
      </c>
      <c r="AB125" s="489">
        <v>2.605</v>
      </c>
      <c r="AC125" s="489">
        <v>1.2999999999999999E-2</v>
      </c>
      <c r="AD125" s="223" t="str">
        <f>FHD_NOTE_P_62</f>
        <v>Регулируемыми организациями указывается информация по договорам, заключенным в рамках осуществления регулируемых видов деятельности</v>
      </c>
      <c r="AE125" s="475"/>
      <c r="AF125" s="1424"/>
      <c r="AG125" s="1424"/>
      <c r="AL125" s="1424"/>
      <c r="AO125" s="476"/>
      <c r="AU125" s="1420"/>
      <c r="AV125" s="1420"/>
      <c r="AW125" s="1420"/>
      <c r="AX125" s="1420"/>
      <c r="AY125" s="1420"/>
      <c r="AZ125" s="961">
        <v>0</v>
      </c>
    </row>
    <row r="126" spans="1:52" s="1154" customFormat="1" ht="39.75" customHeight="1">
      <c r="A126" s="2480"/>
      <c r="C126" s="1424"/>
      <c r="D126" s="1426"/>
      <c r="E126" s="478" t="str">
        <f>FHD_NUM_P_63</f>
        <v>9</v>
      </c>
      <c r="F126" s="1633" t="str">
        <f>FHD_P_63</f>
        <v>Объем вырабатываемой регулируемой организацией тепловой энергии в рамках осуществления регулируемых видов деятельности</v>
      </c>
      <c r="G126" s="1630" t="s">
        <v>679</v>
      </c>
      <c r="H126" s="508"/>
      <c r="I126" s="508">
        <v>43652.7</v>
      </c>
      <c r="J126" s="508">
        <v>451574.3</v>
      </c>
      <c r="K126" s="508">
        <v>225.1</v>
      </c>
      <c r="L126" s="508">
        <v>136927.1</v>
      </c>
      <c r="M126" s="508">
        <v>162179.79999999999</v>
      </c>
      <c r="N126" s="508">
        <v>1223.7</v>
      </c>
      <c r="O126" s="508">
        <v>3510.6</v>
      </c>
      <c r="P126" s="508">
        <v>1032.2</v>
      </c>
      <c r="Q126" s="508">
        <v>169516.2</v>
      </c>
      <c r="R126" s="508">
        <v>100404.5</v>
      </c>
      <c r="S126" s="508">
        <v>18209.599999999999</v>
      </c>
      <c r="T126" s="508">
        <v>8055.4</v>
      </c>
      <c r="U126" s="508">
        <v>53764.2</v>
      </c>
      <c r="V126" s="508">
        <v>3789.76</v>
      </c>
      <c r="W126" s="508">
        <v>3928.4</v>
      </c>
      <c r="X126" s="508">
        <v>275281.5</v>
      </c>
      <c r="Y126" s="508">
        <v>5813.5</v>
      </c>
      <c r="Z126" s="508">
        <v>6044.09</v>
      </c>
      <c r="AA126" s="508">
        <v>7083.2</v>
      </c>
      <c r="AB126" s="508">
        <v>9159.2999999999993</v>
      </c>
      <c r="AC126" s="508">
        <v>74</v>
      </c>
      <c r="AD126" s="223"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AE126" s="475"/>
      <c r="AF126" s="1424"/>
      <c r="AG126" s="1424"/>
      <c r="AL126" s="1424"/>
      <c r="AO126" s="476"/>
      <c r="AU126" s="1420"/>
      <c r="AV126" s="1420"/>
      <c r="AW126" s="1420"/>
      <c r="AX126" s="1420"/>
      <c r="AY126" s="1420"/>
      <c r="AZ126" s="961">
        <v>0</v>
      </c>
    </row>
    <row r="127" spans="1:52" s="1154" customFormat="1" ht="38.25" customHeight="1">
      <c r="A127" s="2480"/>
      <c r="C127" s="1424"/>
      <c r="D127" s="1426"/>
      <c r="E127" s="478" t="str">
        <f>FHD_NUM_P_64</f>
        <v>9.1</v>
      </c>
      <c r="F127" s="1633" t="str">
        <f>FHD_P_64</f>
        <v>Объем приобретаемой регулируемой организацией тепловой энергии в рамках осуществления регулируемых видов деятельности</v>
      </c>
      <c r="G127" s="1630" t="s">
        <v>679</v>
      </c>
      <c r="H127" s="1195"/>
      <c r="I127" s="658"/>
      <c r="J127" s="1195"/>
      <c r="K127" s="1195"/>
      <c r="L127" s="1195">
        <v>21650.799999999999</v>
      </c>
      <c r="M127" s="1195"/>
      <c r="N127" s="1195"/>
      <c r="O127" s="1195"/>
      <c r="P127" s="1195"/>
      <c r="Q127" s="1195"/>
      <c r="R127" s="1195"/>
      <c r="S127" s="1195"/>
      <c r="T127" s="1195"/>
      <c r="U127" s="1195"/>
      <c r="V127" s="1195"/>
      <c r="W127" s="1195"/>
      <c r="X127" s="1195">
        <v>54221.599999999999</v>
      </c>
      <c r="Y127" s="1195"/>
      <c r="Z127" s="1195"/>
      <c r="AA127" s="1195"/>
      <c r="AB127" s="1195"/>
      <c r="AC127" s="1195"/>
      <c r="AD127" s="223" t="str">
        <f>FHD_NOTE_P_64</f>
        <v>Информация указывается только едиными теплоснабжающими организациями.</v>
      </c>
      <c r="AE127" s="475"/>
      <c r="AF127" s="1424"/>
      <c r="AG127" s="1424"/>
      <c r="AL127" s="1424"/>
      <c r="AO127" s="476"/>
      <c r="AU127" s="1420"/>
      <c r="AV127" s="1420"/>
      <c r="AW127" s="1420"/>
      <c r="AX127" s="1420"/>
      <c r="AY127" s="1420"/>
      <c r="AZ127" s="961">
        <v>0</v>
      </c>
    </row>
    <row r="128" spans="1:52" s="1154" customFormat="1" ht="38.25" customHeight="1">
      <c r="A128" s="2480"/>
      <c r="C128" s="1424"/>
      <c r="D128" s="1426"/>
      <c r="E128" s="478" t="str">
        <f>FHD_NUM_P_65</f>
        <v>10</v>
      </c>
      <c r="F128" s="163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28" s="1630" t="s">
        <v>679</v>
      </c>
      <c r="H128" s="508"/>
      <c r="I128" s="508">
        <v>37325.03</v>
      </c>
      <c r="J128" s="508">
        <v>359915.17</v>
      </c>
      <c r="K128" s="508">
        <v>220.74</v>
      </c>
      <c r="L128" s="508">
        <v>131818.89000000001</v>
      </c>
      <c r="M128" s="508">
        <v>115584.2</v>
      </c>
      <c r="N128" s="508">
        <v>1040.4100000000001</v>
      </c>
      <c r="O128" s="508">
        <v>2892.99</v>
      </c>
      <c r="P128" s="508">
        <v>815.25</v>
      </c>
      <c r="Q128" s="508">
        <v>137284.76</v>
      </c>
      <c r="R128" s="508">
        <v>66999.03</v>
      </c>
      <c r="S128" s="508">
        <v>14628.6</v>
      </c>
      <c r="T128" s="508">
        <v>6233</v>
      </c>
      <c r="U128" s="508">
        <v>32235.5</v>
      </c>
      <c r="V128" s="508">
        <v>3289.55</v>
      </c>
      <c r="W128" s="508">
        <v>3458.45</v>
      </c>
      <c r="X128" s="508">
        <v>215234.51</v>
      </c>
      <c r="Y128" s="508">
        <v>4557.18</v>
      </c>
      <c r="Z128" s="508">
        <v>4332.6400000000003</v>
      </c>
      <c r="AA128" s="508">
        <v>5297.52</v>
      </c>
      <c r="AB128" s="508">
        <v>6774.39</v>
      </c>
      <c r="AC128" s="508">
        <v>33.1</v>
      </c>
      <c r="AD128" s="223"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AE128" s="475"/>
      <c r="AF128" s="1424"/>
      <c r="AG128" s="1424"/>
      <c r="AL128" s="1424"/>
      <c r="AO128" s="476"/>
      <c r="AU128" s="1420"/>
      <c r="AV128" s="1420"/>
      <c r="AW128" s="1420"/>
      <c r="AX128" s="1420"/>
      <c r="AY128" s="1420"/>
      <c r="AZ128" s="961">
        <v>0</v>
      </c>
    </row>
    <row r="129" spans="1:52" s="1154" customFormat="1" ht="18.75" customHeight="1">
      <c r="A129" s="2480"/>
      <c r="C129" s="1424"/>
      <c r="D129" s="1426"/>
      <c r="E129" s="478" t="str">
        <f>FHD_NUM_P_66</f>
        <v>10.1</v>
      </c>
      <c r="F129" s="1312" t="str">
        <f>FHD_P_66</f>
        <v xml:space="preserve">По приборам учёта </v>
      </c>
      <c r="G129" s="1630" t="s">
        <v>679</v>
      </c>
      <c r="H129" s="508"/>
      <c r="I129" s="508">
        <v>12861.4</v>
      </c>
      <c r="J129" s="508">
        <v>160285.79999999999</v>
      </c>
      <c r="K129" s="508">
        <v>0</v>
      </c>
      <c r="L129" s="508">
        <v>32504</v>
      </c>
      <c r="M129" s="508">
        <v>59350.5</v>
      </c>
      <c r="N129" s="508">
        <v>0</v>
      </c>
      <c r="O129" s="508">
        <v>512.70000000000005</v>
      </c>
      <c r="P129" s="508">
        <v>0</v>
      </c>
      <c r="Q129" s="508">
        <v>25501.599999999999</v>
      </c>
      <c r="R129" s="508">
        <v>14013.4</v>
      </c>
      <c r="S129" s="508">
        <v>2196.6</v>
      </c>
      <c r="T129" s="508">
        <v>59.1</v>
      </c>
      <c r="U129" s="508">
        <v>21409.1</v>
      </c>
      <c r="V129" s="508">
        <v>0</v>
      </c>
      <c r="W129" s="508">
        <v>2356.1</v>
      </c>
      <c r="X129" s="508">
        <v>60656</v>
      </c>
      <c r="Y129" s="508">
        <v>480.2</v>
      </c>
      <c r="Z129" s="508">
        <v>3055.7</v>
      </c>
      <c r="AA129" s="508">
        <v>726</v>
      </c>
      <c r="AB129" s="508">
        <v>336</v>
      </c>
      <c r="AC129" s="508">
        <v>0</v>
      </c>
      <c r="AD129" s="223" t="str">
        <f>FHD_NOTE_P_66</f>
        <v/>
      </c>
      <c r="AE129" s="475"/>
      <c r="AF129" s="1424"/>
      <c r="AG129" s="1424"/>
      <c r="AL129" s="1424"/>
      <c r="AO129" s="476"/>
      <c r="AU129" s="1420"/>
      <c r="AV129" s="1420"/>
      <c r="AW129" s="1420"/>
      <c r="AX129" s="1420"/>
      <c r="AY129" s="1420"/>
      <c r="AZ129" s="961">
        <v>0</v>
      </c>
    </row>
    <row r="130" spans="1:52" s="1154" customFormat="1" ht="43.5" customHeight="1">
      <c r="A130" s="2480"/>
      <c r="C130" s="1424"/>
      <c r="D130" s="1426"/>
      <c r="E130" s="478" t="str">
        <f>FHD_NUM_P_67</f>
        <v>10.1.1</v>
      </c>
      <c r="F130" s="143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30" s="1630" t="s">
        <v>679</v>
      </c>
      <c r="H130" s="508"/>
      <c r="I130" s="508">
        <v>0</v>
      </c>
      <c r="J130" s="508">
        <v>0</v>
      </c>
      <c r="K130" s="508">
        <v>0</v>
      </c>
      <c r="L130" s="508">
        <v>0</v>
      </c>
      <c r="M130" s="508">
        <v>0</v>
      </c>
      <c r="N130" s="508">
        <v>0</v>
      </c>
      <c r="O130" s="508">
        <v>0</v>
      </c>
      <c r="P130" s="508">
        <v>0</v>
      </c>
      <c r="Q130" s="508">
        <v>0</v>
      </c>
      <c r="R130" s="508">
        <v>0</v>
      </c>
      <c r="S130" s="508">
        <v>0</v>
      </c>
      <c r="T130" s="508">
        <v>0</v>
      </c>
      <c r="U130" s="508">
        <v>0</v>
      </c>
      <c r="V130" s="508">
        <v>0</v>
      </c>
      <c r="W130" s="508">
        <v>0</v>
      </c>
      <c r="X130" s="508">
        <v>0</v>
      </c>
      <c r="Y130" s="508">
        <v>0</v>
      </c>
      <c r="Z130" s="508">
        <v>0</v>
      </c>
      <c r="AA130" s="508">
        <v>0</v>
      </c>
      <c r="AB130" s="508">
        <v>0</v>
      </c>
      <c r="AC130" s="508">
        <v>0</v>
      </c>
      <c r="AD130" s="223" t="str">
        <f>FHD_NOTE_P_67</f>
        <v/>
      </c>
      <c r="AE130" s="475"/>
      <c r="AF130" s="1424"/>
      <c r="AG130" s="1424"/>
      <c r="AL130" s="1424"/>
      <c r="AO130" s="476"/>
      <c r="AU130" s="1420"/>
      <c r="AV130" s="1420"/>
      <c r="AW130" s="1420"/>
      <c r="AX130" s="1420"/>
      <c r="AY130" s="1420"/>
      <c r="AZ130" s="961">
        <v>0</v>
      </c>
    </row>
    <row r="131" spans="1:52" s="1154" customFormat="1" ht="18.75" customHeight="1">
      <c r="A131" s="2480"/>
      <c r="C131" s="1424"/>
      <c r="D131" s="1426"/>
      <c r="E131" s="478" t="str">
        <f>FHD_NUM_P_68</f>
        <v>10.2</v>
      </c>
      <c r="F131" s="1312" t="str">
        <f>FHD_P_68</f>
        <v>Расчётным путём</v>
      </c>
      <c r="G131" s="1630" t="s">
        <v>679</v>
      </c>
      <c r="H131" s="508"/>
      <c r="I131" s="508">
        <f t="shared" ref="I131:AC131" si="18">I128-I129-I132</f>
        <v>3395.8299999999981</v>
      </c>
      <c r="J131" s="508">
        <f t="shared" si="18"/>
        <v>37819.570000000007</v>
      </c>
      <c r="K131" s="508">
        <f t="shared" si="18"/>
        <v>220.74</v>
      </c>
      <c r="L131" s="508">
        <f t="shared" si="18"/>
        <v>26229.790000000008</v>
      </c>
      <c r="M131" s="508">
        <f t="shared" si="18"/>
        <v>7502.6999999999971</v>
      </c>
      <c r="N131" s="508">
        <f t="shared" si="18"/>
        <v>642.11000000000013</v>
      </c>
      <c r="O131" s="508">
        <f t="shared" si="18"/>
        <v>287.19000000000005</v>
      </c>
      <c r="P131" s="508">
        <f t="shared" si="18"/>
        <v>815.25</v>
      </c>
      <c r="Q131" s="508">
        <f t="shared" si="18"/>
        <v>18417.559999999998</v>
      </c>
      <c r="R131" s="508">
        <f t="shared" si="18"/>
        <v>6724.2299999999959</v>
      </c>
      <c r="S131" s="508">
        <f t="shared" si="18"/>
        <v>11902.3</v>
      </c>
      <c r="T131" s="508">
        <f t="shared" si="18"/>
        <v>967.79999999999927</v>
      </c>
      <c r="U131" s="508">
        <f t="shared" si="18"/>
        <v>1361.2000000000007</v>
      </c>
      <c r="V131" s="508">
        <f t="shared" si="18"/>
        <v>284.65000000000009</v>
      </c>
      <c r="W131" s="508">
        <f t="shared" si="18"/>
        <v>1047.75</v>
      </c>
      <c r="X131" s="508">
        <f t="shared" si="18"/>
        <v>18692.510000000009</v>
      </c>
      <c r="Y131" s="508">
        <f t="shared" si="18"/>
        <v>2442.9800000000005</v>
      </c>
      <c r="Z131" s="508">
        <f t="shared" si="18"/>
        <v>713.64000000000055</v>
      </c>
      <c r="AA131" s="508">
        <f t="shared" si="18"/>
        <v>902.82000000000062</v>
      </c>
      <c r="AB131" s="508">
        <f t="shared" si="18"/>
        <v>796.39000000000033</v>
      </c>
      <c r="AC131" s="508">
        <f t="shared" si="18"/>
        <v>0</v>
      </c>
      <c r="AD131" s="223" t="str">
        <f>FHD_NOTE_P_68</f>
        <v/>
      </c>
      <c r="AE131" s="475"/>
      <c r="AF131" s="1424"/>
      <c r="AG131" s="1424"/>
      <c r="AL131" s="1424"/>
      <c r="AO131" s="476"/>
      <c r="AU131" s="1420"/>
      <c r="AV131" s="1420"/>
      <c r="AW131" s="1420"/>
      <c r="AX131" s="1420"/>
      <c r="AY131" s="1420"/>
      <c r="AZ131" s="961">
        <v>0</v>
      </c>
    </row>
    <row r="132" spans="1:52" s="1154" customFormat="1" ht="24.75" customHeight="1">
      <c r="A132" s="2480"/>
      <c r="C132" s="1424"/>
      <c r="D132" s="1426"/>
      <c r="E132" s="478" t="str">
        <f>FHD_NUM_P_69</f>
        <v>10.3</v>
      </c>
      <c r="F132" s="1312" t="str">
        <f>FHD_P_69</f>
        <v>По нормативам потребления коммунальных услуг и нормативам потребления коммунальных ресурсов</v>
      </c>
      <c r="G132" s="1630" t="s">
        <v>679</v>
      </c>
      <c r="H132" s="508"/>
      <c r="I132" s="508">
        <v>21067.8</v>
      </c>
      <c r="J132" s="508">
        <v>161809.79999999999</v>
      </c>
      <c r="K132" s="508">
        <v>0</v>
      </c>
      <c r="L132" s="508">
        <v>73085.100000000006</v>
      </c>
      <c r="M132" s="508">
        <v>48731</v>
      </c>
      <c r="N132" s="508">
        <v>398.3</v>
      </c>
      <c r="O132" s="508">
        <v>2093.1</v>
      </c>
      <c r="P132" s="508">
        <v>0</v>
      </c>
      <c r="Q132" s="508">
        <v>93365.6</v>
      </c>
      <c r="R132" s="508">
        <v>46261.4</v>
      </c>
      <c r="S132" s="508">
        <v>529.70000000000005</v>
      </c>
      <c r="T132" s="508">
        <v>5206.1000000000004</v>
      </c>
      <c r="U132" s="508">
        <v>9465.2000000000007</v>
      </c>
      <c r="V132" s="508">
        <v>3004.9</v>
      </c>
      <c r="W132" s="508">
        <v>54.6</v>
      </c>
      <c r="X132" s="508">
        <v>135886</v>
      </c>
      <c r="Y132" s="508">
        <v>1634</v>
      </c>
      <c r="Z132" s="508">
        <v>563.29999999999995</v>
      </c>
      <c r="AA132" s="508">
        <v>3668.7</v>
      </c>
      <c r="AB132" s="508">
        <v>5642</v>
      </c>
      <c r="AC132" s="508">
        <v>33.1</v>
      </c>
      <c r="AD132" s="223" t="str">
        <f>FHD_NOTE_P_69</f>
        <v/>
      </c>
      <c r="AE132" s="475"/>
      <c r="AF132" s="1424"/>
      <c r="AG132" s="1424"/>
      <c r="AL132" s="1424"/>
      <c r="AO132" s="476"/>
      <c r="AU132" s="1420"/>
      <c r="AV132" s="1420"/>
      <c r="AW132" s="1420"/>
      <c r="AX132" s="1420"/>
      <c r="AY132" s="1420"/>
      <c r="AZ132" s="961">
        <v>0</v>
      </c>
    </row>
    <row r="133" spans="1:52" s="1154" customFormat="1" ht="43.5" customHeight="1">
      <c r="A133" s="2480"/>
      <c r="C133" s="1424"/>
      <c r="D133" s="1426"/>
      <c r="E133" s="478" t="str">
        <f>FHD_NUM_P_70</f>
        <v>11</v>
      </c>
      <c r="F133" s="1633" t="str">
        <f>FHD_P_70</f>
        <v>Нормативы технологических потерь при передаче тепловой энергии, теплоносителя по тепловым сетям, утвержденные уполномоченным органом</v>
      </c>
      <c r="G133" s="1630" t="s">
        <v>684</v>
      </c>
      <c r="H133" s="489"/>
      <c r="I133" s="489">
        <v>6199</v>
      </c>
      <c r="J133" s="489">
        <v>86453</v>
      </c>
      <c r="K133" s="489">
        <v>2.29</v>
      </c>
      <c r="L133" s="489">
        <v>22556</v>
      </c>
      <c r="M133" s="489">
        <v>33394</v>
      </c>
      <c r="N133" s="489">
        <v>164</v>
      </c>
      <c r="O133" s="489">
        <v>505</v>
      </c>
      <c r="P133" s="489">
        <v>212.6</v>
      </c>
      <c r="Q133" s="489">
        <v>27664</v>
      </c>
      <c r="R133" s="489">
        <v>13557</v>
      </c>
      <c r="S133" s="489">
        <v>2148</v>
      </c>
      <c r="T133" s="489">
        <v>1827</v>
      </c>
      <c r="U133" s="489">
        <v>15406</v>
      </c>
      <c r="V133" s="489">
        <v>459</v>
      </c>
      <c r="W133" s="489">
        <v>379</v>
      </c>
      <c r="X133" s="489">
        <v>57136</v>
      </c>
      <c r="Y133" s="489">
        <v>1277</v>
      </c>
      <c r="Z133" s="489">
        <v>995</v>
      </c>
      <c r="AA133" s="489">
        <v>1398</v>
      </c>
      <c r="AB133" s="489">
        <v>2309</v>
      </c>
      <c r="AC133" s="489">
        <v>77</v>
      </c>
      <c r="AD133" s="223" t="str">
        <f>FHD_NOTE_P_70</f>
        <v/>
      </c>
      <c r="AE133" s="475"/>
      <c r="AF133" s="1424"/>
      <c r="AG133" s="1424"/>
      <c r="AL133" s="1424"/>
      <c r="AO133" s="476"/>
      <c r="AU133" s="1420"/>
      <c r="AV133" s="1420"/>
      <c r="AW133" s="1420"/>
      <c r="AX133" s="1420"/>
      <c r="AY133" s="1420"/>
      <c r="AZ133" s="961">
        <v>0</v>
      </c>
    </row>
    <row r="134" spans="1:52" s="1154" customFormat="1" ht="22.5" customHeight="1">
      <c r="A134" s="2480"/>
      <c r="C134" s="1424"/>
      <c r="D134" s="1426"/>
      <c r="E134" s="478" t="str">
        <f>FHD_NUM_P_71</f>
        <v>12</v>
      </c>
      <c r="F134" s="1633" t="str">
        <f>FHD_P_71</f>
        <v>Фактический объем потерь при передаче тепловой энергии</v>
      </c>
      <c r="G134" s="1630" t="s">
        <v>684</v>
      </c>
      <c r="H134" s="489"/>
      <c r="I134" s="489">
        <v>5704.8</v>
      </c>
      <c r="J134" s="489">
        <v>84400.1</v>
      </c>
      <c r="K134" s="489">
        <v>1.96</v>
      </c>
      <c r="L134" s="489">
        <v>24136.6</v>
      </c>
      <c r="M134" s="489">
        <v>41638.6</v>
      </c>
      <c r="N134" s="489">
        <v>163.30000000000001</v>
      </c>
      <c r="O134" s="489">
        <v>576.29999999999995</v>
      </c>
      <c r="P134" s="489">
        <v>193.1</v>
      </c>
      <c r="Q134" s="489">
        <v>29459.9</v>
      </c>
      <c r="R134" s="489">
        <v>25945.4</v>
      </c>
      <c r="S134" s="489">
        <v>3357</v>
      </c>
      <c r="T134" s="489">
        <v>1710.8</v>
      </c>
      <c r="U134" s="489">
        <v>20565.3</v>
      </c>
      <c r="V134" s="489">
        <v>457.46</v>
      </c>
      <c r="W134" s="489">
        <v>385</v>
      </c>
      <c r="X134" s="489">
        <v>54221.599999999999</v>
      </c>
      <c r="Y134" s="489">
        <v>1087</v>
      </c>
      <c r="Z134" s="489">
        <v>1598.1</v>
      </c>
      <c r="AA134" s="489">
        <v>1671.8</v>
      </c>
      <c r="AB134" s="489">
        <v>2246</v>
      </c>
      <c r="AC134" s="489">
        <v>32.9</v>
      </c>
      <c r="AD134" s="223" t="str">
        <f>FHD_NOTE_P_71</f>
        <v/>
      </c>
      <c r="AE134" s="475"/>
      <c r="AF134" s="1424"/>
      <c r="AG134" s="1424"/>
      <c r="AL134" s="1424"/>
      <c r="AO134" s="476"/>
      <c r="AU134" s="1420"/>
      <c r="AV134" s="1420"/>
      <c r="AW134" s="1420"/>
      <c r="AX134" s="1420"/>
      <c r="AY134" s="1420"/>
      <c r="AZ134" s="961">
        <v>0</v>
      </c>
    </row>
    <row r="135" spans="1:52" ht="20.25" customHeight="1">
      <c r="D135" s="1426"/>
      <c r="E135" s="478" t="str">
        <f>FHD_NUM_P_72</f>
        <v>13</v>
      </c>
      <c r="F135" s="1633" t="str">
        <f>FHD_P_72</f>
        <v>Среднесписочная численность основного производственного персонала</v>
      </c>
      <c r="G135" s="1629" t="s">
        <v>685</v>
      </c>
      <c r="H135" s="508"/>
      <c r="I135" s="508">
        <f>4.41+7.78</f>
        <v>12.190000000000001</v>
      </c>
      <c r="J135" s="508">
        <f>197.84+109.82</f>
        <v>307.65999999999997</v>
      </c>
      <c r="K135" s="508">
        <f>0.58+0.22</f>
        <v>0.79999999999999993</v>
      </c>
      <c r="L135" s="508">
        <f>239.38+45.83</f>
        <v>285.20999999999998</v>
      </c>
      <c r="M135" s="508">
        <f>68.04+18.55</f>
        <v>86.59</v>
      </c>
      <c r="N135" s="508">
        <f>2.04+0.14</f>
        <v>2.1800000000000002</v>
      </c>
      <c r="O135" s="508">
        <f>4.21+0.26</f>
        <v>4.47</v>
      </c>
      <c r="P135" s="508">
        <f>2.21+0.15</f>
        <v>2.36</v>
      </c>
      <c r="Q135" s="508">
        <f>116.87+28.85</f>
        <v>145.72</v>
      </c>
      <c r="R135" s="508">
        <f>46.88+12.51</f>
        <v>59.39</v>
      </c>
      <c r="S135" s="508">
        <f>3.94+0.97</f>
        <v>4.91</v>
      </c>
      <c r="T135" s="508">
        <f>6.28+1.7</f>
        <v>7.98</v>
      </c>
      <c r="U135" s="508">
        <f>16.62+2.69</f>
        <v>19.310000000000002</v>
      </c>
      <c r="V135" s="508">
        <f>4.73+0.37</f>
        <v>5.1000000000000005</v>
      </c>
      <c r="W135" s="508">
        <f>5.43+0.58</f>
        <v>6.01</v>
      </c>
      <c r="X135" s="508">
        <f>167.08+39.75</f>
        <v>206.83</v>
      </c>
      <c r="Y135" s="508">
        <f>14.67+2.05</f>
        <v>16.72</v>
      </c>
      <c r="Z135" s="508">
        <f>2.73+0.33</f>
        <v>3.06</v>
      </c>
      <c r="AA135" s="508">
        <f>2.51+0.48</f>
        <v>2.9899999999999998</v>
      </c>
      <c r="AB135" s="508">
        <f>2.82+0.53</f>
        <v>3.3499999999999996</v>
      </c>
      <c r="AC135" s="508">
        <f>0.86+0.18</f>
        <v>1.04</v>
      </c>
      <c r="AD135" s="223" t="str">
        <f>FHD_NOTE_P_72</f>
        <v/>
      </c>
      <c r="AE135" s="475"/>
      <c r="AZ135" s="1419">
        <v>19</v>
      </c>
    </row>
    <row r="136" spans="1:52" ht="24.75" customHeight="1">
      <c r="A136" s="841" t="s">
        <v>686</v>
      </c>
      <c r="D136" s="1426"/>
      <c r="E136" s="478" t="str">
        <f>FHD_NUM_P_73</f>
        <v>14</v>
      </c>
      <c r="F136" s="1633" t="str">
        <f>FHD_P_73</f>
        <v>Среднесписочная численность административно-управленческого персонала</v>
      </c>
      <c r="G136" s="822" t="s">
        <v>685</v>
      </c>
      <c r="H136" s="820"/>
      <c r="I136" s="820">
        <f>0.72+2.71</f>
        <v>3.4299999999999997</v>
      </c>
      <c r="J136" s="820">
        <f>17.36+65.46</f>
        <v>82.82</v>
      </c>
      <c r="K136" s="820">
        <f>0.03+0.11</f>
        <v>0.14000000000000001</v>
      </c>
      <c r="L136" s="820">
        <f>14.38+48.81</f>
        <v>63.190000000000005</v>
      </c>
      <c r="M136" s="820">
        <f>4.77+15.69</f>
        <v>20.46</v>
      </c>
      <c r="N136" s="820">
        <f>0.11+0.38</f>
        <v>0.49</v>
      </c>
      <c r="O136" s="820">
        <f>0.21+0.74</f>
        <v>0.95</v>
      </c>
      <c r="P136" s="820">
        <f>0.11+0.38</f>
        <v>0.49</v>
      </c>
      <c r="Q136" s="820">
        <f>8.07+33</f>
        <v>41.07</v>
      </c>
      <c r="R136" s="820">
        <f>3.46+14.06</f>
        <v>17.52</v>
      </c>
      <c r="S136" s="820">
        <f>0.27+1.09</f>
        <v>1.36</v>
      </c>
      <c r="T136" s="820">
        <f>0.48+1.91</f>
        <v>2.3899999999999997</v>
      </c>
      <c r="U136" s="820">
        <f>0.87+3.7</f>
        <v>4.57</v>
      </c>
      <c r="V136" s="820">
        <f>0.21+0.89</f>
        <v>1.1000000000000001</v>
      </c>
      <c r="W136" s="820">
        <f>0.33+1.43</f>
        <v>1.76</v>
      </c>
      <c r="X136" s="820">
        <f>12.4+47.25</f>
        <v>59.65</v>
      </c>
      <c r="Y136" s="820">
        <f>1.15+1.32</f>
        <v>2.4699999999999998</v>
      </c>
      <c r="Z136" s="820">
        <f>0.35+0.42</f>
        <v>0.77</v>
      </c>
      <c r="AA136" s="820">
        <f>0.32+0.39</f>
        <v>0.71</v>
      </c>
      <c r="AB136" s="820">
        <f>0.36+0.85</f>
        <v>1.21</v>
      </c>
      <c r="AC136" s="820">
        <f>0.08+0.05</f>
        <v>0.13</v>
      </c>
      <c r="AD136" s="223" t="str">
        <f>FHD_NOTE_P_73</f>
        <v/>
      </c>
      <c r="AE136" s="475"/>
      <c r="AZ136" s="1419">
        <v>0</v>
      </c>
    </row>
    <row r="137" spans="1:52" ht="33.75" hidden="1" customHeight="1">
      <c r="A137" s="841" t="s">
        <v>687</v>
      </c>
      <c r="D137" s="1426"/>
      <c r="E137" s="478" t="str">
        <f>FHD_NUM_P_74</f>
        <v/>
      </c>
      <c r="F137" s="1633" t="str">
        <f>FHD_P_74</f>
        <v/>
      </c>
      <c r="G137" s="1629" t="s">
        <v>688</v>
      </c>
      <c r="H137" s="508"/>
      <c r="I137" s="508"/>
      <c r="J137" s="508"/>
      <c r="K137" s="508"/>
      <c r="L137" s="508"/>
      <c r="M137" s="508"/>
      <c r="N137" s="508"/>
      <c r="O137" s="508"/>
      <c r="P137" s="508"/>
      <c r="Q137" s="508"/>
      <c r="R137" s="508"/>
      <c r="S137" s="508"/>
      <c r="T137" s="508"/>
      <c r="U137" s="508"/>
      <c r="V137" s="508"/>
      <c r="W137" s="508"/>
      <c r="X137" s="508"/>
      <c r="Y137" s="508"/>
      <c r="Z137" s="508"/>
      <c r="AA137" s="508"/>
      <c r="AB137" s="508"/>
      <c r="AC137" s="508"/>
      <c r="AD137" s="223" t="str">
        <f>FHD_NOTE_P_74</f>
        <v/>
      </c>
      <c r="AE137" s="475"/>
      <c r="AZ137" s="1419">
        <v>0</v>
      </c>
    </row>
    <row r="138" spans="1:52" s="1423" customFormat="1" ht="18.75" hidden="1" customHeight="1">
      <c r="A138" s="2480" t="s">
        <v>689</v>
      </c>
      <c r="B138" s="798"/>
      <c r="C138" s="646"/>
      <c r="D138" s="644"/>
      <c r="E138" s="478" t="str">
        <f>FHD_NUM_P_75</f>
        <v/>
      </c>
      <c r="F138" s="1633" t="str">
        <f>FHD_P_75</f>
        <v/>
      </c>
      <c r="G138" s="1629" t="s">
        <v>642</v>
      </c>
      <c r="H138" s="489"/>
      <c r="I138" s="489"/>
      <c r="J138" s="489"/>
      <c r="K138" s="489"/>
      <c r="L138" s="489"/>
      <c r="M138" s="489"/>
      <c r="N138" s="489"/>
      <c r="O138" s="489"/>
      <c r="P138" s="489"/>
      <c r="Q138" s="489"/>
      <c r="R138" s="489"/>
      <c r="S138" s="489"/>
      <c r="T138" s="489"/>
      <c r="U138" s="489"/>
      <c r="V138" s="489"/>
      <c r="W138" s="489"/>
      <c r="X138" s="489"/>
      <c r="Y138" s="489"/>
      <c r="Z138" s="489"/>
      <c r="AA138" s="489"/>
      <c r="AB138" s="489"/>
      <c r="AC138" s="489"/>
      <c r="AD138" s="223" t="str">
        <f>FHD_NOTE_P_75</f>
        <v/>
      </c>
      <c r="AE138" s="645"/>
      <c r="AF138" s="646"/>
      <c r="AG138" s="646"/>
      <c r="AH138" s="798"/>
      <c r="AI138" s="798"/>
      <c r="AJ138" s="798"/>
      <c r="AK138" s="798"/>
      <c r="AL138" s="646"/>
      <c r="AM138" s="798"/>
      <c r="AN138" s="798"/>
      <c r="AO138" s="647"/>
      <c r="AP138" s="798"/>
      <c r="AQ138" s="798"/>
      <c r="AR138" s="798"/>
      <c r="AS138" s="798"/>
      <c r="AT138" s="798"/>
      <c r="AU138" s="648"/>
      <c r="AV138" s="648"/>
      <c r="AW138" s="648"/>
      <c r="AX138" s="648"/>
      <c r="AY138" s="648"/>
      <c r="AZ138" s="650">
        <v>0</v>
      </c>
    </row>
    <row r="139" spans="1:52" s="1423" customFormat="1" ht="18.75" hidden="1" customHeight="1">
      <c r="A139" s="2480"/>
      <c r="B139" s="798"/>
      <c r="C139" s="646"/>
      <c r="D139" s="644"/>
      <c r="E139" s="478" t="str">
        <f>FHD_NUM_P_76</f>
        <v/>
      </c>
      <c r="F139" s="1633" t="str">
        <f>FHD_P_76</f>
        <v/>
      </c>
      <c r="G139" s="1629" t="s">
        <v>642</v>
      </c>
      <c r="H139" s="489"/>
      <c r="I139" s="489"/>
      <c r="J139" s="489"/>
      <c r="K139" s="489"/>
      <c r="L139" s="489"/>
      <c r="M139" s="489"/>
      <c r="N139" s="489"/>
      <c r="O139" s="489"/>
      <c r="P139" s="489"/>
      <c r="Q139" s="489"/>
      <c r="R139" s="489"/>
      <c r="S139" s="489"/>
      <c r="T139" s="489"/>
      <c r="U139" s="489"/>
      <c r="V139" s="489"/>
      <c r="W139" s="489"/>
      <c r="X139" s="489"/>
      <c r="Y139" s="489"/>
      <c r="Z139" s="489"/>
      <c r="AA139" s="489"/>
      <c r="AB139" s="489"/>
      <c r="AC139" s="489"/>
      <c r="AD139" s="223" t="str">
        <f>FHD_NOTE_P_76</f>
        <v/>
      </c>
      <c r="AE139" s="645"/>
      <c r="AF139" s="646"/>
      <c r="AG139" s="646"/>
      <c r="AH139" s="798"/>
      <c r="AI139" s="798"/>
      <c r="AJ139" s="798"/>
      <c r="AK139" s="798"/>
      <c r="AL139" s="646"/>
      <c r="AM139" s="798"/>
      <c r="AN139" s="798"/>
      <c r="AO139" s="647"/>
      <c r="AP139" s="798"/>
      <c r="AQ139" s="798"/>
      <c r="AR139" s="798"/>
      <c r="AS139" s="798"/>
      <c r="AT139" s="798"/>
      <c r="AU139" s="648"/>
      <c r="AV139" s="648"/>
      <c r="AW139" s="648"/>
      <c r="AX139" s="648"/>
      <c r="AY139" s="648"/>
      <c r="AZ139" s="650">
        <v>0</v>
      </c>
    </row>
    <row r="140" spans="1:52" s="1423" customFormat="1" ht="18.75" hidden="1" customHeight="1">
      <c r="A140" s="2480"/>
      <c r="B140" s="798"/>
      <c r="C140" s="646"/>
      <c r="D140" s="644"/>
      <c r="E140" s="478" t="str">
        <f>FHD_NUM_P_77</f>
        <v/>
      </c>
      <c r="F140" s="1633" t="str">
        <f>FHD_P_77</f>
        <v/>
      </c>
      <c r="G140" s="1629" t="s">
        <v>642</v>
      </c>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223" t="str">
        <f>FHD_NOTE_P_77</f>
        <v/>
      </c>
      <c r="AE140" s="645"/>
      <c r="AF140" s="646"/>
      <c r="AG140" s="646"/>
      <c r="AH140" s="798"/>
      <c r="AI140" s="798"/>
      <c r="AJ140" s="798"/>
      <c r="AK140" s="798"/>
      <c r="AL140" s="646"/>
      <c r="AM140" s="798"/>
      <c r="AN140" s="798"/>
      <c r="AO140" s="647"/>
      <c r="AP140" s="798"/>
      <c r="AQ140" s="798"/>
      <c r="AR140" s="798"/>
      <c r="AS140" s="798"/>
      <c r="AT140" s="798"/>
      <c r="AU140" s="648"/>
      <c r="AV140" s="648"/>
      <c r="AW140" s="648"/>
      <c r="AX140" s="648"/>
      <c r="AY140" s="648"/>
      <c r="AZ140" s="650">
        <v>0</v>
      </c>
    </row>
    <row r="141" spans="1:52" s="1430" customFormat="1" ht="0.75" hidden="1" customHeight="1">
      <c r="A141" s="2480"/>
      <c r="D141" s="480"/>
      <c r="E141" s="865" t="str">
        <f>E140&amp;".0"</f>
        <v>.0</v>
      </c>
      <c r="F141" s="849"/>
      <c r="G141" s="1439"/>
      <c r="H141" s="844"/>
      <c r="I141" s="844"/>
      <c r="J141" s="844"/>
      <c r="K141" s="844"/>
      <c r="L141" s="844"/>
      <c r="M141" s="844"/>
      <c r="N141" s="844"/>
      <c r="O141" s="844"/>
      <c r="P141" s="844"/>
      <c r="Q141" s="844"/>
      <c r="R141" s="844"/>
      <c r="S141" s="844"/>
      <c r="T141" s="844"/>
      <c r="U141" s="844"/>
      <c r="V141" s="844"/>
      <c r="W141" s="844"/>
      <c r="X141" s="844"/>
      <c r="Y141" s="844"/>
      <c r="Z141" s="844"/>
      <c r="AA141" s="844"/>
      <c r="AB141" s="844"/>
      <c r="AC141" s="844"/>
      <c r="AD141" s="848"/>
      <c r="AZ141" s="1424">
        <v>0</v>
      </c>
    </row>
    <row r="142" spans="1:52" s="1423" customFormat="1" ht="15" hidden="1" customHeight="1">
      <c r="A142" s="2480"/>
      <c r="B142" s="798"/>
      <c r="C142" s="646"/>
      <c r="D142" s="653"/>
      <c r="E142" s="825"/>
      <c r="F142" s="826" t="s">
        <v>690</v>
      </c>
      <c r="G142" s="654"/>
      <c r="H142" s="655"/>
      <c r="I142" s="655"/>
      <c r="J142" s="1940"/>
      <c r="K142" s="1941"/>
      <c r="L142" s="1942"/>
      <c r="M142" s="1943"/>
      <c r="N142" s="1944"/>
      <c r="O142" s="1945"/>
      <c r="P142" s="1946"/>
      <c r="Q142" s="1947"/>
      <c r="R142" s="1948"/>
      <c r="S142" s="1949"/>
      <c r="T142" s="1950"/>
      <c r="U142" s="1951"/>
      <c r="V142" s="1952"/>
      <c r="W142" s="1953"/>
      <c r="X142" s="1954"/>
      <c r="Y142" s="1955"/>
      <c r="Z142" s="1956"/>
      <c r="AA142" s="1957"/>
      <c r="AB142" s="1958"/>
      <c r="AC142" s="2228"/>
      <c r="AD142" s="855" t="s">
        <v>691</v>
      </c>
      <c r="AE142" s="645"/>
      <c r="AF142" s="646"/>
      <c r="AG142" s="646"/>
      <c r="AH142" s="798"/>
      <c r="AI142" s="798"/>
      <c r="AJ142" s="798"/>
      <c r="AK142" s="798"/>
      <c r="AL142" s="646"/>
      <c r="AM142" s="798"/>
      <c r="AN142" s="798"/>
      <c r="AO142" s="647"/>
      <c r="AP142" s="798"/>
      <c r="AQ142" s="798"/>
      <c r="AR142" s="798"/>
      <c r="AS142" s="798"/>
      <c r="AT142" s="798"/>
      <c r="AU142" s="648"/>
      <c r="AV142" s="648"/>
      <c r="AW142" s="648"/>
      <c r="AX142" s="648"/>
      <c r="AY142" s="648"/>
      <c r="AZ142" s="650">
        <v>0</v>
      </c>
    </row>
    <row r="143" spans="1:52" ht="62.25" customHeight="1">
      <c r="A143" s="2480" t="s">
        <v>692</v>
      </c>
      <c r="D143" s="1426"/>
      <c r="E143" s="478" t="str">
        <f>FHD_NUM_P_78</f>
        <v>15</v>
      </c>
      <c r="F143" s="163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43" s="1630" t="s">
        <v>644</v>
      </c>
      <c r="H143" s="508"/>
      <c r="I143" s="508">
        <v>156.5</v>
      </c>
      <c r="J143" s="508">
        <v>161.99</v>
      </c>
      <c r="K143" s="508">
        <v>156.91999999999999</v>
      </c>
      <c r="L143" s="508">
        <v>178.3</v>
      </c>
      <c r="M143" s="508">
        <v>161.49</v>
      </c>
      <c r="N143" s="508">
        <v>157.36000000000001</v>
      </c>
      <c r="O143" s="508">
        <v>158.65</v>
      </c>
      <c r="P143" s="508">
        <v>192.51</v>
      </c>
      <c r="Q143" s="508">
        <v>166.26</v>
      </c>
      <c r="R143" s="508">
        <v>161.61000000000001</v>
      </c>
      <c r="S143" s="508">
        <v>158.56</v>
      </c>
      <c r="T143" s="508">
        <v>159.47</v>
      </c>
      <c r="U143" s="508">
        <v>158.79</v>
      </c>
      <c r="V143" s="508">
        <v>156.28</v>
      </c>
      <c r="W143" s="508">
        <v>160.04</v>
      </c>
      <c r="X143" s="508">
        <v>163.80000000000001</v>
      </c>
      <c r="Y143" s="508">
        <v>179.97</v>
      </c>
      <c r="Z143" s="508">
        <v>154.79</v>
      </c>
      <c r="AA143" s="508">
        <v>154.13999999999999</v>
      </c>
      <c r="AB143" s="508">
        <v>153.77000000000001</v>
      </c>
      <c r="AC143" s="508">
        <v>427.8</v>
      </c>
      <c r="AD143" s="223" t="str">
        <f>FHD_NOTE_P_78</f>
        <v/>
      </c>
      <c r="AE143" s="475"/>
      <c r="AZ143" s="1419">
        <v>0</v>
      </c>
    </row>
    <row r="144" spans="1:52" s="1430" customFormat="1" ht="17.25" customHeight="1">
      <c r="A144" s="2480"/>
      <c r="D144" s="480"/>
      <c r="E144" s="865" t="str">
        <f>E143&amp;".0"</f>
        <v>15.0</v>
      </c>
      <c r="F144" s="849"/>
      <c r="G144" s="1439"/>
      <c r="H144" s="844"/>
      <c r="I144" s="844"/>
      <c r="J144" s="844"/>
      <c r="K144" s="844"/>
      <c r="L144" s="844"/>
      <c r="M144" s="844"/>
      <c r="N144" s="844"/>
      <c r="O144" s="844"/>
      <c r="P144" s="844"/>
      <c r="Q144" s="844"/>
      <c r="R144" s="844"/>
      <c r="S144" s="844"/>
      <c r="T144" s="844"/>
      <c r="U144" s="844"/>
      <c r="V144" s="844"/>
      <c r="W144" s="844"/>
      <c r="X144" s="844"/>
      <c r="Y144" s="844"/>
      <c r="Z144" s="844"/>
      <c r="AA144" s="844"/>
      <c r="AB144" s="844"/>
      <c r="AC144" s="844"/>
      <c r="AD144" s="848"/>
      <c r="AZ144" s="1424">
        <v>0</v>
      </c>
    </row>
    <row r="145" spans="1:52" ht="15" customHeight="1">
      <c r="A145" s="2480"/>
      <c r="D145" s="1421"/>
      <c r="E145" s="502"/>
      <c r="F145" s="969" t="s">
        <v>682</v>
      </c>
      <c r="G145" s="504"/>
      <c r="H145" s="505"/>
      <c r="I145" s="505"/>
      <c r="J145" s="1959"/>
      <c r="K145" s="1960"/>
      <c r="L145" s="1961"/>
      <c r="M145" s="1962"/>
      <c r="N145" s="1963"/>
      <c r="O145" s="1964"/>
      <c r="P145" s="1965"/>
      <c r="Q145" s="1966"/>
      <c r="R145" s="1967"/>
      <c r="S145" s="1968"/>
      <c r="T145" s="1969"/>
      <c r="U145" s="1970"/>
      <c r="V145" s="1971"/>
      <c r="W145" s="1972"/>
      <c r="X145" s="1973"/>
      <c r="Y145" s="1974"/>
      <c r="Z145" s="1975"/>
      <c r="AA145" s="1976"/>
      <c r="AB145" s="1977"/>
      <c r="AC145" s="2229"/>
      <c r="AD145" s="856" t="s">
        <v>693</v>
      </c>
      <c r="AE145" s="475"/>
      <c r="AZ145" s="1419">
        <v>0</v>
      </c>
    </row>
    <row r="146" spans="1:52" ht="84.75" customHeight="1">
      <c r="A146" s="2480"/>
      <c r="D146" s="1426"/>
      <c r="E146" s="478" t="str">
        <f>FHD_NUM_P_79</f>
        <v>16</v>
      </c>
      <c r="F146" s="163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46" s="1631" t="s">
        <v>646</v>
      </c>
      <c r="H146" s="508"/>
      <c r="I146" s="508">
        <v>156.44999999999999</v>
      </c>
      <c r="J146" s="508">
        <v>164.07</v>
      </c>
      <c r="K146" s="508">
        <v>160.94</v>
      </c>
      <c r="L146" s="508">
        <v>173.06</v>
      </c>
      <c r="M146" s="508">
        <v>179.61</v>
      </c>
      <c r="N146" s="508">
        <v>157.33000000000001</v>
      </c>
      <c r="O146" s="508">
        <v>159.71</v>
      </c>
      <c r="P146" s="508">
        <v>192.51</v>
      </c>
      <c r="Q146" s="508">
        <v>157.53</v>
      </c>
      <c r="R146" s="508">
        <v>161.04</v>
      </c>
      <c r="S146" s="508">
        <v>154</v>
      </c>
      <c r="T146" s="508">
        <v>153.22999999999999</v>
      </c>
      <c r="U146" s="508">
        <v>158.85</v>
      </c>
      <c r="V146" s="508">
        <v>159.9</v>
      </c>
      <c r="W146" s="508">
        <v>153.85</v>
      </c>
      <c r="X146" s="508">
        <v>161.97999999999999</v>
      </c>
      <c r="Y146" s="508">
        <v>155.51</v>
      </c>
      <c r="Z146" s="508">
        <v>157.06</v>
      </c>
      <c r="AA146" s="508">
        <v>152.11000000000001</v>
      </c>
      <c r="AB146" s="508">
        <v>152.9</v>
      </c>
      <c r="AC146" s="508">
        <v>225.46</v>
      </c>
      <c r="AD146" s="223"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AE146" s="475"/>
      <c r="AZ146" s="1419">
        <v>0</v>
      </c>
    </row>
    <row r="147" spans="1:52" s="1430" customFormat="1" ht="7.5" customHeight="1">
      <c r="A147" s="2480"/>
      <c r="D147" s="480"/>
      <c r="E147" s="865" t="str">
        <f>E146&amp;".0"</f>
        <v>16.0</v>
      </c>
      <c r="F147" s="850"/>
      <c r="G147" s="1439"/>
      <c r="H147" s="844"/>
      <c r="I147" s="844"/>
      <c r="J147" s="844"/>
      <c r="K147" s="844"/>
      <c r="L147" s="844"/>
      <c r="M147" s="844"/>
      <c r="N147" s="844"/>
      <c r="O147" s="844"/>
      <c r="P147" s="844"/>
      <c r="Q147" s="844"/>
      <c r="R147" s="844"/>
      <c r="S147" s="844"/>
      <c r="T147" s="844"/>
      <c r="U147" s="844"/>
      <c r="V147" s="844"/>
      <c r="W147" s="844"/>
      <c r="X147" s="844"/>
      <c r="Y147" s="844"/>
      <c r="Z147" s="844"/>
      <c r="AA147" s="844"/>
      <c r="AB147" s="844"/>
      <c r="AC147" s="844"/>
      <c r="AD147" s="848"/>
      <c r="AZ147" s="1424">
        <v>0</v>
      </c>
    </row>
    <row r="148" spans="1:52" ht="15" customHeight="1">
      <c r="A148" s="2480"/>
      <c r="D148" s="1421"/>
      <c r="E148" s="502"/>
      <c r="F148" s="969" t="s">
        <v>682</v>
      </c>
      <c r="G148" s="504"/>
      <c r="H148" s="505"/>
      <c r="I148" s="505"/>
      <c r="J148" s="1978"/>
      <c r="K148" s="1979"/>
      <c r="L148" s="1980"/>
      <c r="M148" s="1981"/>
      <c r="N148" s="1982"/>
      <c r="O148" s="1983"/>
      <c r="P148" s="1984"/>
      <c r="Q148" s="1985"/>
      <c r="R148" s="1986"/>
      <c r="S148" s="1987"/>
      <c r="T148" s="1988"/>
      <c r="U148" s="1989"/>
      <c r="V148" s="1990"/>
      <c r="W148" s="1991"/>
      <c r="X148" s="1992"/>
      <c r="Y148" s="1993"/>
      <c r="Z148" s="1994"/>
      <c r="AA148" s="1995"/>
      <c r="AB148" s="1996"/>
      <c r="AC148" s="2230"/>
      <c r="AD148" s="856" t="s">
        <v>694</v>
      </c>
      <c r="AE148" s="475"/>
      <c r="AZ148" s="1419">
        <v>0</v>
      </c>
    </row>
    <row r="149" spans="1:52" ht="58.5" customHeight="1">
      <c r="A149" s="2480"/>
      <c r="D149" s="1426"/>
      <c r="E149" s="478" t="str">
        <f>FHD_NUM_P_80</f>
        <v>17</v>
      </c>
      <c r="F149" s="163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49" s="1631" t="s">
        <v>695</v>
      </c>
      <c r="H149" s="489"/>
      <c r="I149" s="489">
        <f t="shared" ref="I149:AC149" si="19">I64/I128</f>
        <v>3.4106871447926498E-2</v>
      </c>
      <c r="J149" s="489">
        <f t="shared" si="19"/>
        <v>3.9457281003187503E-2</v>
      </c>
      <c r="K149" s="489">
        <f t="shared" si="19"/>
        <v>3.5974449578689859E-2</v>
      </c>
      <c r="L149" s="489">
        <f t="shared" si="19"/>
        <v>2.9609785061913352E-2</v>
      </c>
      <c r="M149" s="489">
        <f t="shared" si="19"/>
        <v>5.5713220319040149E-2</v>
      </c>
      <c r="N149" s="489">
        <f t="shared" si="19"/>
        <v>3.3090800742015161E-2</v>
      </c>
      <c r="O149" s="489">
        <f t="shared" si="19"/>
        <v>2.6610530973145433E-2</v>
      </c>
      <c r="P149" s="489">
        <f t="shared" si="19"/>
        <v>4.3373198405397113E-2</v>
      </c>
      <c r="Q149" s="489">
        <f t="shared" si="19"/>
        <v>3.412979707288704E-2</v>
      </c>
      <c r="R149" s="489">
        <f t="shared" si="19"/>
        <v>5.5326054720493713E-2</v>
      </c>
      <c r="S149" s="489">
        <f t="shared" si="19"/>
        <v>3.0159823906593934E-2</v>
      </c>
      <c r="T149" s="489">
        <f t="shared" si="19"/>
        <v>2.8042676078934702E-2</v>
      </c>
      <c r="U149" s="489">
        <f t="shared" si="19"/>
        <v>6.9046765212265979E-2</v>
      </c>
      <c r="V149" s="489">
        <f t="shared" si="19"/>
        <v>3.4476752139350364E-2</v>
      </c>
      <c r="W149" s="489">
        <f t="shared" si="19"/>
        <v>2.1919935231100637E-2</v>
      </c>
      <c r="X149" s="489">
        <f t="shared" si="19"/>
        <v>5.2823267049507995E-2</v>
      </c>
      <c r="Y149" s="489">
        <f t="shared" si="19"/>
        <v>2.7402911449624544E-2</v>
      </c>
      <c r="Z149" s="489">
        <f t="shared" si="19"/>
        <v>2.7983631227150186E-2</v>
      </c>
      <c r="AA149" s="489">
        <f t="shared" si="19"/>
        <v>2.0580951086546156E-2</v>
      </c>
      <c r="AB149" s="489">
        <f t="shared" si="19"/>
        <v>2.3608915341455098E-2</v>
      </c>
      <c r="AC149" s="489">
        <f t="shared" si="19"/>
        <v>0</v>
      </c>
      <c r="AD149" s="223" t="str">
        <f>FHD_NOTE_P_80</f>
        <v>Регулируемыми организациями указывается информация с по договорам, заключенным в рамках осуществления регулируемой деятельности.</v>
      </c>
      <c r="AE149" s="475"/>
      <c r="AZ149" s="1419">
        <v>0</v>
      </c>
    </row>
    <row r="150" spans="1:52" ht="59.25" customHeight="1">
      <c r="A150" s="2480"/>
      <c r="D150" s="1426"/>
      <c r="E150" s="478" t="str">
        <f>FHD_NUM_P_81</f>
        <v>18</v>
      </c>
      <c r="F150" s="163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50" s="1631" t="s">
        <v>696</v>
      </c>
      <c r="H150" s="489"/>
      <c r="I150" s="489">
        <f>2198/I128</f>
        <v>5.8888097343793161E-2</v>
      </c>
      <c r="J150" s="489">
        <f>72170.2/J128</f>
        <v>0.20052002809439792</v>
      </c>
      <c r="K150" s="489">
        <v>0</v>
      </c>
      <c r="L150" s="489">
        <f>72170.2/L128</f>
        <v>0.54749512759514196</v>
      </c>
      <c r="M150" s="489">
        <f>92941.63/M128</f>
        <v>0.80410324248469955</v>
      </c>
      <c r="N150" s="489">
        <f>29/N128</f>
        <v>2.7873626743303119E-2</v>
      </c>
      <c r="O150" s="489">
        <f>434/O128</f>
        <v>0.15001780165157849</v>
      </c>
      <c r="P150" s="489">
        <f>86/P128</f>
        <v>0.10548911376878259</v>
      </c>
      <c r="Q150" s="489">
        <f>63287.06/Q128</f>
        <v>0.46099115444423688</v>
      </c>
      <c r="R150" s="489">
        <f>220278.05/R128</f>
        <v>3.2877796887507178</v>
      </c>
      <c r="S150" s="489">
        <f>9737/S128</f>
        <v>0.66561393434778449</v>
      </c>
      <c r="T150" s="489">
        <f>694.8/T128</f>
        <v>0.11147120166853841</v>
      </c>
      <c r="U150" s="489">
        <f>34768/U128</f>
        <v>1.0785624544368786</v>
      </c>
      <c r="V150" s="489">
        <f>397.5/V128</f>
        <v>0.12083719657703941</v>
      </c>
      <c r="W150" s="489">
        <v>0</v>
      </c>
      <c r="X150" s="489">
        <f>133287.03/X128</f>
        <v>0.61926421557583866</v>
      </c>
      <c r="Y150" s="489">
        <f>199/Y128</f>
        <v>4.366735568926397E-2</v>
      </c>
      <c r="Z150" s="489">
        <f>9868.84/Z128</f>
        <v>2.2777890616344769</v>
      </c>
      <c r="AA150" s="489">
        <f>5475.79/AA128</f>
        <v>1.0336515954635375</v>
      </c>
      <c r="AB150" s="489">
        <f>7660.86/AB128</f>
        <v>1.1308560623170498</v>
      </c>
      <c r="AC150" s="489">
        <v>0</v>
      </c>
      <c r="AD150" s="223" t="str">
        <f>FHD_NOTE_P_81</f>
        <v>Регулируемыми организациями указывается информация с по договорам, заключенным в рамках осуществления регулируемой деятельности.</v>
      </c>
      <c r="AE150" s="475"/>
      <c r="AZ150" s="1419">
        <v>0</v>
      </c>
    </row>
    <row r="151" spans="1:52" ht="80.25" customHeight="1">
      <c r="A151" s="2480"/>
      <c r="C151" s="1424" t="s">
        <v>674</v>
      </c>
      <c r="D151" s="1426"/>
      <c r="E151" s="478" t="str">
        <f>FHD_NUM_P_82</f>
        <v>19</v>
      </c>
      <c r="F151" s="163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51" s="1631" t="s">
        <v>390</v>
      </c>
      <c r="H151" s="334"/>
      <c r="I151" s="334"/>
      <c r="J151" s="717"/>
      <c r="K151" s="717"/>
      <c r="L151" s="717"/>
      <c r="M151" s="717"/>
      <c r="N151" s="717"/>
      <c r="O151" s="717"/>
      <c r="P151" s="717"/>
      <c r="Q151" s="717"/>
      <c r="R151" s="717"/>
      <c r="S151" s="717"/>
      <c r="T151" s="717"/>
      <c r="U151" s="717"/>
      <c r="V151" s="717"/>
      <c r="W151" s="717"/>
      <c r="X151" s="717"/>
      <c r="Y151" s="717"/>
      <c r="Z151" s="717"/>
      <c r="AA151" s="717"/>
      <c r="AB151" s="717"/>
      <c r="AC151" s="717"/>
      <c r="AD151" s="223" t="str">
        <f>FHD_NOTE_P_82</f>
        <v>Указывается ссылка на документ, предварительно загруженный в хранилище файлов ФГИС ЕИАС.</v>
      </c>
      <c r="AE151" s="475"/>
      <c r="AZ151" s="1419">
        <v>0</v>
      </c>
    </row>
    <row r="152" spans="1:52" ht="33" customHeight="1">
      <c r="A152" s="2480"/>
      <c r="C152" s="1424" t="s">
        <v>674</v>
      </c>
      <c r="D152" s="1426"/>
      <c r="E152" s="478" t="str">
        <f>FHD_NUM_P_83</f>
        <v>19.1</v>
      </c>
      <c r="F152" s="1312" t="str">
        <f>FHD_P_83</f>
        <v>Информация о показателях физического износа объектов теплоснабжения</v>
      </c>
      <c r="G152" s="1631" t="s">
        <v>390</v>
      </c>
      <c r="H152" s="334"/>
      <c r="I152" s="334"/>
      <c r="J152" s="717"/>
      <c r="K152" s="717"/>
      <c r="L152" s="717"/>
      <c r="M152" s="717"/>
      <c r="N152" s="717"/>
      <c r="O152" s="717"/>
      <c r="P152" s="717"/>
      <c r="Q152" s="717"/>
      <c r="R152" s="717"/>
      <c r="S152" s="717"/>
      <c r="T152" s="717"/>
      <c r="U152" s="717"/>
      <c r="V152" s="717"/>
      <c r="W152" s="717"/>
      <c r="X152" s="717"/>
      <c r="Y152" s="717"/>
      <c r="Z152" s="717"/>
      <c r="AA152" s="717"/>
      <c r="AB152" s="717"/>
      <c r="AC152" s="717"/>
      <c r="AD152" s="223" t="str">
        <f>FHD_NOTE_P_83</f>
        <v>Указывается ссылка на документ, предварительно загруженный в хранилище файлов ФГИС ЕИАС.</v>
      </c>
      <c r="AE152" s="475"/>
      <c r="AZ152" s="1419">
        <v>0</v>
      </c>
    </row>
    <row r="153" spans="1:52" ht="31.5" customHeight="1">
      <c r="A153" s="2480"/>
      <c r="C153" s="1424" t="s">
        <v>674</v>
      </c>
      <c r="D153" s="1426"/>
      <c r="E153" s="478" t="str">
        <f>FHD_NUM_P_84</f>
        <v>19.2</v>
      </c>
      <c r="F153" s="1312" t="str">
        <f>FHD_P_84</f>
        <v>Информация о показателях энергетической эффективности объектов теплоснабжения</v>
      </c>
      <c r="G153" s="1631" t="s">
        <v>390</v>
      </c>
      <c r="H153" s="334"/>
      <c r="I153" s="334"/>
      <c r="J153" s="717"/>
      <c r="K153" s="717"/>
      <c r="L153" s="717"/>
      <c r="M153" s="717"/>
      <c r="N153" s="717"/>
      <c r="O153" s="717"/>
      <c r="P153" s="717"/>
      <c r="Q153" s="717"/>
      <c r="R153" s="717"/>
      <c r="S153" s="717"/>
      <c r="T153" s="717"/>
      <c r="U153" s="717"/>
      <c r="V153" s="717"/>
      <c r="W153" s="717"/>
      <c r="X153" s="717"/>
      <c r="Y153" s="717"/>
      <c r="Z153" s="717"/>
      <c r="AA153" s="717"/>
      <c r="AB153" s="717"/>
      <c r="AC153" s="717"/>
      <c r="AD153" s="223" t="str">
        <f>FHD_NOTE_P_84</f>
        <v>Указывается ссылка на документ, предварительно загруженный в хранилище файлов ФГИС ЕИАС.</v>
      </c>
      <c r="AE153" s="475"/>
      <c r="AZ153" s="1419">
        <v>0</v>
      </c>
    </row>
    <row r="154" spans="1:52" ht="11.45" customHeight="1">
      <c r="D154" s="1426"/>
      <c r="AZ154" s="1419">
        <v>11</v>
      </c>
    </row>
    <row r="155" spans="1:52" ht="13.5" customHeight="1">
      <c r="D155" s="1426"/>
      <c r="E155" s="270"/>
      <c r="F155" s="302"/>
      <c r="G155" s="302"/>
      <c r="H155" s="302"/>
      <c r="I155" s="1435"/>
      <c r="J155" s="1474"/>
      <c r="K155" s="1474"/>
      <c r="L155" s="1474"/>
      <c r="M155" s="1474"/>
      <c r="N155" s="1474"/>
      <c r="O155" s="1474"/>
      <c r="P155" s="1474"/>
      <c r="Q155" s="1474"/>
      <c r="R155" s="1474"/>
      <c r="S155" s="1474"/>
      <c r="T155" s="1474"/>
      <c r="U155" s="1474"/>
      <c r="V155" s="1474"/>
      <c r="W155" s="1474"/>
      <c r="X155" s="1474"/>
      <c r="Y155" s="1474"/>
      <c r="Z155" s="1474"/>
      <c r="AA155" s="1474"/>
      <c r="AB155" s="1474"/>
      <c r="AC155" s="1474"/>
      <c r="AD155" s="512"/>
      <c r="AZ155" s="1419">
        <v>13</v>
      </c>
    </row>
    <row r="156" spans="1:52" s="1429" customFormat="1" ht="11.45" customHeight="1">
      <c r="A156" s="839"/>
      <c r="B156" s="1424"/>
      <c r="C156" s="1424"/>
      <c r="D156" s="284"/>
      <c r="F156" s="1428"/>
      <c r="G156" s="1419"/>
      <c r="H156" s="1419"/>
      <c r="I156" s="1419"/>
      <c r="J156" s="1423"/>
      <c r="K156" s="1423"/>
      <c r="L156" s="1423"/>
      <c r="M156" s="1423"/>
      <c r="N156" s="1423"/>
      <c r="O156" s="1423"/>
      <c r="P156" s="1423"/>
      <c r="Q156" s="1423"/>
      <c r="R156" s="1423"/>
      <c r="S156" s="1423"/>
      <c r="T156" s="1423"/>
      <c r="U156" s="1423"/>
      <c r="V156" s="1423"/>
      <c r="W156" s="1423"/>
      <c r="X156" s="1423"/>
      <c r="Y156" s="1423"/>
      <c r="Z156" s="1423"/>
      <c r="AA156" s="1423"/>
      <c r="AB156" s="1423"/>
      <c r="AC156" s="1423"/>
      <c r="AE156" s="961"/>
      <c r="AF156" s="1424"/>
      <c r="AG156" s="1424"/>
      <c r="AH156" s="961"/>
      <c r="AI156" s="961"/>
      <c r="AJ156" s="961"/>
      <c r="AK156" s="961"/>
      <c r="AL156" s="1424"/>
      <c r="AM156" s="961"/>
      <c r="AN156" s="961"/>
      <c r="AO156" s="476"/>
      <c r="AP156" s="961"/>
      <c r="AQ156" s="961"/>
      <c r="AR156" s="961"/>
      <c r="AS156" s="961"/>
      <c r="AT156" s="961"/>
      <c r="AU156" s="1420"/>
      <c r="AV156" s="498"/>
      <c r="AW156" s="498"/>
      <c r="AX156" s="498"/>
      <c r="AY156" s="498"/>
      <c r="AZ156" s="1429">
        <v>11</v>
      </c>
    </row>
    <row r="157" spans="1:52" s="1429" customFormat="1" ht="11.45" customHeight="1">
      <c r="A157" s="839"/>
      <c r="B157" s="1424"/>
      <c r="C157" s="1424"/>
      <c r="D157" s="284"/>
      <c r="AE157" s="961"/>
      <c r="AF157" s="1424"/>
      <c r="AG157" s="1424"/>
      <c r="AH157" s="961"/>
      <c r="AI157" s="961"/>
      <c r="AJ157" s="961"/>
      <c r="AK157" s="961"/>
      <c r="AL157" s="1424"/>
      <c r="AM157" s="961"/>
      <c r="AN157" s="961"/>
      <c r="AO157" s="476"/>
      <c r="AP157" s="961"/>
      <c r="AQ157" s="961"/>
      <c r="AR157" s="961"/>
      <c r="AS157" s="961"/>
      <c r="AT157" s="961"/>
      <c r="AU157" s="1420"/>
      <c r="AV157" s="498"/>
      <c r="AW157" s="498"/>
      <c r="AX157" s="498"/>
      <c r="AY157" s="498"/>
      <c r="AZ157" s="1429">
        <v>11</v>
      </c>
    </row>
    <row r="158" spans="1:52" s="1429" customFormat="1" ht="11.45" customHeight="1">
      <c r="A158" s="839"/>
      <c r="B158" s="1424"/>
      <c r="C158" s="1424"/>
      <c r="D158" s="284"/>
      <c r="AE158" s="961"/>
      <c r="AF158" s="1424"/>
      <c r="AG158" s="1424"/>
      <c r="AH158" s="961"/>
      <c r="AI158" s="961"/>
      <c r="AJ158" s="961"/>
      <c r="AK158" s="961"/>
      <c r="AL158" s="1424"/>
      <c r="AM158" s="961"/>
      <c r="AN158" s="961"/>
      <c r="AO158" s="476"/>
      <c r="AP158" s="961"/>
      <c r="AQ158" s="961"/>
      <c r="AR158" s="961"/>
      <c r="AS158" s="961"/>
      <c r="AT158" s="961"/>
      <c r="AU158" s="1420"/>
      <c r="AV158" s="498"/>
      <c r="AW158" s="498"/>
      <c r="AX158" s="498"/>
      <c r="AY158" s="498"/>
      <c r="AZ158" s="1429">
        <v>11</v>
      </c>
    </row>
    <row r="159" spans="1:52" s="1429" customFormat="1" ht="11.45" customHeight="1">
      <c r="A159" s="839"/>
      <c r="B159" s="1424"/>
      <c r="C159" s="1424"/>
      <c r="D159" s="284"/>
      <c r="H159" s="498" t="str">
        <f t="shared" ref="H159:AC159" si="20">IF(H30-H31&lt;&gt;H95,"WARNING","")</f>
        <v/>
      </c>
      <c r="I159" s="498" t="str">
        <f t="shared" si="20"/>
        <v/>
      </c>
      <c r="J159" s="553" t="str">
        <f t="shared" si="20"/>
        <v/>
      </c>
      <c r="K159" s="553" t="str">
        <f t="shared" si="20"/>
        <v/>
      </c>
      <c r="L159" s="553" t="str">
        <f t="shared" si="20"/>
        <v/>
      </c>
      <c r="M159" s="553" t="str">
        <f t="shared" si="20"/>
        <v/>
      </c>
      <c r="N159" s="553" t="str">
        <f t="shared" si="20"/>
        <v/>
      </c>
      <c r="O159" s="553" t="str">
        <f t="shared" si="20"/>
        <v/>
      </c>
      <c r="P159" s="553" t="str">
        <f t="shared" si="20"/>
        <v/>
      </c>
      <c r="Q159" s="553" t="str">
        <f t="shared" si="20"/>
        <v/>
      </c>
      <c r="R159" s="553" t="str">
        <f t="shared" si="20"/>
        <v/>
      </c>
      <c r="S159" s="553" t="str">
        <f t="shared" si="20"/>
        <v/>
      </c>
      <c r="T159" s="553" t="str">
        <f t="shared" si="20"/>
        <v/>
      </c>
      <c r="U159" s="553" t="str">
        <f t="shared" si="20"/>
        <v/>
      </c>
      <c r="V159" s="553" t="str">
        <f t="shared" si="20"/>
        <v/>
      </c>
      <c r="W159" s="553" t="str">
        <f t="shared" si="20"/>
        <v/>
      </c>
      <c r="X159" s="553" t="str">
        <f t="shared" si="20"/>
        <v/>
      </c>
      <c r="Y159" s="553" t="str">
        <f t="shared" si="20"/>
        <v/>
      </c>
      <c r="Z159" s="553" t="str">
        <f t="shared" si="20"/>
        <v/>
      </c>
      <c r="AA159" s="553" t="str">
        <f t="shared" si="20"/>
        <v/>
      </c>
      <c r="AB159" s="553" t="str">
        <f t="shared" si="20"/>
        <v/>
      </c>
      <c r="AC159" s="553" t="str">
        <f t="shared" si="20"/>
        <v/>
      </c>
      <c r="AE159" s="961"/>
      <c r="AF159" s="1424"/>
      <c r="AG159" s="1424"/>
      <c r="AH159" s="961"/>
      <c r="AI159" s="961"/>
      <c r="AJ159" s="961"/>
      <c r="AK159" s="961"/>
      <c r="AL159" s="1424"/>
      <c r="AM159" s="961"/>
      <c r="AN159" s="961"/>
      <c r="AO159" s="476"/>
      <c r="AP159" s="961"/>
      <c r="AQ159" s="961"/>
      <c r="AR159" s="961"/>
      <c r="AS159" s="961"/>
      <c r="AT159" s="961"/>
      <c r="AU159" s="1420"/>
      <c r="AV159" s="498"/>
      <c r="AW159" s="498"/>
      <c r="AX159" s="498"/>
      <c r="AY159" s="498"/>
      <c r="AZ159" s="1429">
        <v>11</v>
      </c>
    </row>
    <row r="160" spans="1:52" s="1429" customFormat="1" ht="11.45" customHeight="1">
      <c r="A160" s="839"/>
      <c r="B160" s="1424"/>
      <c r="C160" s="1424"/>
      <c r="D160" s="284"/>
      <c r="AE160" s="961"/>
      <c r="AF160" s="1424"/>
      <c r="AG160" s="1424"/>
      <c r="AH160" s="961"/>
      <c r="AI160" s="961"/>
      <c r="AJ160" s="961"/>
      <c r="AK160" s="961"/>
      <c r="AL160" s="1424"/>
      <c r="AM160" s="961"/>
      <c r="AN160" s="961"/>
      <c r="AO160" s="476"/>
      <c r="AP160" s="961"/>
      <c r="AQ160" s="961"/>
      <c r="AR160" s="961"/>
      <c r="AS160" s="961"/>
      <c r="AT160" s="961"/>
      <c r="AU160" s="1420"/>
      <c r="AV160" s="498"/>
      <c r="AW160" s="498"/>
      <c r="AX160" s="498"/>
      <c r="AY160" s="498"/>
      <c r="AZ160" s="1429">
        <v>11</v>
      </c>
    </row>
    <row r="161" spans="1:52" s="1429" customFormat="1" ht="11.45" customHeight="1">
      <c r="A161" s="839"/>
      <c r="B161" s="1424"/>
      <c r="C161" s="1424"/>
      <c r="D161" s="284"/>
      <c r="AE161" s="961"/>
      <c r="AF161" s="1424"/>
      <c r="AG161" s="1424"/>
      <c r="AH161" s="961"/>
      <c r="AI161" s="961"/>
      <c r="AJ161" s="961"/>
      <c r="AK161" s="961"/>
      <c r="AL161" s="1424"/>
      <c r="AM161" s="961"/>
      <c r="AN161" s="961"/>
      <c r="AO161" s="476"/>
      <c r="AP161" s="961"/>
      <c r="AQ161" s="961"/>
      <c r="AR161" s="961"/>
      <c r="AS161" s="961"/>
      <c r="AT161" s="961"/>
      <c r="AU161" s="1420"/>
      <c r="AV161" s="498"/>
      <c r="AW161" s="498"/>
      <c r="AX161" s="498"/>
      <c r="AY161" s="498"/>
      <c r="AZ161" s="1429">
        <v>11</v>
      </c>
    </row>
    <row r="162" spans="1:52" s="1429" customFormat="1" ht="11.45" customHeight="1">
      <c r="A162" s="839"/>
      <c r="B162" s="1424"/>
      <c r="C162" s="1424"/>
      <c r="D162" s="284"/>
      <c r="AE162" s="961"/>
      <c r="AF162" s="1424"/>
      <c r="AG162" s="1424"/>
      <c r="AH162" s="961"/>
      <c r="AI162" s="961"/>
      <c r="AJ162" s="961"/>
      <c r="AK162" s="961"/>
      <c r="AL162" s="1424"/>
      <c r="AM162" s="961"/>
      <c r="AN162" s="961"/>
      <c r="AO162" s="476"/>
      <c r="AP162" s="961"/>
      <c r="AQ162" s="961"/>
      <c r="AR162" s="961"/>
      <c r="AS162" s="961"/>
      <c r="AT162" s="961"/>
      <c r="AU162" s="1420"/>
      <c r="AV162" s="498"/>
      <c r="AW162" s="498"/>
      <c r="AX162" s="498"/>
      <c r="AY162" s="498"/>
      <c r="AZ162" s="1429">
        <v>11</v>
      </c>
    </row>
    <row r="163" spans="1:52" s="1429" customFormat="1" ht="11.45" customHeight="1">
      <c r="A163" s="839"/>
      <c r="B163" s="1424"/>
      <c r="C163" s="1424"/>
      <c r="D163" s="284"/>
      <c r="AE163" s="961"/>
      <c r="AF163" s="1424"/>
      <c r="AG163" s="1424"/>
      <c r="AH163" s="961"/>
      <c r="AI163" s="961"/>
      <c r="AJ163" s="961"/>
      <c r="AK163" s="961"/>
      <c r="AL163" s="1424"/>
      <c r="AM163" s="961"/>
      <c r="AN163" s="961"/>
      <c r="AO163" s="476"/>
      <c r="AP163" s="961"/>
      <c r="AQ163" s="961"/>
      <c r="AR163" s="961"/>
      <c r="AS163" s="961"/>
      <c r="AT163" s="961"/>
      <c r="AU163" s="1420"/>
      <c r="AV163" s="498"/>
      <c r="AW163" s="498"/>
      <c r="AX163" s="498"/>
      <c r="AY163" s="498"/>
      <c r="AZ163" s="1429">
        <v>11</v>
      </c>
    </row>
    <row r="164" spans="1:52" s="1429" customFormat="1" ht="11.45" customHeight="1">
      <c r="A164" s="839"/>
      <c r="B164" s="1424"/>
      <c r="C164" s="1424"/>
      <c r="D164" s="284"/>
      <c r="AE164" s="961"/>
      <c r="AF164" s="1424"/>
      <c r="AG164" s="1424"/>
      <c r="AH164" s="961"/>
      <c r="AI164" s="961"/>
      <c r="AJ164" s="961"/>
      <c r="AK164" s="961"/>
      <c r="AL164" s="1424"/>
      <c r="AM164" s="961"/>
      <c r="AN164" s="961"/>
      <c r="AO164" s="476"/>
      <c r="AP164" s="961"/>
      <c r="AQ164" s="961"/>
      <c r="AR164" s="961"/>
      <c r="AS164" s="961"/>
      <c r="AT164" s="961"/>
      <c r="AU164" s="1420"/>
      <c r="AV164" s="498"/>
      <c r="AW164" s="498"/>
      <c r="AX164" s="498"/>
      <c r="AY164" s="498"/>
      <c r="AZ164" s="1429">
        <v>11</v>
      </c>
    </row>
    <row r="165" spans="1:52" s="1429" customFormat="1" ht="11.45" customHeight="1">
      <c r="A165" s="839"/>
      <c r="B165" s="1424"/>
      <c r="C165" s="1424"/>
      <c r="D165" s="284"/>
      <c r="AE165" s="961"/>
      <c r="AF165" s="1424"/>
      <c r="AG165" s="1424"/>
      <c r="AH165" s="961"/>
      <c r="AI165" s="961"/>
      <c r="AJ165" s="961"/>
      <c r="AK165" s="961"/>
      <c r="AL165" s="1424"/>
      <c r="AM165" s="961"/>
      <c r="AN165" s="961"/>
      <c r="AO165" s="476"/>
      <c r="AP165" s="961"/>
      <c r="AQ165" s="961"/>
      <c r="AR165" s="961"/>
      <c r="AS165" s="961"/>
      <c r="AT165" s="961"/>
      <c r="AU165" s="1420"/>
      <c r="AV165" s="498"/>
      <c r="AW165" s="498"/>
      <c r="AX165" s="498"/>
      <c r="AY165" s="498"/>
      <c r="AZ165" s="1429">
        <v>11</v>
      </c>
    </row>
    <row r="166" spans="1:52" s="1429" customFormat="1" ht="11.45" customHeight="1">
      <c r="A166" s="839"/>
      <c r="B166" s="1424"/>
      <c r="C166" s="1424"/>
      <c r="D166" s="284"/>
      <c r="AE166" s="961"/>
      <c r="AF166" s="1424"/>
      <c r="AG166" s="1424"/>
      <c r="AH166" s="961"/>
      <c r="AI166" s="961"/>
      <c r="AJ166" s="961"/>
      <c r="AK166" s="961"/>
      <c r="AL166" s="1424"/>
      <c r="AM166" s="961"/>
      <c r="AN166" s="961"/>
      <c r="AO166" s="476"/>
      <c r="AP166" s="961"/>
      <c r="AQ166" s="961"/>
      <c r="AR166" s="961"/>
      <c r="AS166" s="961"/>
      <c r="AT166" s="961"/>
      <c r="AU166" s="1420"/>
      <c r="AV166" s="498"/>
      <c r="AW166" s="498"/>
      <c r="AX166" s="498"/>
      <c r="AY166" s="498"/>
      <c r="AZ166" s="1429">
        <v>11</v>
      </c>
    </row>
    <row r="167" spans="1:52" s="1429" customFormat="1" ht="11.45" customHeight="1">
      <c r="A167" s="839"/>
      <c r="B167" s="1424"/>
      <c r="C167" s="1424"/>
      <c r="D167" s="284"/>
      <c r="AE167" s="961"/>
      <c r="AF167" s="1424"/>
      <c r="AG167" s="1424"/>
      <c r="AH167" s="961"/>
      <c r="AI167" s="961"/>
      <c r="AJ167" s="961"/>
      <c r="AK167" s="961"/>
      <c r="AL167" s="1424"/>
      <c r="AM167" s="961"/>
      <c r="AN167" s="961"/>
      <c r="AO167" s="476"/>
      <c r="AP167" s="961"/>
      <c r="AQ167" s="961"/>
      <c r="AR167" s="961"/>
      <c r="AS167" s="961"/>
      <c r="AT167" s="961"/>
      <c r="AU167" s="1420"/>
      <c r="AV167" s="498"/>
      <c r="AW167" s="498"/>
      <c r="AX167" s="498"/>
      <c r="AY167" s="498"/>
      <c r="AZ167" s="1429">
        <v>11</v>
      </c>
    </row>
    <row r="168" spans="1:52" s="1429" customFormat="1" ht="11.45" customHeight="1">
      <c r="A168" s="839"/>
      <c r="B168" s="1424"/>
      <c r="C168" s="1424"/>
      <c r="D168" s="284"/>
      <c r="AE168" s="961"/>
      <c r="AF168" s="1424"/>
      <c r="AG168" s="1424"/>
      <c r="AH168" s="961"/>
      <c r="AI168" s="961"/>
      <c r="AJ168" s="961"/>
      <c r="AK168" s="961"/>
      <c r="AL168" s="1424"/>
      <c r="AM168" s="961"/>
      <c r="AN168" s="961"/>
      <c r="AO168" s="476"/>
      <c r="AP168" s="961"/>
      <c r="AQ168" s="961"/>
      <c r="AR168" s="961"/>
      <c r="AS168" s="961"/>
      <c r="AT168" s="961"/>
      <c r="AU168" s="1420"/>
      <c r="AV168" s="498"/>
      <c r="AW168" s="498"/>
      <c r="AX168" s="498"/>
      <c r="AY168" s="498"/>
      <c r="AZ168" s="1429">
        <v>11</v>
      </c>
    </row>
    <row r="169" spans="1:52" s="1429" customFormat="1" ht="11.45" customHeight="1">
      <c r="A169" s="839"/>
      <c r="B169" s="1424"/>
      <c r="C169" s="1424"/>
      <c r="D169" s="284"/>
      <c r="AE169" s="961"/>
      <c r="AF169" s="1424"/>
      <c r="AG169" s="1424"/>
      <c r="AH169" s="961"/>
      <c r="AI169" s="961"/>
      <c r="AJ169" s="961"/>
      <c r="AK169" s="961"/>
      <c r="AL169" s="1424"/>
      <c r="AM169" s="961"/>
      <c r="AN169" s="961"/>
      <c r="AO169" s="476"/>
      <c r="AP169" s="961"/>
      <c r="AQ169" s="961"/>
      <c r="AR169" s="961"/>
      <c r="AS169" s="961"/>
      <c r="AT169" s="961"/>
      <c r="AU169" s="1420"/>
      <c r="AV169" s="498"/>
      <c r="AW169" s="498"/>
      <c r="AX169" s="498"/>
      <c r="AY169" s="498"/>
      <c r="AZ169" s="1429">
        <v>11</v>
      </c>
    </row>
    <row r="170" spans="1:52" s="1429" customFormat="1" ht="11.45" customHeight="1">
      <c r="A170" s="839"/>
      <c r="B170" s="1424"/>
      <c r="C170" s="1424"/>
      <c r="D170" s="284"/>
      <c r="AE170" s="961"/>
      <c r="AF170" s="1424"/>
      <c r="AG170" s="1424"/>
      <c r="AH170" s="961"/>
      <c r="AI170" s="961"/>
      <c r="AJ170" s="961"/>
      <c r="AK170" s="961"/>
      <c r="AL170" s="1424"/>
      <c r="AM170" s="961"/>
      <c r="AN170" s="961"/>
      <c r="AO170" s="476"/>
      <c r="AP170" s="961"/>
      <c r="AQ170" s="961"/>
      <c r="AR170" s="961"/>
      <c r="AS170" s="961"/>
      <c r="AT170" s="961"/>
      <c r="AU170" s="1420"/>
      <c r="AV170" s="498"/>
      <c r="AW170" s="498"/>
      <c r="AX170" s="498"/>
      <c r="AY170" s="498"/>
      <c r="AZ170" s="1429">
        <v>11</v>
      </c>
    </row>
    <row r="171" spans="1:52" s="1429" customFormat="1" ht="11.45" customHeight="1">
      <c r="A171" s="839"/>
      <c r="B171" s="1424"/>
      <c r="C171" s="1424"/>
      <c r="D171" s="284"/>
      <c r="AE171" s="961"/>
      <c r="AF171" s="1424"/>
      <c r="AG171" s="1424"/>
      <c r="AH171" s="961"/>
      <c r="AI171" s="961"/>
      <c r="AJ171" s="961"/>
      <c r="AK171" s="961"/>
      <c r="AL171" s="1424"/>
      <c r="AM171" s="961"/>
      <c r="AN171" s="961"/>
      <c r="AO171" s="476"/>
      <c r="AP171" s="961"/>
      <c r="AQ171" s="961"/>
      <c r="AR171" s="961"/>
      <c r="AS171" s="961"/>
      <c r="AT171" s="961"/>
      <c r="AU171" s="1420"/>
      <c r="AV171" s="498"/>
      <c r="AW171" s="498"/>
      <c r="AX171" s="498"/>
      <c r="AY171" s="498"/>
      <c r="AZ171" s="1429">
        <v>11</v>
      </c>
    </row>
    <row r="172" spans="1:52" s="1429" customFormat="1" ht="11.45" customHeight="1">
      <c r="A172" s="839"/>
      <c r="B172" s="1424"/>
      <c r="C172" s="1424"/>
      <c r="D172" s="284"/>
      <c r="AE172" s="961"/>
      <c r="AF172" s="1424"/>
      <c r="AG172" s="1424"/>
      <c r="AH172" s="961"/>
      <c r="AI172" s="961"/>
      <c r="AJ172" s="961"/>
      <c r="AK172" s="961"/>
      <c r="AL172" s="1424"/>
      <c r="AM172" s="961"/>
      <c r="AN172" s="961"/>
      <c r="AO172" s="476"/>
      <c r="AP172" s="961"/>
      <c r="AQ172" s="961"/>
      <c r="AR172" s="961"/>
      <c r="AS172" s="961"/>
      <c r="AT172" s="961"/>
      <c r="AU172" s="1420"/>
      <c r="AV172" s="498"/>
      <c r="AW172" s="498"/>
      <c r="AX172" s="498"/>
      <c r="AY172" s="498"/>
      <c r="AZ172" s="1429">
        <v>11</v>
      </c>
    </row>
    <row r="173" spans="1:52" s="1429" customFormat="1" ht="11.45" customHeight="1">
      <c r="A173" s="839"/>
      <c r="B173" s="1424"/>
      <c r="C173" s="1424"/>
      <c r="D173" s="284"/>
      <c r="AE173" s="961"/>
      <c r="AF173" s="1424"/>
      <c r="AG173" s="1424"/>
      <c r="AH173" s="961"/>
      <c r="AI173" s="961"/>
      <c r="AJ173" s="961"/>
      <c r="AK173" s="961"/>
      <c r="AL173" s="1424"/>
      <c r="AM173" s="961"/>
      <c r="AN173" s="961"/>
      <c r="AO173" s="476"/>
      <c r="AP173" s="961"/>
      <c r="AQ173" s="961"/>
      <c r="AR173" s="961"/>
      <c r="AS173" s="961"/>
      <c r="AT173" s="961"/>
      <c r="AU173" s="1420"/>
      <c r="AV173" s="498"/>
      <c r="AW173" s="498"/>
      <c r="AX173" s="498"/>
      <c r="AY173" s="498"/>
      <c r="AZ173" s="1429">
        <v>11</v>
      </c>
    </row>
    <row r="174" spans="1:52" s="1429" customFormat="1" ht="11.45" customHeight="1">
      <c r="A174" s="839"/>
      <c r="B174" s="1424"/>
      <c r="C174" s="1424"/>
      <c r="D174" s="284"/>
      <c r="AE174" s="961"/>
      <c r="AF174" s="1424"/>
      <c r="AG174" s="1424"/>
      <c r="AH174" s="961"/>
      <c r="AI174" s="961"/>
      <c r="AJ174" s="961"/>
      <c r="AK174" s="961"/>
      <c r="AL174" s="1424"/>
      <c r="AM174" s="961"/>
      <c r="AN174" s="961"/>
      <c r="AO174" s="476"/>
      <c r="AP174" s="961"/>
      <c r="AQ174" s="961"/>
      <c r="AR174" s="961"/>
      <c r="AS174" s="961"/>
      <c r="AT174" s="961"/>
      <c r="AU174" s="1420"/>
      <c r="AV174" s="498"/>
      <c r="AW174" s="498"/>
      <c r="AX174" s="498"/>
      <c r="AY174" s="498"/>
      <c r="AZ174" s="1429">
        <v>11</v>
      </c>
    </row>
    <row r="175" spans="1:52" s="1429" customFormat="1" ht="11.45" customHeight="1">
      <c r="A175" s="839"/>
      <c r="B175" s="1424"/>
      <c r="C175" s="1424"/>
      <c r="D175" s="284"/>
      <c r="AE175" s="961"/>
      <c r="AF175" s="1424"/>
      <c r="AG175" s="1424"/>
      <c r="AH175" s="961"/>
      <c r="AI175" s="961"/>
      <c r="AJ175" s="961"/>
      <c r="AK175" s="961"/>
      <c r="AL175" s="1424"/>
      <c r="AM175" s="961"/>
      <c r="AN175" s="961"/>
      <c r="AO175" s="476"/>
      <c r="AP175" s="961"/>
      <c r="AQ175" s="961"/>
      <c r="AR175" s="961"/>
      <c r="AS175" s="961"/>
      <c r="AT175" s="961"/>
      <c r="AU175" s="1420"/>
      <c r="AV175" s="498"/>
      <c r="AW175" s="498"/>
      <c r="AX175" s="498"/>
      <c r="AY175" s="498"/>
      <c r="AZ175" s="1429">
        <v>11</v>
      </c>
    </row>
    <row r="176" spans="1:52" s="1429" customFormat="1" ht="11.45" customHeight="1">
      <c r="A176" s="839"/>
      <c r="B176" s="1424"/>
      <c r="C176" s="1424"/>
      <c r="D176" s="284"/>
      <c r="AE176" s="961"/>
      <c r="AF176" s="1424"/>
      <c r="AG176" s="1424"/>
      <c r="AH176" s="961"/>
      <c r="AI176" s="961"/>
      <c r="AJ176" s="961"/>
      <c r="AK176" s="961"/>
      <c r="AL176" s="1424"/>
      <c r="AM176" s="961"/>
      <c r="AN176" s="961"/>
      <c r="AO176" s="476"/>
      <c r="AP176" s="961"/>
      <c r="AQ176" s="961"/>
      <c r="AR176" s="961"/>
      <c r="AS176" s="961"/>
      <c r="AT176" s="961"/>
      <c r="AU176" s="1420"/>
      <c r="AV176" s="498"/>
      <c r="AW176" s="498"/>
      <c r="AX176" s="498"/>
      <c r="AY176" s="498"/>
      <c r="AZ176" s="1429">
        <v>11</v>
      </c>
    </row>
    <row r="177" spans="1:52" s="1429" customFormat="1" ht="11.45" customHeight="1">
      <c r="A177" s="839"/>
      <c r="B177" s="1424"/>
      <c r="C177" s="1424"/>
      <c r="D177" s="284"/>
      <c r="AE177" s="961"/>
      <c r="AF177" s="1424"/>
      <c r="AG177" s="1424"/>
      <c r="AH177" s="961"/>
      <c r="AI177" s="961"/>
      <c r="AJ177" s="961"/>
      <c r="AK177" s="961"/>
      <c r="AL177" s="1424"/>
      <c r="AM177" s="961"/>
      <c r="AN177" s="961"/>
      <c r="AO177" s="476"/>
      <c r="AP177" s="961"/>
      <c r="AQ177" s="961"/>
      <c r="AR177" s="961"/>
      <c r="AS177" s="961"/>
      <c r="AT177" s="961"/>
      <c r="AU177" s="1420"/>
      <c r="AV177" s="498"/>
      <c r="AW177" s="498"/>
      <c r="AX177" s="498"/>
      <c r="AY177" s="498"/>
      <c r="AZ177" s="1429">
        <v>11</v>
      </c>
    </row>
    <row r="178" spans="1:52" s="1429" customFormat="1" ht="11.45" customHeight="1">
      <c r="A178" s="839"/>
      <c r="B178" s="1424"/>
      <c r="C178" s="1424"/>
      <c r="D178" s="284"/>
      <c r="AE178" s="961"/>
      <c r="AF178" s="1424"/>
      <c r="AG178" s="1424"/>
      <c r="AH178" s="961"/>
      <c r="AI178" s="961"/>
      <c r="AJ178" s="961"/>
      <c r="AK178" s="961"/>
      <c r="AL178" s="1424"/>
      <c r="AM178" s="961"/>
      <c r="AN178" s="961"/>
      <c r="AO178" s="476"/>
      <c r="AP178" s="961"/>
      <c r="AQ178" s="961"/>
      <c r="AR178" s="961"/>
      <c r="AS178" s="961"/>
      <c r="AT178" s="961"/>
      <c r="AU178" s="1420"/>
      <c r="AV178" s="498"/>
      <c r="AW178" s="498"/>
      <c r="AX178" s="498"/>
      <c r="AY178" s="498"/>
      <c r="AZ178" s="1429">
        <v>11</v>
      </c>
    </row>
    <row r="179" spans="1:52" s="1429" customFormat="1" ht="11.45" customHeight="1">
      <c r="A179" s="839"/>
      <c r="B179" s="1424"/>
      <c r="C179" s="1424"/>
      <c r="D179" s="284"/>
      <c r="AE179" s="961"/>
      <c r="AF179" s="1424"/>
      <c r="AG179" s="1424"/>
      <c r="AH179" s="961"/>
      <c r="AI179" s="961"/>
      <c r="AJ179" s="961"/>
      <c r="AK179" s="961"/>
      <c r="AL179" s="1424"/>
      <c r="AM179" s="961"/>
      <c r="AN179" s="961"/>
      <c r="AO179" s="476"/>
      <c r="AP179" s="961"/>
      <c r="AQ179" s="961"/>
      <c r="AR179" s="961"/>
      <c r="AS179" s="961"/>
      <c r="AT179" s="961"/>
      <c r="AU179" s="1420"/>
      <c r="AV179" s="498"/>
      <c r="AW179" s="498"/>
      <c r="AX179" s="498"/>
      <c r="AY179" s="498"/>
      <c r="AZ179" s="1429">
        <v>11</v>
      </c>
    </row>
    <row r="180" spans="1:52" s="1429" customFormat="1" ht="11.45" customHeight="1">
      <c r="A180" s="839"/>
      <c r="B180" s="1424"/>
      <c r="C180" s="1424"/>
      <c r="D180" s="284"/>
      <c r="AE180" s="961"/>
      <c r="AF180" s="1424"/>
      <c r="AG180" s="1424"/>
      <c r="AH180" s="961"/>
      <c r="AI180" s="961"/>
      <c r="AJ180" s="961"/>
      <c r="AK180" s="961"/>
      <c r="AL180" s="1424"/>
      <c r="AM180" s="961"/>
      <c r="AN180" s="961"/>
      <c r="AO180" s="476"/>
      <c r="AP180" s="961"/>
      <c r="AQ180" s="961"/>
      <c r="AR180" s="961"/>
      <c r="AS180" s="961"/>
      <c r="AT180" s="961"/>
      <c r="AU180" s="1420"/>
      <c r="AV180" s="498"/>
      <c r="AW180" s="498"/>
      <c r="AX180" s="498"/>
      <c r="AY180" s="498"/>
      <c r="AZ180" s="1429">
        <v>11</v>
      </c>
    </row>
    <row r="181" spans="1:52" s="1429" customFormat="1" ht="11.45" customHeight="1">
      <c r="A181" s="839"/>
      <c r="B181" s="1424"/>
      <c r="C181" s="1424"/>
      <c r="D181" s="284"/>
      <c r="AE181" s="961"/>
      <c r="AF181" s="1424"/>
      <c r="AG181" s="1424"/>
      <c r="AH181" s="961"/>
      <c r="AI181" s="961"/>
      <c r="AJ181" s="961"/>
      <c r="AK181" s="961"/>
      <c r="AL181" s="1424"/>
      <c r="AM181" s="961"/>
      <c r="AN181" s="961"/>
      <c r="AO181" s="476"/>
      <c r="AP181" s="961"/>
      <c r="AQ181" s="961"/>
      <c r="AR181" s="961"/>
      <c r="AS181" s="961"/>
      <c r="AT181" s="961"/>
      <c r="AU181" s="1420"/>
      <c r="AV181" s="498"/>
      <c r="AW181" s="498"/>
      <c r="AX181" s="498"/>
      <c r="AY181" s="498"/>
      <c r="AZ181" s="1429">
        <v>11</v>
      </c>
    </row>
    <row r="182" spans="1:52" s="1429" customFormat="1" ht="11.45" customHeight="1">
      <c r="A182" s="839"/>
      <c r="B182" s="1424"/>
      <c r="C182" s="1424"/>
      <c r="D182" s="284"/>
      <c r="AE182" s="961"/>
      <c r="AF182" s="1424"/>
      <c r="AG182" s="1424"/>
      <c r="AH182" s="961"/>
      <c r="AI182" s="961"/>
      <c r="AJ182" s="961"/>
      <c r="AK182" s="961"/>
      <c r="AL182" s="1424"/>
      <c r="AM182" s="961"/>
      <c r="AN182" s="961"/>
      <c r="AO182" s="476"/>
      <c r="AP182" s="961"/>
      <c r="AQ182" s="961"/>
      <c r="AR182" s="961"/>
      <c r="AS182" s="961"/>
      <c r="AT182" s="961"/>
      <c r="AU182" s="1420"/>
      <c r="AV182" s="498"/>
      <c r="AW182" s="498"/>
      <c r="AX182" s="498"/>
      <c r="AY182" s="498"/>
      <c r="AZ182" s="1429">
        <v>11</v>
      </c>
    </row>
    <row r="183" spans="1:52" s="1429" customFormat="1" ht="11.45" customHeight="1">
      <c r="A183" s="839"/>
      <c r="B183" s="1424"/>
      <c r="C183" s="1424"/>
      <c r="D183" s="284"/>
      <c r="AE183" s="961"/>
      <c r="AF183" s="1424"/>
      <c r="AG183" s="1424"/>
      <c r="AH183" s="961"/>
      <c r="AI183" s="961"/>
      <c r="AJ183" s="961"/>
      <c r="AK183" s="961"/>
      <c r="AL183" s="1424"/>
      <c r="AM183" s="961"/>
      <c r="AN183" s="961"/>
      <c r="AO183" s="476"/>
      <c r="AP183" s="961"/>
      <c r="AQ183" s="961"/>
      <c r="AR183" s="961"/>
      <c r="AS183" s="961"/>
      <c r="AT183" s="961"/>
      <c r="AU183" s="1420"/>
      <c r="AV183" s="498"/>
      <c r="AW183" s="498"/>
      <c r="AX183" s="498"/>
      <c r="AY183" s="498"/>
      <c r="AZ183" s="1429">
        <v>11</v>
      </c>
    </row>
    <row r="184" spans="1:52" s="1429" customFormat="1" ht="11.45" customHeight="1">
      <c r="A184" s="839"/>
      <c r="B184" s="1424"/>
      <c r="C184" s="1424"/>
      <c r="D184" s="284"/>
      <c r="AE184" s="961"/>
      <c r="AF184" s="1424"/>
      <c r="AG184" s="1424"/>
      <c r="AH184" s="961"/>
      <c r="AI184" s="961"/>
      <c r="AJ184" s="961"/>
      <c r="AK184" s="961"/>
      <c r="AL184" s="1424"/>
      <c r="AM184" s="961"/>
      <c r="AN184" s="961"/>
      <c r="AO184" s="476"/>
      <c r="AP184" s="961"/>
      <c r="AQ184" s="961"/>
      <c r="AR184" s="961"/>
      <c r="AS184" s="961"/>
      <c r="AT184" s="961"/>
      <c r="AU184" s="1420"/>
      <c r="AV184" s="498"/>
      <c r="AW184" s="498"/>
      <c r="AX184" s="498"/>
      <c r="AY184" s="498"/>
      <c r="AZ184" s="1429">
        <v>11</v>
      </c>
    </row>
    <row r="185" spans="1:52" s="1429" customFormat="1" ht="11.45" customHeight="1">
      <c r="A185" s="839"/>
      <c r="B185" s="1424"/>
      <c r="C185" s="1424"/>
      <c r="D185" s="284"/>
      <c r="AE185" s="961"/>
      <c r="AF185" s="1424"/>
      <c r="AG185" s="1424"/>
      <c r="AH185" s="961"/>
      <c r="AI185" s="961"/>
      <c r="AJ185" s="961"/>
      <c r="AK185" s="961"/>
      <c r="AL185" s="1424"/>
      <c r="AM185" s="961"/>
      <c r="AN185" s="961"/>
      <c r="AO185" s="476"/>
      <c r="AP185" s="961"/>
      <c r="AQ185" s="961"/>
      <c r="AR185" s="961"/>
      <c r="AS185" s="961"/>
      <c r="AT185" s="961"/>
      <c r="AU185" s="1420"/>
      <c r="AV185" s="498"/>
      <c r="AW185" s="498"/>
      <c r="AX185" s="498"/>
      <c r="AY185" s="498"/>
      <c r="AZ185" s="1429">
        <v>11</v>
      </c>
    </row>
    <row r="186" spans="1:52" s="1429" customFormat="1" ht="11.45" customHeight="1">
      <c r="A186" s="839"/>
      <c r="B186" s="1424"/>
      <c r="C186" s="1424"/>
      <c r="D186" s="284"/>
      <c r="AE186" s="961"/>
      <c r="AF186" s="1424"/>
      <c r="AG186" s="1424"/>
      <c r="AH186" s="961"/>
      <c r="AI186" s="961"/>
      <c r="AJ186" s="961"/>
      <c r="AK186" s="961"/>
      <c r="AL186" s="1424"/>
      <c r="AM186" s="961"/>
      <c r="AN186" s="961"/>
      <c r="AO186" s="476"/>
      <c r="AP186" s="961"/>
      <c r="AQ186" s="961"/>
      <c r="AR186" s="961"/>
      <c r="AS186" s="961"/>
      <c r="AT186" s="961"/>
      <c r="AU186" s="1420"/>
      <c r="AV186" s="498"/>
      <c r="AW186" s="498"/>
      <c r="AX186" s="498"/>
      <c r="AY186" s="498"/>
      <c r="AZ186" s="1429">
        <v>11</v>
      </c>
    </row>
    <row r="187" spans="1:52" s="1429" customFormat="1" ht="11.45" customHeight="1">
      <c r="A187" s="839"/>
      <c r="B187" s="1424"/>
      <c r="C187" s="1424"/>
      <c r="D187" s="284"/>
      <c r="AE187" s="961"/>
      <c r="AF187" s="1424"/>
      <c r="AG187" s="1424"/>
      <c r="AH187" s="961"/>
      <c r="AI187" s="961"/>
      <c r="AJ187" s="961"/>
      <c r="AK187" s="961"/>
      <c r="AL187" s="1424"/>
      <c r="AM187" s="961"/>
      <c r="AN187" s="961"/>
      <c r="AO187" s="476"/>
      <c r="AP187" s="961"/>
      <c r="AQ187" s="961"/>
      <c r="AR187" s="961"/>
      <c r="AS187" s="961"/>
      <c r="AT187" s="961"/>
      <c r="AU187" s="1420"/>
      <c r="AV187" s="498"/>
      <c r="AW187" s="498"/>
      <c r="AX187" s="498"/>
      <c r="AY187" s="498"/>
      <c r="AZ187" s="1429">
        <v>11</v>
      </c>
    </row>
    <row r="188" spans="1:52" s="1429" customFormat="1" ht="11.45" customHeight="1">
      <c r="A188" s="839"/>
      <c r="B188" s="1424"/>
      <c r="C188" s="1424"/>
      <c r="D188" s="284"/>
      <c r="AE188" s="961"/>
      <c r="AF188" s="1424"/>
      <c r="AG188" s="1424"/>
      <c r="AH188" s="961"/>
      <c r="AI188" s="961"/>
      <c r="AJ188" s="961"/>
      <c r="AK188" s="961"/>
      <c r="AL188" s="1424"/>
      <c r="AM188" s="961"/>
      <c r="AN188" s="961"/>
      <c r="AO188" s="476"/>
      <c r="AP188" s="961"/>
      <c r="AQ188" s="961"/>
      <c r="AR188" s="961"/>
      <c r="AS188" s="961"/>
      <c r="AT188" s="961"/>
      <c r="AU188" s="1420"/>
      <c r="AV188" s="498"/>
      <c r="AW188" s="498"/>
      <c r="AX188" s="498"/>
      <c r="AY188" s="498"/>
      <c r="AZ188" s="1429">
        <v>11</v>
      </c>
    </row>
    <row r="189" spans="1:52" s="1429" customFormat="1" ht="11.45" customHeight="1">
      <c r="A189" s="839"/>
      <c r="B189" s="1424"/>
      <c r="C189" s="1424"/>
      <c r="D189" s="284"/>
      <c r="AE189" s="961"/>
      <c r="AF189" s="1424"/>
      <c r="AG189" s="1424"/>
      <c r="AH189" s="961"/>
      <c r="AI189" s="961"/>
      <c r="AJ189" s="961"/>
      <c r="AK189" s="961"/>
      <c r="AL189" s="1424"/>
      <c r="AM189" s="961"/>
      <c r="AN189" s="961"/>
      <c r="AO189" s="476"/>
      <c r="AP189" s="961"/>
      <c r="AQ189" s="961"/>
      <c r="AR189" s="961"/>
      <c r="AS189" s="961"/>
      <c r="AT189" s="961"/>
      <c r="AU189" s="1420"/>
      <c r="AV189" s="498"/>
      <c r="AW189" s="498"/>
      <c r="AX189" s="498"/>
      <c r="AY189" s="498"/>
      <c r="AZ189" s="1429">
        <v>11</v>
      </c>
    </row>
    <row r="190" spans="1:52" s="1429" customFormat="1" ht="11.45" customHeight="1">
      <c r="A190" s="839"/>
      <c r="B190" s="1424"/>
      <c r="C190" s="1424"/>
      <c r="D190" s="284"/>
      <c r="AE190" s="961"/>
      <c r="AF190" s="1424"/>
      <c r="AG190" s="1424"/>
      <c r="AH190" s="961"/>
      <c r="AI190" s="961"/>
      <c r="AJ190" s="961"/>
      <c r="AK190" s="961"/>
      <c r="AL190" s="1424"/>
      <c r="AM190" s="961"/>
      <c r="AN190" s="961"/>
      <c r="AO190" s="476"/>
      <c r="AP190" s="961"/>
      <c r="AQ190" s="961"/>
      <c r="AR190" s="961"/>
      <c r="AS190" s="961"/>
      <c r="AT190" s="961"/>
      <c r="AU190" s="1420"/>
      <c r="AV190" s="498"/>
      <c r="AW190" s="498"/>
      <c r="AX190" s="498"/>
      <c r="AY190" s="498"/>
      <c r="AZ190" s="1429">
        <v>11</v>
      </c>
    </row>
    <row r="191" spans="1:52" s="1429" customFormat="1" ht="11.45" customHeight="1">
      <c r="A191" s="839"/>
      <c r="B191" s="1424"/>
      <c r="C191" s="1424"/>
      <c r="D191" s="284"/>
      <c r="AE191" s="961"/>
      <c r="AF191" s="1424"/>
      <c r="AG191" s="1424"/>
      <c r="AH191" s="961"/>
      <c r="AI191" s="961"/>
      <c r="AJ191" s="961"/>
      <c r="AK191" s="961"/>
      <c r="AL191" s="1424"/>
      <c r="AM191" s="961"/>
      <c r="AN191" s="961"/>
      <c r="AO191" s="476"/>
      <c r="AP191" s="961"/>
      <c r="AQ191" s="961"/>
      <c r="AR191" s="961"/>
      <c r="AS191" s="961"/>
      <c r="AT191" s="961"/>
      <c r="AU191" s="1420"/>
      <c r="AV191" s="498"/>
      <c r="AW191" s="498"/>
      <c r="AX191" s="498"/>
      <c r="AY191" s="498"/>
      <c r="AZ191" s="1429">
        <v>11</v>
      </c>
    </row>
    <row r="192" spans="1:52" s="1429" customFormat="1" ht="11.45" customHeight="1">
      <c r="A192" s="839"/>
      <c r="B192" s="1424"/>
      <c r="C192" s="1424"/>
      <c r="D192" s="284"/>
      <c r="AE192" s="961"/>
      <c r="AF192" s="1424"/>
      <c r="AG192" s="1424"/>
      <c r="AH192" s="961"/>
      <c r="AI192" s="961"/>
      <c r="AJ192" s="961"/>
      <c r="AK192" s="961"/>
      <c r="AL192" s="1424"/>
      <c r="AM192" s="961"/>
      <c r="AN192" s="961"/>
      <c r="AO192" s="476"/>
      <c r="AP192" s="961"/>
      <c r="AQ192" s="961"/>
      <c r="AR192" s="961"/>
      <c r="AS192" s="961"/>
      <c r="AT192" s="961"/>
      <c r="AU192" s="1420"/>
      <c r="AV192" s="498"/>
      <c r="AW192" s="498"/>
      <c r="AX192" s="498"/>
      <c r="AY192" s="498"/>
      <c r="AZ192" s="1429">
        <v>11</v>
      </c>
    </row>
    <row r="193" spans="1:52" s="1429" customFormat="1" ht="11.45" customHeight="1">
      <c r="A193" s="839"/>
      <c r="B193" s="1424"/>
      <c r="C193" s="1424"/>
      <c r="D193" s="284"/>
      <c r="AE193" s="961"/>
      <c r="AF193" s="1424"/>
      <c r="AG193" s="1424"/>
      <c r="AH193" s="961"/>
      <c r="AI193" s="961"/>
      <c r="AJ193" s="961"/>
      <c r="AK193" s="961"/>
      <c r="AL193" s="1424"/>
      <c r="AM193" s="961"/>
      <c r="AN193" s="961"/>
      <c r="AO193" s="476"/>
      <c r="AP193" s="961"/>
      <c r="AQ193" s="961"/>
      <c r="AR193" s="961"/>
      <c r="AS193" s="961"/>
      <c r="AT193" s="961"/>
      <c r="AU193" s="1420"/>
      <c r="AV193" s="498"/>
      <c r="AW193" s="498"/>
      <c r="AX193" s="498"/>
      <c r="AY193" s="498"/>
      <c r="AZ193" s="1429">
        <v>11</v>
      </c>
    </row>
    <row r="194" spans="1:52" s="1429" customFormat="1" ht="11.45" customHeight="1">
      <c r="A194" s="839"/>
      <c r="B194" s="1424"/>
      <c r="C194" s="1424"/>
      <c r="D194" s="284"/>
      <c r="AE194" s="961"/>
      <c r="AF194" s="1424"/>
      <c r="AG194" s="1424"/>
      <c r="AH194" s="961"/>
      <c r="AI194" s="961"/>
      <c r="AJ194" s="961"/>
      <c r="AK194" s="961"/>
      <c r="AL194" s="1424"/>
      <c r="AM194" s="961"/>
      <c r="AN194" s="961"/>
      <c r="AO194" s="476"/>
      <c r="AP194" s="961"/>
      <c r="AQ194" s="961"/>
      <c r="AR194" s="961"/>
      <c r="AS194" s="961"/>
      <c r="AT194" s="961"/>
      <c r="AU194" s="1420"/>
      <c r="AV194" s="498"/>
      <c r="AW194" s="498"/>
      <c r="AX194" s="498"/>
      <c r="AY194" s="498"/>
      <c r="AZ194" s="1429">
        <v>11</v>
      </c>
    </row>
    <row r="195" spans="1:52" s="1429" customFormat="1" ht="11.45" customHeight="1">
      <c r="A195" s="839"/>
      <c r="B195" s="1424"/>
      <c r="C195" s="1424"/>
      <c r="D195" s="284"/>
      <c r="AE195" s="961"/>
      <c r="AF195" s="1424"/>
      <c r="AG195" s="1424"/>
      <c r="AH195" s="961"/>
      <c r="AI195" s="961"/>
      <c r="AJ195" s="961"/>
      <c r="AK195" s="961"/>
      <c r="AL195" s="1424"/>
      <c r="AM195" s="961"/>
      <c r="AN195" s="961"/>
      <c r="AO195" s="476"/>
      <c r="AP195" s="961"/>
      <c r="AQ195" s="961"/>
      <c r="AR195" s="961"/>
      <c r="AS195" s="961"/>
      <c r="AT195" s="961"/>
      <c r="AU195" s="1420"/>
      <c r="AV195" s="498"/>
      <c r="AW195" s="498"/>
      <c r="AX195" s="498"/>
      <c r="AY195" s="498"/>
      <c r="AZ195" s="1429">
        <v>11</v>
      </c>
    </row>
    <row r="196" spans="1:52" s="1429" customFormat="1" ht="11.45" customHeight="1">
      <c r="A196" s="839"/>
      <c r="B196" s="1424"/>
      <c r="C196" s="1424"/>
      <c r="D196" s="284"/>
      <c r="AE196" s="961"/>
      <c r="AF196" s="1424"/>
      <c r="AG196" s="1424"/>
      <c r="AH196" s="961"/>
      <c r="AI196" s="961"/>
      <c r="AJ196" s="961"/>
      <c r="AK196" s="961"/>
      <c r="AL196" s="1424"/>
      <c r="AM196" s="961"/>
      <c r="AN196" s="961"/>
      <c r="AO196" s="476"/>
      <c r="AP196" s="961"/>
      <c r="AQ196" s="961"/>
      <c r="AR196" s="961"/>
      <c r="AS196" s="961"/>
      <c r="AT196" s="961"/>
      <c r="AU196" s="1420"/>
      <c r="AV196" s="498"/>
      <c r="AW196" s="498"/>
      <c r="AX196" s="498"/>
      <c r="AY196" s="498"/>
      <c r="AZ196" s="1429">
        <v>11</v>
      </c>
    </row>
    <row r="197" spans="1:52" s="1429" customFormat="1" ht="11.45" customHeight="1">
      <c r="A197" s="839"/>
      <c r="B197" s="1424"/>
      <c r="C197" s="1424"/>
      <c r="D197" s="284"/>
      <c r="AE197" s="961"/>
      <c r="AF197" s="1424"/>
      <c r="AG197" s="1424"/>
      <c r="AH197" s="961"/>
      <c r="AI197" s="961"/>
      <c r="AJ197" s="961"/>
      <c r="AK197" s="961"/>
      <c r="AL197" s="1424"/>
      <c r="AM197" s="961"/>
      <c r="AN197" s="961"/>
      <c r="AO197" s="476"/>
      <c r="AP197" s="961"/>
      <c r="AQ197" s="961"/>
      <c r="AR197" s="961"/>
      <c r="AS197" s="961"/>
      <c r="AT197" s="961"/>
      <c r="AU197" s="1420"/>
      <c r="AV197" s="498"/>
      <c r="AW197" s="498"/>
      <c r="AX197" s="498"/>
      <c r="AY197" s="498"/>
      <c r="AZ197" s="1429">
        <v>11</v>
      </c>
    </row>
    <row r="198" spans="1:52" s="1429" customFormat="1" ht="11.45" customHeight="1">
      <c r="A198" s="839"/>
      <c r="B198" s="1424"/>
      <c r="C198" s="1424"/>
      <c r="D198" s="284"/>
      <c r="AE198" s="961"/>
      <c r="AF198" s="1424"/>
      <c r="AG198" s="1424"/>
      <c r="AH198" s="961"/>
      <c r="AI198" s="961"/>
      <c r="AJ198" s="961"/>
      <c r="AK198" s="961"/>
      <c r="AL198" s="1424"/>
      <c r="AM198" s="961"/>
      <c r="AN198" s="961"/>
      <c r="AO198" s="476"/>
      <c r="AP198" s="961"/>
      <c r="AQ198" s="961"/>
      <c r="AR198" s="961"/>
      <c r="AS198" s="961"/>
      <c r="AT198" s="961"/>
      <c r="AU198" s="1420"/>
      <c r="AV198" s="498"/>
      <c r="AW198" s="498"/>
      <c r="AX198" s="498"/>
      <c r="AY198" s="498"/>
      <c r="AZ198" s="1429">
        <v>11</v>
      </c>
    </row>
    <row r="199" spans="1:52" s="1429" customFormat="1" ht="11.45" customHeight="1">
      <c r="A199" s="839"/>
      <c r="B199" s="1424"/>
      <c r="C199" s="1424"/>
      <c r="D199" s="284"/>
      <c r="AE199" s="961"/>
      <c r="AF199" s="1424"/>
      <c r="AG199" s="1424"/>
      <c r="AH199" s="961"/>
      <c r="AI199" s="961"/>
      <c r="AJ199" s="961"/>
      <c r="AK199" s="961"/>
      <c r="AL199" s="1424"/>
      <c r="AM199" s="961"/>
      <c r="AN199" s="961"/>
      <c r="AO199" s="476"/>
      <c r="AP199" s="961"/>
      <c r="AQ199" s="961"/>
      <c r="AR199" s="961"/>
      <c r="AS199" s="961"/>
      <c r="AT199" s="961"/>
      <c r="AU199" s="1420"/>
      <c r="AV199" s="498"/>
      <c r="AW199" s="498"/>
      <c r="AX199" s="498"/>
      <c r="AY199" s="498"/>
      <c r="AZ199" s="1429">
        <v>11</v>
      </c>
    </row>
    <row r="200" spans="1:52" s="1429" customFormat="1" ht="11.45" customHeight="1">
      <c r="A200" s="839"/>
      <c r="B200" s="1424"/>
      <c r="C200" s="1424"/>
      <c r="D200" s="284"/>
      <c r="AE200" s="961"/>
      <c r="AF200" s="1424"/>
      <c r="AG200" s="1424"/>
      <c r="AH200" s="961"/>
      <c r="AI200" s="961"/>
      <c r="AJ200" s="961"/>
      <c r="AK200" s="961"/>
      <c r="AL200" s="1424"/>
      <c r="AM200" s="961"/>
      <c r="AN200" s="961"/>
      <c r="AO200" s="476"/>
      <c r="AP200" s="961"/>
      <c r="AQ200" s="961"/>
      <c r="AR200" s="961"/>
      <c r="AS200" s="961"/>
      <c r="AT200" s="961"/>
      <c r="AU200" s="1420"/>
      <c r="AV200" s="498"/>
      <c r="AW200" s="498"/>
      <c r="AX200" s="498"/>
      <c r="AY200" s="498"/>
      <c r="AZ200" s="1429">
        <v>11</v>
      </c>
    </row>
    <row r="201" spans="1:52" s="1429" customFormat="1" ht="11.45" customHeight="1">
      <c r="A201" s="839"/>
      <c r="B201" s="1424"/>
      <c r="C201" s="1424"/>
      <c r="D201" s="284"/>
      <c r="AE201" s="961"/>
      <c r="AF201" s="1424"/>
      <c r="AG201" s="1424"/>
      <c r="AH201" s="961"/>
      <c r="AI201" s="961"/>
      <c r="AJ201" s="961"/>
      <c r="AK201" s="961"/>
      <c r="AL201" s="1424"/>
      <c r="AM201" s="961"/>
      <c r="AN201" s="961"/>
      <c r="AO201" s="476"/>
      <c r="AP201" s="961"/>
      <c r="AQ201" s="961"/>
      <c r="AR201" s="961"/>
      <c r="AS201" s="961"/>
      <c r="AT201" s="961"/>
      <c r="AU201" s="1420"/>
      <c r="AV201" s="498"/>
      <c r="AW201" s="498"/>
      <c r="AX201" s="498"/>
      <c r="AY201" s="498"/>
      <c r="AZ201" s="1429">
        <v>11</v>
      </c>
    </row>
    <row r="202" spans="1:52" s="1429" customFormat="1" ht="11.45" customHeight="1">
      <c r="A202" s="839"/>
      <c r="B202" s="1424"/>
      <c r="C202" s="1424"/>
      <c r="D202" s="284"/>
      <c r="AE202" s="961"/>
      <c r="AF202" s="1424"/>
      <c r="AG202" s="1424"/>
      <c r="AH202" s="961"/>
      <c r="AI202" s="961"/>
      <c r="AJ202" s="961"/>
      <c r="AK202" s="961"/>
      <c r="AL202" s="1424"/>
      <c r="AM202" s="961"/>
      <c r="AN202" s="961"/>
      <c r="AO202" s="476"/>
      <c r="AP202" s="961"/>
      <c r="AQ202" s="961"/>
      <c r="AR202" s="961"/>
      <c r="AS202" s="961"/>
      <c r="AT202" s="961"/>
      <c r="AU202" s="1420"/>
      <c r="AV202" s="498"/>
      <c r="AW202" s="498"/>
      <c r="AX202" s="498"/>
      <c r="AY202" s="498"/>
      <c r="AZ202" s="1429">
        <v>11</v>
      </c>
    </row>
    <row r="203" spans="1:52" s="1429" customFormat="1" ht="11.45" customHeight="1">
      <c r="A203" s="839"/>
      <c r="B203" s="1424"/>
      <c r="C203" s="1424"/>
      <c r="D203" s="284"/>
      <c r="AE203" s="961"/>
      <c r="AF203" s="1424"/>
      <c r="AG203" s="1424"/>
      <c r="AH203" s="961"/>
      <c r="AI203" s="961"/>
      <c r="AJ203" s="961"/>
      <c r="AK203" s="961"/>
      <c r="AL203" s="1424"/>
      <c r="AM203" s="961"/>
      <c r="AN203" s="961"/>
      <c r="AO203" s="476"/>
      <c r="AP203" s="961"/>
      <c r="AQ203" s="961"/>
      <c r="AR203" s="961"/>
      <c r="AS203" s="961"/>
      <c r="AT203" s="961"/>
      <c r="AU203" s="1420"/>
      <c r="AV203" s="498"/>
      <c r="AW203" s="498"/>
      <c r="AX203" s="498"/>
      <c r="AY203" s="498"/>
      <c r="AZ203" s="1429">
        <v>11</v>
      </c>
    </row>
    <row r="204" spans="1:52" s="1429" customFormat="1" ht="11.45" customHeight="1">
      <c r="A204" s="839"/>
      <c r="B204" s="1424"/>
      <c r="C204" s="1424"/>
      <c r="D204" s="284"/>
      <c r="AE204" s="961"/>
      <c r="AF204" s="1424"/>
      <c r="AG204" s="1424"/>
      <c r="AH204" s="961"/>
      <c r="AI204" s="961"/>
      <c r="AJ204" s="961"/>
      <c r="AK204" s="961"/>
      <c r="AL204" s="1424"/>
      <c r="AM204" s="961"/>
      <c r="AN204" s="961"/>
      <c r="AO204" s="476"/>
      <c r="AP204" s="961"/>
      <c r="AQ204" s="961"/>
      <c r="AR204" s="961"/>
      <c r="AS204" s="961"/>
      <c r="AT204" s="961"/>
      <c r="AU204" s="1420"/>
      <c r="AV204" s="498"/>
      <c r="AW204" s="498"/>
      <c r="AX204" s="498"/>
      <c r="AY204" s="498"/>
      <c r="AZ204" s="1429">
        <v>11</v>
      </c>
    </row>
    <row r="205" spans="1:52" s="1429" customFormat="1" ht="11.45" customHeight="1">
      <c r="A205" s="839"/>
      <c r="B205" s="1424"/>
      <c r="C205" s="1424"/>
      <c r="D205" s="284"/>
      <c r="AE205" s="961"/>
      <c r="AF205" s="1424"/>
      <c r="AG205" s="1424"/>
      <c r="AH205" s="961"/>
      <c r="AI205" s="961"/>
      <c r="AJ205" s="961"/>
      <c r="AK205" s="961"/>
      <c r="AL205" s="1424"/>
      <c r="AM205" s="961"/>
      <c r="AN205" s="961"/>
      <c r="AO205" s="476"/>
      <c r="AP205" s="961"/>
      <c r="AQ205" s="961"/>
      <c r="AR205" s="961"/>
      <c r="AS205" s="961"/>
      <c r="AT205" s="961"/>
      <c r="AU205" s="1420"/>
      <c r="AV205" s="498"/>
      <c r="AW205" s="498"/>
      <c r="AX205" s="498"/>
      <c r="AY205" s="498"/>
      <c r="AZ205" s="1429">
        <v>11</v>
      </c>
    </row>
    <row r="206" spans="1:52" s="1429" customFormat="1" ht="11.45" customHeight="1">
      <c r="A206" s="839"/>
      <c r="B206" s="1424"/>
      <c r="C206" s="1424"/>
      <c r="D206" s="284"/>
      <c r="AE206" s="961"/>
      <c r="AF206" s="1424"/>
      <c r="AG206" s="1424"/>
      <c r="AH206" s="961"/>
      <c r="AI206" s="961"/>
      <c r="AJ206" s="961"/>
      <c r="AK206" s="961"/>
      <c r="AL206" s="1424"/>
      <c r="AM206" s="961"/>
      <c r="AN206" s="961"/>
      <c r="AO206" s="476"/>
      <c r="AP206" s="961"/>
      <c r="AQ206" s="961"/>
      <c r="AR206" s="961"/>
      <c r="AS206" s="961"/>
      <c r="AT206" s="961"/>
      <c r="AU206" s="1420"/>
      <c r="AV206" s="498"/>
      <c r="AW206" s="498"/>
      <c r="AX206" s="498"/>
      <c r="AY206" s="498"/>
      <c r="AZ206" s="1429">
        <v>11</v>
      </c>
    </row>
    <row r="207" spans="1:52" s="1429" customFormat="1" ht="11.45" customHeight="1">
      <c r="A207" s="839"/>
      <c r="B207" s="1424"/>
      <c r="C207" s="1424"/>
      <c r="D207" s="284"/>
      <c r="AE207" s="961"/>
      <c r="AF207" s="1424"/>
      <c r="AG207" s="1424"/>
      <c r="AH207" s="961"/>
      <c r="AI207" s="961"/>
      <c r="AJ207" s="961"/>
      <c r="AK207" s="961"/>
      <c r="AL207" s="1424"/>
      <c r="AM207" s="961"/>
      <c r="AN207" s="961"/>
      <c r="AO207" s="476"/>
      <c r="AP207" s="961"/>
      <c r="AQ207" s="961"/>
      <c r="AR207" s="961"/>
      <c r="AS207" s="961"/>
      <c r="AT207" s="961"/>
      <c r="AU207" s="1420"/>
      <c r="AV207" s="498"/>
      <c r="AW207" s="498"/>
      <c r="AX207" s="498"/>
      <c r="AY207" s="498"/>
      <c r="AZ207" s="1429">
        <v>11</v>
      </c>
    </row>
    <row r="208" spans="1:52" s="1429" customFormat="1" ht="11.45" customHeight="1">
      <c r="A208" s="839"/>
      <c r="B208" s="1424"/>
      <c r="C208" s="1424"/>
      <c r="D208" s="284"/>
      <c r="AE208" s="961"/>
      <c r="AF208" s="1424"/>
      <c r="AG208" s="1424"/>
      <c r="AH208" s="961"/>
      <c r="AI208" s="961"/>
      <c r="AJ208" s="961"/>
      <c r="AK208" s="961"/>
      <c r="AL208" s="1424"/>
      <c r="AM208" s="961"/>
      <c r="AN208" s="961"/>
      <c r="AO208" s="476"/>
      <c r="AP208" s="961"/>
      <c r="AQ208" s="961"/>
      <c r="AR208" s="961"/>
      <c r="AS208" s="961"/>
      <c r="AT208" s="961"/>
      <c r="AU208" s="1420"/>
      <c r="AV208" s="498"/>
      <c r="AW208" s="498"/>
      <c r="AX208" s="498"/>
      <c r="AY208" s="498"/>
      <c r="AZ208" s="1429">
        <v>11</v>
      </c>
    </row>
    <row r="209" spans="1:52" s="1429" customFormat="1" ht="11.45" customHeight="1">
      <c r="A209" s="839"/>
      <c r="B209" s="1424"/>
      <c r="C209" s="1424"/>
      <c r="D209" s="284"/>
      <c r="AE209" s="961"/>
      <c r="AF209" s="1424"/>
      <c r="AG209" s="1424"/>
      <c r="AH209" s="961"/>
      <c r="AI209" s="961"/>
      <c r="AJ209" s="961"/>
      <c r="AK209" s="961"/>
      <c r="AL209" s="1424"/>
      <c r="AM209" s="961"/>
      <c r="AN209" s="961"/>
      <c r="AO209" s="476"/>
      <c r="AP209" s="961"/>
      <c r="AQ209" s="961"/>
      <c r="AR209" s="961"/>
      <c r="AS209" s="961"/>
      <c r="AT209" s="961"/>
      <c r="AU209" s="1420"/>
      <c r="AV209" s="498"/>
      <c r="AW209" s="498"/>
      <c r="AX209" s="498"/>
      <c r="AY209" s="498"/>
      <c r="AZ209" s="1429">
        <v>11</v>
      </c>
    </row>
    <row r="210" spans="1:52" s="1429" customFormat="1" ht="11.45" customHeight="1">
      <c r="A210" s="839"/>
      <c r="B210" s="1424"/>
      <c r="C210" s="1424"/>
      <c r="D210" s="284"/>
      <c r="AE210" s="961"/>
      <c r="AF210" s="1424"/>
      <c r="AG210" s="1424"/>
      <c r="AH210" s="961"/>
      <c r="AI210" s="961"/>
      <c r="AJ210" s="961"/>
      <c r="AK210" s="961"/>
      <c r="AL210" s="1424"/>
      <c r="AM210" s="961"/>
      <c r="AN210" s="961"/>
      <c r="AO210" s="476"/>
      <c r="AP210" s="961"/>
      <c r="AQ210" s="961"/>
      <c r="AR210" s="961"/>
      <c r="AS210" s="961"/>
      <c r="AT210" s="961"/>
      <c r="AU210" s="1420"/>
      <c r="AV210" s="498"/>
      <c r="AW210" s="498"/>
      <c r="AX210" s="498"/>
      <c r="AY210" s="498"/>
      <c r="AZ210" s="1429">
        <v>11</v>
      </c>
    </row>
    <row r="211" spans="1:52" s="1429" customFormat="1" ht="11.45" customHeight="1">
      <c r="A211" s="839"/>
      <c r="B211" s="1424"/>
      <c r="C211" s="1424"/>
      <c r="D211" s="284"/>
      <c r="AE211" s="961"/>
      <c r="AF211" s="1424"/>
      <c r="AG211" s="1424"/>
      <c r="AH211" s="961"/>
      <c r="AI211" s="961"/>
      <c r="AJ211" s="961"/>
      <c r="AK211" s="961"/>
      <c r="AL211" s="1424"/>
      <c r="AM211" s="961"/>
      <c r="AN211" s="961"/>
      <c r="AO211" s="476"/>
      <c r="AP211" s="961"/>
      <c r="AQ211" s="961"/>
      <c r="AR211" s="961"/>
      <c r="AS211" s="961"/>
      <c r="AT211" s="961"/>
      <c r="AU211" s="1420"/>
      <c r="AV211" s="498"/>
      <c r="AW211" s="498"/>
      <c r="AX211" s="498"/>
      <c r="AY211" s="498"/>
      <c r="AZ211" s="1429">
        <v>11</v>
      </c>
    </row>
    <row r="212" spans="1:52" s="1429" customFormat="1" ht="11.45" customHeight="1">
      <c r="A212" s="839"/>
      <c r="B212" s="1424"/>
      <c r="C212" s="1424"/>
      <c r="D212" s="284"/>
      <c r="AE212" s="961"/>
      <c r="AF212" s="1424"/>
      <c r="AG212" s="1424"/>
      <c r="AH212" s="961"/>
      <c r="AI212" s="961"/>
      <c r="AJ212" s="961"/>
      <c r="AK212" s="961"/>
      <c r="AL212" s="1424"/>
      <c r="AM212" s="961"/>
      <c r="AN212" s="961"/>
      <c r="AO212" s="476"/>
      <c r="AP212" s="961"/>
      <c r="AQ212" s="961"/>
      <c r="AR212" s="961"/>
      <c r="AS212" s="961"/>
      <c r="AT212" s="961"/>
      <c r="AU212" s="1420"/>
      <c r="AV212" s="498"/>
      <c r="AW212" s="498"/>
      <c r="AX212" s="498"/>
      <c r="AY212" s="498"/>
      <c r="AZ212" s="1429">
        <v>11</v>
      </c>
    </row>
    <row r="213" spans="1:52" s="1429" customFormat="1" ht="11.45" customHeight="1">
      <c r="A213" s="839"/>
      <c r="B213" s="1424"/>
      <c r="C213" s="1424"/>
      <c r="D213" s="284"/>
      <c r="AE213" s="961"/>
      <c r="AF213" s="1424"/>
      <c r="AG213" s="1424"/>
      <c r="AH213" s="961"/>
      <c r="AI213" s="961"/>
      <c r="AJ213" s="961"/>
      <c r="AK213" s="961"/>
      <c r="AL213" s="1424"/>
      <c r="AM213" s="961"/>
      <c r="AN213" s="961"/>
      <c r="AO213" s="476"/>
      <c r="AP213" s="961"/>
      <c r="AQ213" s="961"/>
      <c r="AR213" s="961"/>
      <c r="AS213" s="961"/>
      <c r="AT213" s="961"/>
      <c r="AU213" s="1420"/>
      <c r="AV213" s="498"/>
      <c r="AW213" s="498"/>
      <c r="AX213" s="498"/>
      <c r="AY213" s="498"/>
      <c r="AZ213" s="1429">
        <v>11</v>
      </c>
    </row>
    <row r="214" spans="1:52" s="1429" customFormat="1" ht="11.45" customHeight="1">
      <c r="A214" s="839"/>
      <c r="B214" s="1424"/>
      <c r="C214" s="1424"/>
      <c r="D214" s="284"/>
      <c r="AE214" s="961"/>
      <c r="AF214" s="1424"/>
      <c r="AG214" s="1424"/>
      <c r="AH214" s="961"/>
      <c r="AI214" s="961"/>
      <c r="AJ214" s="961"/>
      <c r="AK214" s="961"/>
      <c r="AL214" s="1424"/>
      <c r="AM214" s="961"/>
      <c r="AN214" s="961"/>
      <c r="AO214" s="476"/>
      <c r="AP214" s="961"/>
      <c r="AQ214" s="961"/>
      <c r="AR214" s="961"/>
      <c r="AS214" s="961"/>
      <c r="AT214" s="961"/>
      <c r="AU214" s="1420"/>
      <c r="AV214" s="498"/>
      <c r="AW214" s="498"/>
      <c r="AX214" s="498"/>
      <c r="AY214" s="498"/>
      <c r="AZ214" s="1429">
        <v>11</v>
      </c>
    </row>
    <row r="215" spans="1:52" s="1429" customFormat="1" ht="11.45" customHeight="1">
      <c r="A215" s="839"/>
      <c r="B215" s="1424"/>
      <c r="C215" s="1424"/>
      <c r="D215" s="284"/>
      <c r="AE215" s="961"/>
      <c r="AF215" s="1424"/>
      <c r="AG215" s="1424"/>
      <c r="AH215" s="961"/>
      <c r="AI215" s="961"/>
      <c r="AJ215" s="961"/>
      <c r="AK215" s="961"/>
      <c r="AL215" s="1424"/>
      <c r="AM215" s="961"/>
      <c r="AN215" s="961"/>
      <c r="AO215" s="476"/>
      <c r="AP215" s="961"/>
      <c r="AQ215" s="961"/>
      <c r="AR215" s="961"/>
      <c r="AS215" s="961"/>
      <c r="AT215" s="961"/>
      <c r="AU215" s="1420"/>
      <c r="AV215" s="498"/>
      <c r="AW215" s="498"/>
      <c r="AX215" s="498"/>
      <c r="AY215" s="498"/>
      <c r="AZ215" s="1429">
        <v>11</v>
      </c>
    </row>
    <row r="216" spans="1:52" s="1429" customFormat="1" ht="11.45" customHeight="1">
      <c r="A216" s="839"/>
      <c r="B216" s="1424"/>
      <c r="C216" s="1424"/>
      <c r="D216" s="284"/>
      <c r="AE216" s="961"/>
      <c r="AF216" s="1424"/>
      <c r="AG216" s="1424"/>
      <c r="AH216" s="961"/>
      <c r="AI216" s="961"/>
      <c r="AJ216" s="961"/>
      <c r="AK216" s="961"/>
      <c r="AL216" s="1424"/>
      <c r="AM216" s="961"/>
      <c r="AN216" s="961"/>
      <c r="AO216" s="476"/>
      <c r="AP216" s="961"/>
      <c r="AQ216" s="961"/>
      <c r="AR216" s="961"/>
      <c r="AS216" s="961"/>
      <c r="AT216" s="961"/>
      <c r="AU216" s="1420"/>
      <c r="AV216" s="498"/>
      <c r="AW216" s="498"/>
      <c r="AX216" s="498"/>
      <c r="AY216" s="498"/>
      <c r="AZ216" s="1429">
        <v>11</v>
      </c>
    </row>
    <row r="217" spans="1:52" s="1429" customFormat="1" ht="11.45" customHeight="1">
      <c r="A217" s="839"/>
      <c r="B217" s="1424"/>
      <c r="C217" s="1424"/>
      <c r="D217" s="284"/>
      <c r="AE217" s="961"/>
      <c r="AF217" s="1424"/>
      <c r="AG217" s="1424"/>
      <c r="AH217" s="961"/>
      <c r="AI217" s="961"/>
      <c r="AJ217" s="961"/>
      <c r="AK217" s="961"/>
      <c r="AL217" s="1424"/>
      <c r="AM217" s="961"/>
      <c r="AN217" s="961"/>
      <c r="AO217" s="476"/>
      <c r="AP217" s="961"/>
      <c r="AQ217" s="961"/>
      <c r="AR217" s="961"/>
      <c r="AS217" s="961"/>
      <c r="AT217" s="961"/>
      <c r="AU217" s="1420"/>
      <c r="AV217" s="498"/>
      <c r="AW217" s="498"/>
      <c r="AX217" s="498"/>
      <c r="AY217" s="498"/>
      <c r="AZ217" s="1429">
        <v>11</v>
      </c>
    </row>
    <row r="218" spans="1:52" s="1429" customFormat="1" ht="11.45" customHeight="1">
      <c r="A218" s="839"/>
      <c r="B218" s="1424"/>
      <c r="C218" s="1424"/>
      <c r="D218" s="284"/>
      <c r="AE218" s="961"/>
      <c r="AF218" s="1424"/>
      <c r="AG218" s="1424"/>
      <c r="AH218" s="961"/>
      <c r="AI218" s="961"/>
      <c r="AJ218" s="961"/>
      <c r="AK218" s="961"/>
      <c r="AL218" s="1424"/>
      <c r="AM218" s="961"/>
      <c r="AN218" s="961"/>
      <c r="AO218" s="476"/>
      <c r="AP218" s="961"/>
      <c r="AQ218" s="961"/>
      <c r="AR218" s="961"/>
      <c r="AS218" s="961"/>
      <c r="AT218" s="961"/>
      <c r="AU218" s="1420"/>
      <c r="AV218" s="498"/>
      <c r="AW218" s="498"/>
      <c r="AX218" s="498"/>
      <c r="AY218" s="498"/>
      <c r="AZ218" s="1429">
        <v>11</v>
      </c>
    </row>
    <row r="219" spans="1:52" s="1429" customFormat="1" ht="11.45" customHeight="1">
      <c r="A219" s="839"/>
      <c r="B219" s="1424"/>
      <c r="C219" s="1424"/>
      <c r="D219" s="284"/>
      <c r="AE219" s="961"/>
      <c r="AF219" s="1424"/>
      <c r="AG219" s="1424"/>
      <c r="AH219" s="961"/>
      <c r="AI219" s="961"/>
      <c r="AJ219" s="961"/>
      <c r="AK219" s="961"/>
      <c r="AL219" s="1424"/>
      <c r="AM219" s="961"/>
      <c r="AN219" s="961"/>
      <c r="AO219" s="476"/>
      <c r="AP219" s="961"/>
      <c r="AQ219" s="961"/>
      <c r="AR219" s="961"/>
      <c r="AS219" s="961"/>
      <c r="AT219" s="961"/>
      <c r="AU219" s="1420"/>
      <c r="AV219" s="498"/>
      <c r="AW219" s="498"/>
      <c r="AX219" s="498"/>
      <c r="AY219" s="498"/>
      <c r="AZ219" s="1429">
        <v>11</v>
      </c>
    </row>
    <row r="220" spans="1:52" s="1429" customFormat="1" ht="11.45" customHeight="1">
      <c r="A220" s="839"/>
      <c r="B220" s="1424"/>
      <c r="C220" s="1424"/>
      <c r="D220" s="284"/>
      <c r="AE220" s="961"/>
      <c r="AF220" s="1424"/>
      <c r="AG220" s="1424"/>
      <c r="AH220" s="961"/>
      <c r="AI220" s="961"/>
      <c r="AJ220" s="961"/>
      <c r="AK220" s="961"/>
      <c r="AL220" s="1424"/>
      <c r="AM220" s="961"/>
      <c r="AN220" s="961"/>
      <c r="AO220" s="476"/>
      <c r="AP220" s="961"/>
      <c r="AQ220" s="961"/>
      <c r="AR220" s="961"/>
      <c r="AS220" s="961"/>
      <c r="AT220" s="961"/>
      <c r="AU220" s="1420"/>
      <c r="AV220" s="498"/>
      <c r="AW220" s="498"/>
      <c r="AX220" s="498"/>
      <c r="AY220" s="498"/>
      <c r="AZ220" s="1429">
        <v>11</v>
      </c>
    </row>
    <row r="221" spans="1:52" s="1429" customFormat="1" ht="11.45" customHeight="1">
      <c r="A221" s="839"/>
      <c r="B221" s="1424"/>
      <c r="C221" s="1424"/>
      <c r="D221" s="284"/>
      <c r="AE221" s="961"/>
      <c r="AF221" s="1424"/>
      <c r="AG221" s="1424"/>
      <c r="AH221" s="961"/>
      <c r="AI221" s="961"/>
      <c r="AJ221" s="961"/>
      <c r="AK221" s="961"/>
      <c r="AL221" s="1424"/>
      <c r="AM221" s="961"/>
      <c r="AN221" s="961"/>
      <c r="AO221" s="476"/>
      <c r="AP221" s="961"/>
      <c r="AQ221" s="961"/>
      <c r="AR221" s="961"/>
      <c r="AS221" s="961"/>
      <c r="AT221" s="961"/>
      <c r="AU221" s="1420"/>
      <c r="AV221" s="498"/>
      <c r="AW221" s="498"/>
      <c r="AX221" s="498"/>
      <c r="AY221" s="498"/>
      <c r="AZ221" s="1429">
        <v>11</v>
      </c>
    </row>
    <row r="222" spans="1:52" s="1429" customFormat="1" ht="11.45" customHeight="1">
      <c r="A222" s="839"/>
      <c r="B222" s="1424"/>
      <c r="C222" s="1424"/>
      <c r="D222" s="284"/>
      <c r="AE222" s="961"/>
      <c r="AF222" s="1424"/>
      <c r="AG222" s="1424"/>
      <c r="AH222" s="961"/>
      <c r="AI222" s="961"/>
      <c r="AJ222" s="961"/>
      <c r="AK222" s="961"/>
      <c r="AL222" s="1424"/>
      <c r="AM222" s="961"/>
      <c r="AN222" s="961"/>
      <c r="AO222" s="476"/>
      <c r="AP222" s="961"/>
      <c r="AQ222" s="961"/>
      <c r="AR222" s="961"/>
      <c r="AS222" s="961"/>
      <c r="AT222" s="961"/>
      <c r="AU222" s="1420"/>
      <c r="AV222" s="498"/>
      <c r="AW222" s="498"/>
      <c r="AX222" s="498"/>
      <c r="AY222" s="498"/>
      <c r="AZ222" s="1429">
        <v>11</v>
      </c>
    </row>
    <row r="223" spans="1:52" s="1429" customFormat="1" ht="11.45" customHeight="1">
      <c r="A223" s="839"/>
      <c r="B223" s="1424"/>
      <c r="C223" s="1424"/>
      <c r="D223" s="284"/>
      <c r="AE223" s="961"/>
      <c r="AF223" s="1424"/>
      <c r="AG223" s="1424"/>
      <c r="AH223" s="961"/>
      <c r="AI223" s="961"/>
      <c r="AJ223" s="961"/>
      <c r="AK223" s="961"/>
      <c r="AL223" s="1424"/>
      <c r="AM223" s="961"/>
      <c r="AN223" s="961"/>
      <c r="AO223" s="476"/>
      <c r="AP223" s="961"/>
      <c r="AQ223" s="961"/>
      <c r="AR223" s="961"/>
      <c r="AS223" s="961"/>
      <c r="AT223" s="961"/>
      <c r="AU223" s="1420"/>
      <c r="AV223" s="498"/>
      <c r="AW223" s="498"/>
      <c r="AX223" s="498"/>
      <c r="AY223" s="498"/>
      <c r="AZ223" s="1429">
        <v>11</v>
      </c>
    </row>
    <row r="224" spans="1:52" s="1429" customFormat="1" ht="11.45" customHeight="1">
      <c r="A224" s="839"/>
      <c r="B224" s="1424"/>
      <c r="C224" s="1424"/>
      <c r="D224" s="284"/>
      <c r="AE224" s="961"/>
      <c r="AF224" s="1424"/>
      <c r="AG224" s="1424"/>
      <c r="AH224" s="961"/>
      <c r="AI224" s="961"/>
      <c r="AJ224" s="961"/>
      <c r="AK224" s="961"/>
      <c r="AL224" s="1424"/>
      <c r="AM224" s="961"/>
      <c r="AN224" s="961"/>
      <c r="AO224" s="476"/>
      <c r="AP224" s="961"/>
      <c r="AQ224" s="961"/>
      <c r="AR224" s="961"/>
      <c r="AS224" s="961"/>
      <c r="AT224" s="961"/>
      <c r="AU224" s="1420"/>
      <c r="AV224" s="498"/>
      <c r="AW224" s="498"/>
      <c r="AX224" s="498"/>
      <c r="AY224" s="498"/>
      <c r="AZ224" s="1429">
        <v>11</v>
      </c>
    </row>
    <row r="225" spans="1:52" s="1429" customFormat="1" ht="11.45" customHeight="1">
      <c r="A225" s="839"/>
      <c r="B225" s="1424"/>
      <c r="C225" s="1424"/>
      <c r="D225" s="284"/>
      <c r="AE225" s="961"/>
      <c r="AF225" s="1424"/>
      <c r="AG225" s="1424"/>
      <c r="AH225" s="961"/>
      <c r="AI225" s="961"/>
      <c r="AJ225" s="961"/>
      <c r="AK225" s="961"/>
      <c r="AL225" s="1424"/>
      <c r="AM225" s="961"/>
      <c r="AN225" s="961"/>
      <c r="AO225" s="476"/>
      <c r="AP225" s="961"/>
      <c r="AQ225" s="961"/>
      <c r="AR225" s="961"/>
      <c r="AS225" s="961"/>
      <c r="AT225" s="961"/>
      <c r="AU225" s="1420"/>
      <c r="AV225" s="498"/>
      <c r="AW225" s="498"/>
      <c r="AX225" s="498"/>
      <c r="AY225" s="498"/>
      <c r="AZ225" s="1429">
        <v>11</v>
      </c>
    </row>
    <row r="226" spans="1:52" s="1429" customFormat="1" ht="11.45" customHeight="1">
      <c r="A226" s="839"/>
      <c r="B226" s="1424"/>
      <c r="C226" s="1424"/>
      <c r="D226" s="284"/>
      <c r="AE226" s="961"/>
      <c r="AF226" s="1424"/>
      <c r="AG226" s="1424"/>
      <c r="AH226" s="961"/>
      <c r="AI226" s="961"/>
      <c r="AJ226" s="961"/>
      <c r="AK226" s="961"/>
      <c r="AL226" s="1424"/>
      <c r="AM226" s="961"/>
      <c r="AN226" s="961"/>
      <c r="AO226" s="476"/>
      <c r="AP226" s="961"/>
      <c r="AQ226" s="961"/>
      <c r="AR226" s="961"/>
      <c r="AS226" s="961"/>
      <c r="AT226" s="961"/>
      <c r="AU226" s="1420"/>
      <c r="AV226" s="498"/>
      <c r="AW226" s="498"/>
      <c r="AX226" s="498"/>
      <c r="AY226" s="498"/>
      <c r="AZ226" s="1429">
        <v>11</v>
      </c>
    </row>
    <row r="227" spans="1:52" s="1429" customFormat="1" ht="11.45" customHeight="1">
      <c r="A227" s="839"/>
      <c r="B227" s="1424"/>
      <c r="C227" s="1424"/>
      <c r="D227" s="284"/>
      <c r="AE227" s="961"/>
      <c r="AF227" s="1424"/>
      <c r="AG227" s="1424"/>
      <c r="AH227" s="961"/>
      <c r="AI227" s="961"/>
      <c r="AJ227" s="961"/>
      <c r="AK227" s="961"/>
      <c r="AL227" s="1424"/>
      <c r="AM227" s="961"/>
      <c r="AN227" s="961"/>
      <c r="AO227" s="476"/>
      <c r="AP227" s="961"/>
      <c r="AQ227" s="961"/>
      <c r="AR227" s="961"/>
      <c r="AS227" s="961"/>
      <c r="AT227" s="961"/>
      <c r="AU227" s="1420"/>
      <c r="AV227" s="498"/>
      <c r="AW227" s="498"/>
      <c r="AX227" s="498"/>
      <c r="AY227" s="498"/>
      <c r="AZ227" s="1429">
        <v>11</v>
      </c>
    </row>
    <row r="228" spans="1:52" s="1429" customFormat="1" ht="11.45" customHeight="1">
      <c r="A228" s="839"/>
      <c r="B228" s="1424"/>
      <c r="C228" s="1424"/>
      <c r="D228" s="284"/>
      <c r="AE228" s="961"/>
      <c r="AF228" s="1424"/>
      <c r="AG228" s="1424"/>
      <c r="AH228" s="961"/>
      <c r="AI228" s="961"/>
      <c r="AJ228" s="961"/>
      <c r="AK228" s="961"/>
      <c r="AL228" s="1424"/>
      <c r="AM228" s="961"/>
      <c r="AN228" s="961"/>
      <c r="AO228" s="476"/>
      <c r="AP228" s="961"/>
      <c r="AQ228" s="961"/>
      <c r="AR228" s="961"/>
      <c r="AS228" s="961"/>
      <c r="AT228" s="961"/>
      <c r="AU228" s="1420"/>
      <c r="AV228" s="498"/>
      <c r="AW228" s="498"/>
      <c r="AX228" s="498"/>
      <c r="AY228" s="498"/>
      <c r="AZ228" s="1429">
        <v>11</v>
      </c>
    </row>
    <row r="229" spans="1:52" s="1429" customFormat="1" ht="11.45" customHeight="1">
      <c r="A229" s="839"/>
      <c r="B229" s="1424"/>
      <c r="C229" s="1424"/>
      <c r="D229" s="284"/>
      <c r="AE229" s="961"/>
      <c r="AF229" s="1424"/>
      <c r="AG229" s="1424"/>
      <c r="AH229" s="961"/>
      <c r="AI229" s="961"/>
      <c r="AJ229" s="961"/>
      <c r="AK229" s="961"/>
      <c r="AL229" s="1424"/>
      <c r="AM229" s="961"/>
      <c r="AN229" s="961"/>
      <c r="AO229" s="476"/>
      <c r="AP229" s="961"/>
      <c r="AQ229" s="961"/>
      <c r="AR229" s="961"/>
      <c r="AS229" s="961"/>
      <c r="AT229" s="961"/>
      <c r="AU229" s="1420"/>
      <c r="AV229" s="498"/>
      <c r="AW229" s="498"/>
      <c r="AX229" s="498"/>
      <c r="AY229" s="498"/>
      <c r="AZ229" s="1429">
        <v>11</v>
      </c>
    </row>
    <row r="230" spans="1:52" s="1429" customFormat="1" ht="11.45" customHeight="1">
      <c r="A230" s="839"/>
      <c r="B230" s="1424"/>
      <c r="C230" s="1424"/>
      <c r="D230" s="284"/>
      <c r="AE230" s="961"/>
      <c r="AF230" s="1424"/>
      <c r="AG230" s="1424"/>
      <c r="AH230" s="961"/>
      <c r="AI230" s="961"/>
      <c r="AJ230" s="961"/>
      <c r="AK230" s="961"/>
      <c r="AL230" s="1424"/>
      <c r="AM230" s="961"/>
      <c r="AN230" s="961"/>
      <c r="AO230" s="476"/>
      <c r="AP230" s="961"/>
      <c r="AQ230" s="961"/>
      <c r="AR230" s="961"/>
      <c r="AS230" s="961"/>
      <c r="AT230" s="961"/>
      <c r="AU230" s="1420"/>
      <c r="AV230" s="498"/>
      <c r="AW230" s="498"/>
      <c r="AX230" s="498"/>
      <c r="AY230" s="498"/>
      <c r="AZ230" s="1429">
        <v>11</v>
      </c>
    </row>
    <row r="231" spans="1:52" s="1429" customFormat="1" ht="11.45" customHeight="1">
      <c r="A231" s="839"/>
      <c r="B231" s="1424"/>
      <c r="C231" s="1424"/>
      <c r="D231" s="284"/>
      <c r="AE231" s="961"/>
      <c r="AF231" s="1424"/>
      <c r="AG231" s="1424"/>
      <c r="AH231" s="961"/>
      <c r="AI231" s="961"/>
      <c r="AJ231" s="961"/>
      <c r="AK231" s="961"/>
      <c r="AL231" s="1424"/>
      <c r="AM231" s="961"/>
      <c r="AN231" s="961"/>
      <c r="AO231" s="476"/>
      <c r="AP231" s="961"/>
      <c r="AQ231" s="961"/>
      <c r="AR231" s="961"/>
      <c r="AS231" s="961"/>
      <c r="AT231" s="961"/>
      <c r="AU231" s="1420"/>
      <c r="AV231" s="498"/>
      <c r="AW231" s="498"/>
      <c r="AX231" s="498"/>
      <c r="AY231" s="498"/>
      <c r="AZ231" s="1429">
        <v>11</v>
      </c>
    </row>
    <row r="232" spans="1:52" s="1429" customFormat="1" ht="11.45" customHeight="1">
      <c r="A232" s="839"/>
      <c r="B232" s="1424"/>
      <c r="C232" s="1424"/>
      <c r="D232" s="284"/>
      <c r="AE232" s="961"/>
      <c r="AF232" s="1424"/>
      <c r="AG232" s="1424"/>
      <c r="AH232" s="961"/>
      <c r="AI232" s="961"/>
      <c r="AJ232" s="961"/>
      <c r="AK232" s="961"/>
      <c r="AL232" s="1424"/>
      <c r="AM232" s="961"/>
      <c r="AN232" s="961"/>
      <c r="AO232" s="476"/>
      <c r="AP232" s="961"/>
      <c r="AQ232" s="961"/>
      <c r="AR232" s="961"/>
      <c r="AS232" s="961"/>
      <c r="AT232" s="961"/>
      <c r="AU232" s="1420"/>
      <c r="AV232" s="498"/>
      <c r="AW232" s="498"/>
      <c r="AX232" s="498"/>
      <c r="AY232" s="498"/>
      <c r="AZ232" s="1429">
        <v>11</v>
      </c>
    </row>
    <row r="233" spans="1:52" s="1429" customFormat="1" ht="11.45" customHeight="1">
      <c r="A233" s="839"/>
      <c r="B233" s="1424"/>
      <c r="C233" s="1424"/>
      <c r="D233" s="284"/>
      <c r="AE233" s="961"/>
      <c r="AF233" s="1424"/>
      <c r="AG233" s="1424"/>
      <c r="AH233" s="961"/>
      <c r="AI233" s="961"/>
      <c r="AJ233" s="961"/>
      <c r="AK233" s="961"/>
      <c r="AL233" s="1424"/>
      <c r="AM233" s="961"/>
      <c r="AN233" s="961"/>
      <c r="AO233" s="476"/>
      <c r="AP233" s="961"/>
      <c r="AQ233" s="961"/>
      <c r="AR233" s="961"/>
      <c r="AS233" s="961"/>
      <c r="AT233" s="961"/>
      <c r="AU233" s="1420"/>
      <c r="AV233" s="498"/>
      <c r="AW233" s="498"/>
      <c r="AX233" s="498"/>
      <c r="AY233" s="498"/>
      <c r="AZ233" s="1429">
        <v>11</v>
      </c>
    </row>
    <row r="234" spans="1:52" s="1429" customFormat="1" ht="11.45" customHeight="1">
      <c r="A234" s="839"/>
      <c r="B234" s="1424"/>
      <c r="C234" s="1424"/>
      <c r="D234" s="284"/>
      <c r="AE234" s="961"/>
      <c r="AF234" s="1424"/>
      <c r="AG234" s="1424"/>
      <c r="AH234" s="961"/>
      <c r="AI234" s="961"/>
      <c r="AJ234" s="961"/>
      <c r="AK234" s="961"/>
      <c r="AL234" s="1424"/>
      <c r="AM234" s="961"/>
      <c r="AN234" s="961"/>
      <c r="AO234" s="476"/>
      <c r="AP234" s="961"/>
      <c r="AQ234" s="961"/>
      <c r="AR234" s="961"/>
      <c r="AS234" s="961"/>
      <c r="AT234" s="961"/>
      <c r="AU234" s="1420"/>
      <c r="AV234" s="498"/>
      <c r="AW234" s="498"/>
      <c r="AX234" s="498"/>
      <c r="AY234" s="498"/>
      <c r="AZ234" s="1429">
        <v>11</v>
      </c>
    </row>
    <row r="235" spans="1:52" s="1429" customFormat="1" ht="11.45" customHeight="1">
      <c r="A235" s="839"/>
      <c r="B235" s="1424"/>
      <c r="C235" s="1424"/>
      <c r="D235" s="284"/>
      <c r="AE235" s="961"/>
      <c r="AF235" s="1424"/>
      <c r="AG235" s="1424"/>
      <c r="AH235" s="961"/>
      <c r="AI235" s="961"/>
      <c r="AJ235" s="961"/>
      <c r="AK235" s="961"/>
      <c r="AL235" s="1424"/>
      <c r="AM235" s="961"/>
      <c r="AN235" s="961"/>
      <c r="AO235" s="476"/>
      <c r="AP235" s="961"/>
      <c r="AQ235" s="961"/>
      <c r="AR235" s="961"/>
      <c r="AS235" s="961"/>
      <c r="AT235" s="961"/>
      <c r="AU235" s="1420"/>
      <c r="AV235" s="498"/>
      <c r="AW235" s="498"/>
      <c r="AX235" s="498"/>
      <c r="AY235" s="498"/>
      <c r="AZ235" s="1429">
        <v>11</v>
      </c>
    </row>
    <row r="236" spans="1:52" s="1429" customFormat="1" ht="11.45" customHeight="1">
      <c r="A236" s="839"/>
      <c r="B236" s="1424"/>
      <c r="C236" s="1424"/>
      <c r="D236" s="284"/>
      <c r="AE236" s="961"/>
      <c r="AF236" s="1424"/>
      <c r="AG236" s="1424"/>
      <c r="AH236" s="961"/>
      <c r="AI236" s="961"/>
      <c r="AJ236" s="961"/>
      <c r="AK236" s="961"/>
      <c r="AL236" s="1424"/>
      <c r="AM236" s="961"/>
      <c r="AN236" s="961"/>
      <c r="AO236" s="476"/>
      <c r="AP236" s="961"/>
      <c r="AQ236" s="961"/>
      <c r="AR236" s="961"/>
      <c r="AS236" s="961"/>
      <c r="AT236" s="961"/>
      <c r="AU236" s="1420"/>
      <c r="AV236" s="498"/>
      <c r="AW236" s="498"/>
      <c r="AX236" s="498"/>
      <c r="AY236" s="498"/>
      <c r="AZ236" s="1429">
        <v>11</v>
      </c>
    </row>
    <row r="237" spans="1:52" s="1429" customFormat="1" ht="11.45" customHeight="1">
      <c r="A237" s="839"/>
      <c r="B237" s="1424"/>
      <c r="C237" s="1424"/>
      <c r="D237" s="284"/>
      <c r="AE237" s="961"/>
      <c r="AF237" s="1424"/>
      <c r="AG237" s="1424"/>
      <c r="AH237" s="961"/>
      <c r="AI237" s="961"/>
      <c r="AJ237" s="961"/>
      <c r="AK237" s="961"/>
      <c r="AL237" s="1424"/>
      <c r="AM237" s="961"/>
      <c r="AN237" s="961"/>
      <c r="AO237" s="476"/>
      <c r="AP237" s="961"/>
      <c r="AQ237" s="961"/>
      <c r="AR237" s="961"/>
      <c r="AS237" s="961"/>
      <c r="AT237" s="961"/>
      <c r="AU237" s="1420"/>
      <c r="AV237" s="498"/>
      <c r="AW237" s="498"/>
      <c r="AX237" s="498"/>
      <c r="AY237" s="498"/>
      <c r="AZ237" s="1429">
        <v>11</v>
      </c>
    </row>
    <row r="238" spans="1:52" s="1429" customFormat="1" ht="11.45" customHeight="1">
      <c r="A238" s="839"/>
      <c r="B238" s="1424"/>
      <c r="C238" s="1424"/>
      <c r="D238" s="284"/>
      <c r="AE238" s="961"/>
      <c r="AF238" s="1424"/>
      <c r="AG238" s="1424"/>
      <c r="AH238" s="961"/>
      <c r="AI238" s="961"/>
      <c r="AJ238" s="961"/>
      <c r="AK238" s="961"/>
      <c r="AL238" s="1424"/>
      <c r="AM238" s="961"/>
      <c r="AN238" s="961"/>
      <c r="AO238" s="476"/>
      <c r="AP238" s="961"/>
      <c r="AQ238" s="961"/>
      <c r="AR238" s="961"/>
      <c r="AS238" s="961"/>
      <c r="AT238" s="961"/>
      <c r="AU238" s="1420"/>
      <c r="AV238" s="498"/>
      <c r="AW238" s="498"/>
      <c r="AX238" s="498"/>
      <c r="AY238" s="498"/>
      <c r="AZ238" s="1429">
        <v>11</v>
      </c>
    </row>
    <row r="239" spans="1:52" s="1429" customFormat="1" ht="11.45" customHeight="1">
      <c r="A239" s="839"/>
      <c r="B239" s="1424"/>
      <c r="C239" s="1424"/>
      <c r="D239" s="284"/>
      <c r="AE239" s="961"/>
      <c r="AF239" s="1424"/>
      <c r="AG239" s="1424"/>
      <c r="AH239" s="961"/>
      <c r="AI239" s="961"/>
      <c r="AJ239" s="961"/>
      <c r="AK239" s="961"/>
      <c r="AL239" s="1424"/>
      <c r="AM239" s="961"/>
      <c r="AN239" s="961"/>
      <c r="AO239" s="476"/>
      <c r="AP239" s="961"/>
      <c r="AQ239" s="961"/>
      <c r="AR239" s="961"/>
      <c r="AS239" s="961"/>
      <c r="AT239" s="961"/>
      <c r="AU239" s="1420"/>
      <c r="AV239" s="498"/>
      <c r="AW239" s="498"/>
      <c r="AX239" s="498"/>
      <c r="AY239" s="498"/>
      <c r="AZ239" s="1429">
        <v>11</v>
      </c>
    </row>
    <row r="240" spans="1:52" s="1429" customFormat="1" ht="11.45" customHeight="1">
      <c r="A240" s="839"/>
      <c r="B240" s="1424"/>
      <c r="C240" s="1424"/>
      <c r="D240" s="284"/>
      <c r="AE240" s="961"/>
      <c r="AF240" s="1424"/>
      <c r="AG240" s="1424"/>
      <c r="AH240" s="961"/>
      <c r="AI240" s="961"/>
      <c r="AJ240" s="961"/>
      <c r="AK240" s="961"/>
      <c r="AL240" s="1424"/>
      <c r="AM240" s="961"/>
      <c r="AN240" s="961"/>
      <c r="AO240" s="476"/>
      <c r="AP240" s="961"/>
      <c r="AQ240" s="961"/>
      <c r="AR240" s="961"/>
      <c r="AS240" s="961"/>
      <c r="AT240" s="961"/>
      <c r="AU240" s="1420"/>
      <c r="AV240" s="498"/>
      <c r="AW240" s="498"/>
      <c r="AX240" s="498"/>
      <c r="AY240" s="498"/>
      <c r="AZ240" s="1429">
        <v>11</v>
      </c>
    </row>
    <row r="241" spans="1:52" s="1429" customFormat="1" ht="11.45" customHeight="1">
      <c r="A241" s="839"/>
      <c r="B241" s="1424"/>
      <c r="C241" s="1424"/>
      <c r="D241" s="284"/>
      <c r="AE241" s="961"/>
      <c r="AF241" s="1424"/>
      <c r="AG241" s="1424"/>
      <c r="AH241" s="961"/>
      <c r="AI241" s="961"/>
      <c r="AJ241" s="961"/>
      <c r="AK241" s="961"/>
      <c r="AL241" s="1424"/>
      <c r="AM241" s="961"/>
      <c r="AN241" s="961"/>
      <c r="AO241" s="476"/>
      <c r="AP241" s="961"/>
      <c r="AQ241" s="961"/>
      <c r="AR241" s="961"/>
      <c r="AS241" s="961"/>
      <c r="AT241" s="961"/>
      <c r="AU241" s="1420"/>
      <c r="AV241" s="498"/>
      <c r="AW241" s="498"/>
      <c r="AX241" s="498"/>
      <c r="AY241" s="498"/>
      <c r="AZ241" s="1429">
        <v>11</v>
      </c>
    </row>
    <row r="242" spans="1:52" s="1429" customFormat="1" ht="11.45" customHeight="1">
      <c r="A242" s="839"/>
      <c r="B242" s="1424"/>
      <c r="C242" s="1424"/>
      <c r="D242" s="284"/>
      <c r="AE242" s="961"/>
      <c r="AF242" s="1424"/>
      <c r="AG242" s="1424"/>
      <c r="AH242" s="961"/>
      <c r="AI242" s="961"/>
      <c r="AJ242" s="961"/>
      <c r="AK242" s="961"/>
      <c r="AL242" s="1424"/>
      <c r="AM242" s="961"/>
      <c r="AN242" s="961"/>
      <c r="AO242" s="476"/>
      <c r="AP242" s="961"/>
      <c r="AQ242" s="961"/>
      <c r="AR242" s="961"/>
      <c r="AS242" s="961"/>
      <c r="AT242" s="961"/>
      <c r="AU242" s="1420"/>
      <c r="AV242" s="498"/>
      <c r="AW242" s="498"/>
      <c r="AX242" s="498"/>
      <c r="AY242" s="498"/>
      <c r="AZ242" s="1429">
        <v>11</v>
      </c>
    </row>
    <row r="243" spans="1:52" s="1429" customFormat="1" ht="11.45" customHeight="1">
      <c r="A243" s="839"/>
      <c r="B243" s="1424"/>
      <c r="C243" s="1424"/>
      <c r="D243" s="284"/>
      <c r="AE243" s="961"/>
      <c r="AF243" s="1424"/>
      <c r="AG243" s="1424"/>
      <c r="AH243" s="961"/>
      <c r="AI243" s="961"/>
      <c r="AJ243" s="961"/>
      <c r="AK243" s="961"/>
      <c r="AL243" s="1424"/>
      <c r="AM243" s="961"/>
      <c r="AN243" s="961"/>
      <c r="AO243" s="476"/>
      <c r="AP243" s="961"/>
      <c r="AQ243" s="961"/>
      <c r="AR243" s="961"/>
      <c r="AS243" s="961"/>
      <c r="AT243" s="961"/>
      <c r="AU243" s="1420"/>
      <c r="AV243" s="498"/>
      <c r="AW243" s="498"/>
      <c r="AX243" s="498"/>
      <c r="AY243" s="498"/>
      <c r="AZ243" s="1429">
        <v>11</v>
      </c>
    </row>
    <row r="244" spans="1:52" s="1429" customFormat="1" ht="11.45" customHeight="1">
      <c r="A244" s="839"/>
      <c r="B244" s="1424"/>
      <c r="C244" s="1424"/>
      <c r="D244" s="284"/>
      <c r="AE244" s="961"/>
      <c r="AF244" s="1424"/>
      <c r="AG244" s="1424"/>
      <c r="AH244" s="961"/>
      <c r="AI244" s="961"/>
      <c r="AJ244" s="961"/>
      <c r="AK244" s="961"/>
      <c r="AL244" s="1424"/>
      <c r="AM244" s="961"/>
      <c r="AN244" s="961"/>
      <c r="AO244" s="476"/>
      <c r="AP244" s="961"/>
      <c r="AQ244" s="961"/>
      <c r="AR244" s="961"/>
      <c r="AS244" s="961"/>
      <c r="AT244" s="961"/>
      <c r="AU244" s="1420"/>
      <c r="AV244" s="498"/>
      <c r="AW244" s="498"/>
      <c r="AX244" s="498"/>
      <c r="AY244" s="498"/>
      <c r="AZ244" s="1429">
        <v>11</v>
      </c>
    </row>
    <row r="245" spans="1:52" s="1429" customFormat="1" ht="11.45" customHeight="1">
      <c r="A245" s="839"/>
      <c r="B245" s="1424"/>
      <c r="C245" s="1424"/>
      <c r="D245" s="284"/>
      <c r="AE245" s="961"/>
      <c r="AF245" s="1424"/>
      <c r="AG245" s="1424"/>
      <c r="AH245" s="961"/>
      <c r="AI245" s="961"/>
      <c r="AJ245" s="961"/>
      <c r="AK245" s="961"/>
      <c r="AL245" s="1424"/>
      <c r="AM245" s="961"/>
      <c r="AN245" s="961"/>
      <c r="AO245" s="476"/>
      <c r="AP245" s="961"/>
      <c r="AQ245" s="961"/>
      <c r="AR245" s="961"/>
      <c r="AS245" s="961"/>
      <c r="AT245" s="961"/>
      <c r="AU245" s="1420"/>
      <c r="AV245" s="498"/>
      <c r="AW245" s="498"/>
      <c r="AX245" s="498"/>
      <c r="AY245" s="498"/>
      <c r="AZ245" s="1429">
        <v>11</v>
      </c>
    </row>
    <row r="246" spans="1:52" s="1429" customFormat="1" ht="11.45" customHeight="1">
      <c r="A246" s="839"/>
      <c r="B246" s="1424"/>
      <c r="C246" s="1424"/>
      <c r="D246" s="284"/>
      <c r="AE246" s="961"/>
      <c r="AF246" s="1424"/>
      <c r="AG246" s="1424"/>
      <c r="AH246" s="961"/>
      <c r="AI246" s="961"/>
      <c r="AJ246" s="961"/>
      <c r="AK246" s="961"/>
      <c r="AL246" s="1424"/>
      <c r="AM246" s="961"/>
      <c r="AN246" s="961"/>
      <c r="AO246" s="476"/>
      <c r="AP246" s="961"/>
      <c r="AQ246" s="961"/>
      <c r="AR246" s="961"/>
      <c r="AS246" s="961"/>
      <c r="AT246" s="961"/>
      <c r="AU246" s="1420"/>
      <c r="AV246" s="498"/>
      <c r="AW246" s="498"/>
      <c r="AX246" s="498"/>
      <c r="AY246" s="498"/>
      <c r="AZ246" s="1429">
        <v>11</v>
      </c>
    </row>
    <row r="247" spans="1:52" s="1429" customFormat="1" ht="11.45" customHeight="1">
      <c r="A247" s="839"/>
      <c r="B247" s="1424"/>
      <c r="C247" s="1424"/>
      <c r="D247" s="284"/>
      <c r="AE247" s="961"/>
      <c r="AF247" s="1424"/>
      <c r="AG247" s="1424"/>
      <c r="AH247" s="961"/>
      <c r="AI247" s="961"/>
      <c r="AJ247" s="961"/>
      <c r="AK247" s="961"/>
      <c r="AL247" s="1424"/>
      <c r="AM247" s="961"/>
      <c r="AN247" s="961"/>
      <c r="AO247" s="476"/>
      <c r="AP247" s="961"/>
      <c r="AQ247" s="961"/>
      <c r="AR247" s="961"/>
      <c r="AS247" s="961"/>
      <c r="AT247" s="961"/>
      <c r="AU247" s="1420"/>
      <c r="AV247" s="498"/>
      <c r="AW247" s="498"/>
      <c r="AX247" s="498"/>
      <c r="AY247" s="498"/>
      <c r="AZ247" s="1429">
        <v>11</v>
      </c>
    </row>
    <row r="248" spans="1:52" s="1429" customFormat="1" ht="11.45" customHeight="1">
      <c r="A248" s="839"/>
      <c r="B248" s="1424"/>
      <c r="C248" s="1424"/>
      <c r="D248" s="284"/>
      <c r="AE248" s="961"/>
      <c r="AF248" s="1424"/>
      <c r="AG248" s="1424"/>
      <c r="AH248" s="961"/>
      <c r="AI248" s="961"/>
      <c r="AJ248" s="961"/>
      <c r="AK248" s="961"/>
      <c r="AL248" s="1424"/>
      <c r="AM248" s="961"/>
      <c r="AN248" s="961"/>
      <c r="AO248" s="476"/>
      <c r="AP248" s="961"/>
      <c r="AQ248" s="961"/>
      <c r="AR248" s="961"/>
      <c r="AS248" s="961"/>
      <c r="AT248" s="961"/>
      <c r="AU248" s="1420"/>
      <c r="AV248" s="498"/>
      <c r="AW248" s="498"/>
      <c r="AX248" s="498"/>
      <c r="AY248" s="498"/>
      <c r="AZ248" s="1429">
        <v>11</v>
      </c>
    </row>
    <row r="249" spans="1:52" s="1429" customFormat="1" ht="11.45" customHeight="1">
      <c r="A249" s="839"/>
      <c r="B249" s="1424"/>
      <c r="C249" s="1424"/>
      <c r="D249" s="284"/>
      <c r="AE249" s="961"/>
      <c r="AF249" s="1424"/>
      <c r="AG249" s="1424"/>
      <c r="AH249" s="961"/>
      <c r="AI249" s="961"/>
      <c r="AJ249" s="961"/>
      <c r="AK249" s="961"/>
      <c r="AL249" s="1424"/>
      <c r="AM249" s="961"/>
      <c r="AN249" s="961"/>
      <c r="AO249" s="476"/>
      <c r="AP249" s="961"/>
      <c r="AQ249" s="961"/>
      <c r="AR249" s="961"/>
      <c r="AS249" s="961"/>
      <c r="AT249" s="961"/>
      <c r="AU249" s="1420"/>
      <c r="AV249" s="498"/>
      <c r="AW249" s="498"/>
      <c r="AX249" s="498"/>
      <c r="AY249" s="498"/>
      <c r="AZ249" s="1429">
        <v>11</v>
      </c>
    </row>
    <row r="250" spans="1:52" s="1429" customFormat="1" ht="11.45" customHeight="1">
      <c r="A250" s="839"/>
      <c r="B250" s="1424"/>
      <c r="C250" s="1424"/>
      <c r="D250" s="284"/>
      <c r="AE250" s="961"/>
      <c r="AF250" s="1424"/>
      <c r="AG250" s="1424"/>
      <c r="AH250" s="961"/>
      <c r="AI250" s="961"/>
      <c r="AJ250" s="961"/>
      <c r="AK250" s="961"/>
      <c r="AL250" s="1424"/>
      <c r="AM250" s="961"/>
      <c r="AN250" s="961"/>
      <c r="AO250" s="476"/>
      <c r="AP250" s="961"/>
      <c r="AQ250" s="961"/>
      <c r="AR250" s="961"/>
      <c r="AS250" s="961"/>
      <c r="AT250" s="961"/>
      <c r="AU250" s="1420"/>
      <c r="AV250" s="498"/>
      <c r="AW250" s="498"/>
      <c r="AX250" s="498"/>
      <c r="AY250" s="498"/>
      <c r="AZ250" s="1429">
        <v>11</v>
      </c>
    </row>
    <row r="251" spans="1:52" s="1429" customFormat="1" ht="11.45" customHeight="1">
      <c r="A251" s="839"/>
      <c r="B251" s="1424"/>
      <c r="C251" s="1424"/>
      <c r="D251" s="284"/>
      <c r="AE251" s="961"/>
      <c r="AF251" s="1424"/>
      <c r="AG251" s="1424"/>
      <c r="AH251" s="961"/>
      <c r="AI251" s="961"/>
      <c r="AJ251" s="961"/>
      <c r="AK251" s="961"/>
      <c r="AL251" s="1424"/>
      <c r="AM251" s="961"/>
      <c r="AN251" s="961"/>
      <c r="AO251" s="476"/>
      <c r="AP251" s="961"/>
      <c r="AQ251" s="961"/>
      <c r="AR251" s="961"/>
      <c r="AS251" s="961"/>
      <c r="AT251" s="961"/>
      <c r="AU251" s="1420"/>
      <c r="AV251" s="498"/>
      <c r="AW251" s="498"/>
      <c r="AX251" s="498"/>
      <c r="AY251" s="498"/>
      <c r="AZ251" s="1429">
        <v>11</v>
      </c>
    </row>
    <row r="252" spans="1:52" s="1429" customFormat="1" ht="11.45" customHeight="1">
      <c r="A252" s="839"/>
      <c r="B252" s="1424"/>
      <c r="C252" s="1424"/>
      <c r="D252" s="284"/>
      <c r="AE252" s="961"/>
      <c r="AF252" s="1424"/>
      <c r="AG252" s="1424"/>
      <c r="AH252" s="961"/>
      <c r="AI252" s="961"/>
      <c r="AJ252" s="961"/>
      <c r="AK252" s="961"/>
      <c r="AL252" s="1424"/>
      <c r="AM252" s="961"/>
      <c r="AN252" s="961"/>
      <c r="AO252" s="476"/>
      <c r="AP252" s="961"/>
      <c r="AQ252" s="961"/>
      <c r="AR252" s="961"/>
      <c r="AS252" s="961"/>
      <c r="AT252" s="961"/>
      <c r="AU252" s="1420"/>
      <c r="AV252" s="498"/>
      <c r="AW252" s="498"/>
      <c r="AX252" s="498"/>
      <c r="AY252" s="498"/>
      <c r="AZ252" s="1429">
        <v>11</v>
      </c>
    </row>
    <row r="253" spans="1:52" s="1429" customFormat="1" ht="11.45" customHeight="1">
      <c r="A253" s="839"/>
      <c r="B253" s="1424"/>
      <c r="C253" s="1424"/>
      <c r="D253" s="284"/>
      <c r="AE253" s="961"/>
      <c r="AF253" s="1424"/>
      <c r="AG253" s="1424"/>
      <c r="AH253" s="961"/>
      <c r="AI253" s="961"/>
      <c r="AJ253" s="961"/>
      <c r="AK253" s="961"/>
      <c r="AL253" s="1424"/>
      <c r="AM253" s="961"/>
      <c r="AN253" s="961"/>
      <c r="AO253" s="476"/>
      <c r="AP253" s="961"/>
      <c r="AQ253" s="961"/>
      <c r="AR253" s="961"/>
      <c r="AS253" s="961"/>
      <c r="AT253" s="961"/>
      <c r="AU253" s="1420"/>
      <c r="AV253" s="498"/>
      <c r="AW253" s="498"/>
      <c r="AX253" s="498"/>
      <c r="AY253" s="498"/>
      <c r="AZ253" s="1429">
        <v>11</v>
      </c>
    </row>
    <row r="254" spans="1:52" s="1429" customFormat="1" ht="11.45" customHeight="1">
      <c r="A254" s="839"/>
      <c r="B254" s="1424"/>
      <c r="C254" s="1424"/>
      <c r="D254" s="284"/>
      <c r="AE254" s="961"/>
      <c r="AF254" s="1424"/>
      <c r="AG254" s="1424"/>
      <c r="AH254" s="961"/>
      <c r="AI254" s="961"/>
      <c r="AJ254" s="961"/>
      <c r="AK254" s="961"/>
      <c r="AL254" s="1424"/>
      <c r="AM254" s="961"/>
      <c r="AN254" s="961"/>
      <c r="AO254" s="476"/>
      <c r="AP254" s="961"/>
      <c r="AQ254" s="961"/>
      <c r="AR254" s="961"/>
      <c r="AS254" s="961"/>
      <c r="AT254" s="961"/>
      <c r="AU254" s="1420"/>
      <c r="AV254" s="498"/>
      <c r="AW254" s="498"/>
      <c r="AX254" s="498"/>
      <c r="AY254" s="498"/>
      <c r="AZ254" s="1429">
        <v>11</v>
      </c>
    </row>
    <row r="255" spans="1:52" s="1429" customFormat="1" ht="11.45" customHeight="1">
      <c r="A255" s="839"/>
      <c r="B255" s="1424"/>
      <c r="C255" s="1424"/>
      <c r="D255" s="284"/>
      <c r="AE255" s="961"/>
      <c r="AF255" s="1424"/>
      <c r="AG255" s="1424"/>
      <c r="AH255" s="961"/>
      <c r="AI255" s="961"/>
      <c r="AJ255" s="961"/>
      <c r="AK255" s="961"/>
      <c r="AL255" s="1424"/>
      <c r="AM255" s="961"/>
      <c r="AN255" s="961"/>
      <c r="AO255" s="476"/>
      <c r="AP255" s="961"/>
      <c r="AQ255" s="961"/>
      <c r="AR255" s="961"/>
      <c r="AS255" s="961"/>
      <c r="AT255" s="961"/>
      <c r="AU255" s="1420"/>
      <c r="AV255" s="498"/>
      <c r="AW255" s="498"/>
      <c r="AX255" s="498"/>
      <c r="AY255" s="498"/>
      <c r="AZ255" s="1429">
        <v>11</v>
      </c>
    </row>
    <row r="256" spans="1:52" s="1429" customFormat="1" ht="11.45" customHeight="1">
      <c r="A256" s="839"/>
      <c r="B256" s="1424"/>
      <c r="C256" s="1424"/>
      <c r="D256" s="284"/>
      <c r="AE256" s="961"/>
      <c r="AF256" s="1424"/>
      <c r="AG256" s="1424"/>
      <c r="AH256" s="961"/>
      <c r="AI256" s="961"/>
      <c r="AJ256" s="961"/>
      <c r="AK256" s="961"/>
      <c r="AL256" s="1424"/>
      <c r="AM256" s="961"/>
      <c r="AN256" s="961"/>
      <c r="AO256" s="476"/>
      <c r="AP256" s="961"/>
      <c r="AQ256" s="961"/>
      <c r="AR256" s="961"/>
      <c r="AS256" s="961"/>
      <c r="AT256" s="961"/>
      <c r="AU256" s="1420"/>
      <c r="AV256" s="498"/>
      <c r="AW256" s="498"/>
      <c r="AX256" s="498"/>
      <c r="AY256" s="498"/>
      <c r="AZ256" s="1429">
        <v>11</v>
      </c>
    </row>
    <row r="257" spans="1:52" s="1429" customFormat="1" ht="11.45" customHeight="1">
      <c r="A257" s="839"/>
      <c r="B257" s="1424"/>
      <c r="C257" s="1424"/>
      <c r="D257" s="284"/>
      <c r="AE257" s="961"/>
      <c r="AF257" s="1424"/>
      <c r="AG257" s="1424"/>
      <c r="AH257" s="961"/>
      <c r="AI257" s="961"/>
      <c r="AJ257" s="961"/>
      <c r="AK257" s="961"/>
      <c r="AL257" s="1424"/>
      <c r="AM257" s="961"/>
      <c r="AN257" s="961"/>
      <c r="AO257" s="476"/>
      <c r="AP257" s="961"/>
      <c r="AQ257" s="961"/>
      <c r="AR257" s="961"/>
      <c r="AS257" s="961"/>
      <c r="AT257" s="961"/>
      <c r="AU257" s="1420"/>
      <c r="AV257" s="498"/>
      <c r="AW257" s="498"/>
      <c r="AX257" s="498"/>
      <c r="AY257" s="498"/>
      <c r="AZ257" s="1429">
        <v>11</v>
      </c>
    </row>
    <row r="258" spans="1:52" s="1429" customFormat="1" ht="11.45" customHeight="1">
      <c r="A258" s="839"/>
      <c r="B258" s="1424"/>
      <c r="C258" s="1424"/>
      <c r="D258" s="284"/>
      <c r="AE258" s="961"/>
      <c r="AF258" s="1424"/>
      <c r="AG258" s="1424"/>
      <c r="AH258" s="961"/>
      <c r="AI258" s="961"/>
      <c r="AJ258" s="961"/>
      <c r="AK258" s="961"/>
      <c r="AL258" s="1424"/>
      <c r="AM258" s="961"/>
      <c r="AN258" s="961"/>
      <c r="AO258" s="476"/>
      <c r="AP258" s="961"/>
      <c r="AQ258" s="961"/>
      <c r="AR258" s="961"/>
      <c r="AS258" s="961"/>
      <c r="AT258" s="961"/>
      <c r="AU258" s="1420"/>
      <c r="AV258" s="498"/>
      <c r="AW258" s="498"/>
      <c r="AX258" s="498"/>
      <c r="AY258" s="498"/>
      <c r="AZ258" s="1429">
        <v>11</v>
      </c>
    </row>
    <row r="259" spans="1:52" s="1429" customFormat="1" ht="11.45" customHeight="1">
      <c r="A259" s="839"/>
      <c r="B259" s="1424"/>
      <c r="C259" s="1424"/>
      <c r="D259" s="284"/>
      <c r="AE259" s="961"/>
      <c r="AF259" s="1424"/>
      <c r="AG259" s="1424"/>
      <c r="AH259" s="961"/>
      <c r="AI259" s="961"/>
      <c r="AJ259" s="961"/>
      <c r="AK259" s="961"/>
      <c r="AL259" s="1424"/>
      <c r="AM259" s="961"/>
      <c r="AN259" s="961"/>
      <c r="AO259" s="476"/>
      <c r="AP259" s="961"/>
      <c r="AQ259" s="961"/>
      <c r="AR259" s="961"/>
      <c r="AS259" s="961"/>
      <c r="AT259" s="961"/>
      <c r="AU259" s="1420"/>
      <c r="AV259" s="498"/>
      <c r="AW259" s="498"/>
      <c r="AX259" s="498"/>
      <c r="AY259" s="498"/>
      <c r="AZ259" s="1429">
        <v>11</v>
      </c>
    </row>
    <row r="260" spans="1:52" s="1429" customFormat="1" ht="11.45" customHeight="1">
      <c r="A260" s="839"/>
      <c r="B260" s="1424"/>
      <c r="C260" s="1424"/>
      <c r="D260" s="284"/>
      <c r="AE260" s="961"/>
      <c r="AF260" s="1424"/>
      <c r="AG260" s="1424"/>
      <c r="AH260" s="961"/>
      <c r="AI260" s="961"/>
      <c r="AJ260" s="961"/>
      <c r="AK260" s="961"/>
      <c r="AL260" s="1424"/>
      <c r="AM260" s="961"/>
      <c r="AN260" s="961"/>
      <c r="AO260" s="476"/>
      <c r="AP260" s="961"/>
      <c r="AQ260" s="961"/>
      <c r="AR260" s="961"/>
      <c r="AS260" s="961"/>
      <c r="AT260" s="961"/>
      <c r="AU260" s="1420"/>
      <c r="AV260" s="498"/>
      <c r="AW260" s="498"/>
      <c r="AX260" s="498"/>
      <c r="AY260" s="498"/>
      <c r="AZ260" s="1429">
        <v>11</v>
      </c>
    </row>
    <row r="261" spans="1:52" s="1429" customFormat="1" ht="11.45" customHeight="1">
      <c r="A261" s="839"/>
      <c r="B261" s="1424"/>
      <c r="C261" s="1424"/>
      <c r="D261" s="284"/>
      <c r="AE261" s="961"/>
      <c r="AF261" s="1424"/>
      <c r="AG261" s="1424"/>
      <c r="AH261" s="961"/>
      <c r="AI261" s="961"/>
      <c r="AJ261" s="961"/>
      <c r="AK261" s="961"/>
      <c r="AL261" s="1424"/>
      <c r="AM261" s="961"/>
      <c r="AN261" s="961"/>
      <c r="AO261" s="476"/>
      <c r="AP261" s="961"/>
      <c r="AQ261" s="961"/>
      <c r="AR261" s="961"/>
      <c r="AS261" s="961"/>
      <c r="AT261" s="961"/>
      <c r="AU261" s="1420"/>
      <c r="AV261" s="498"/>
      <c r="AW261" s="498"/>
      <c r="AX261" s="498"/>
      <c r="AY261" s="498"/>
      <c r="AZ261" s="1429">
        <v>11</v>
      </c>
    </row>
    <row r="262" spans="1:52" s="1429" customFormat="1" ht="11.45" customHeight="1">
      <c r="A262" s="839"/>
      <c r="B262" s="1424"/>
      <c r="C262" s="1424"/>
      <c r="D262" s="284"/>
      <c r="AE262" s="961"/>
      <c r="AF262" s="1424"/>
      <c r="AG262" s="1424"/>
      <c r="AH262" s="961"/>
      <c r="AI262" s="961"/>
      <c r="AJ262" s="961"/>
      <c r="AK262" s="961"/>
      <c r="AL262" s="1424"/>
      <c r="AM262" s="961"/>
      <c r="AN262" s="961"/>
      <c r="AO262" s="476"/>
      <c r="AP262" s="961"/>
      <c r="AQ262" s="961"/>
      <c r="AR262" s="961"/>
      <c r="AS262" s="961"/>
      <c r="AT262" s="961"/>
      <c r="AU262" s="1420"/>
      <c r="AV262" s="498"/>
      <c r="AW262" s="498"/>
      <c r="AX262" s="498"/>
      <c r="AY262" s="498"/>
      <c r="AZ262" s="1429">
        <v>11</v>
      </c>
    </row>
    <row r="263" spans="1:52" s="1429" customFormat="1" ht="11.45" customHeight="1">
      <c r="A263" s="839"/>
      <c r="B263" s="1424"/>
      <c r="C263" s="1424"/>
      <c r="D263" s="284"/>
      <c r="AE263" s="961"/>
      <c r="AF263" s="1424"/>
      <c r="AG263" s="1424"/>
      <c r="AH263" s="961"/>
      <c r="AI263" s="961"/>
      <c r="AJ263" s="961"/>
      <c r="AK263" s="961"/>
      <c r="AL263" s="1424"/>
      <c r="AM263" s="961"/>
      <c r="AN263" s="961"/>
      <c r="AO263" s="476"/>
      <c r="AP263" s="961"/>
      <c r="AQ263" s="961"/>
      <c r="AR263" s="961"/>
      <c r="AS263" s="961"/>
      <c r="AT263" s="961"/>
      <c r="AU263" s="1420"/>
      <c r="AV263" s="498"/>
      <c r="AW263" s="498"/>
      <c r="AX263" s="498"/>
      <c r="AY263" s="498"/>
      <c r="AZ263" s="1429">
        <v>11</v>
      </c>
    </row>
    <row r="264" spans="1:52" s="1429" customFormat="1" ht="11.45" customHeight="1">
      <c r="A264" s="839"/>
      <c r="B264" s="1424"/>
      <c r="C264" s="1424"/>
      <c r="D264" s="284"/>
      <c r="AE264" s="961"/>
      <c r="AF264" s="1424"/>
      <c r="AG264" s="1424"/>
      <c r="AH264" s="961"/>
      <c r="AI264" s="961"/>
      <c r="AJ264" s="961"/>
      <c r="AK264" s="961"/>
      <c r="AL264" s="1424"/>
      <c r="AM264" s="961"/>
      <c r="AN264" s="961"/>
      <c r="AO264" s="476"/>
      <c r="AP264" s="961"/>
      <c r="AQ264" s="961"/>
      <c r="AR264" s="961"/>
      <c r="AS264" s="961"/>
      <c r="AT264" s="961"/>
      <c r="AU264" s="1420"/>
      <c r="AV264" s="498"/>
      <c r="AW264" s="498"/>
      <c r="AX264" s="498"/>
      <c r="AY264" s="498"/>
      <c r="AZ264" s="1429">
        <v>11</v>
      </c>
    </row>
    <row r="265" spans="1:52" s="1429" customFormat="1" ht="11.45" customHeight="1">
      <c r="A265" s="839"/>
      <c r="B265" s="1424"/>
      <c r="C265" s="1424"/>
      <c r="D265" s="284"/>
      <c r="AE265" s="961"/>
      <c r="AF265" s="1424"/>
      <c r="AG265" s="1424"/>
      <c r="AH265" s="961"/>
      <c r="AI265" s="961"/>
      <c r="AJ265" s="961"/>
      <c r="AK265" s="961"/>
      <c r="AL265" s="1424"/>
      <c r="AM265" s="961"/>
      <c r="AN265" s="961"/>
      <c r="AO265" s="476"/>
      <c r="AP265" s="961"/>
      <c r="AQ265" s="961"/>
      <c r="AR265" s="961"/>
      <c r="AS265" s="961"/>
      <c r="AT265" s="961"/>
      <c r="AU265" s="1420"/>
      <c r="AV265" s="498"/>
      <c r="AW265" s="498"/>
      <c r="AX265" s="498"/>
      <c r="AY265" s="498"/>
      <c r="AZ265" s="1429">
        <v>11</v>
      </c>
    </row>
    <row r="266" spans="1:52" s="1429" customFormat="1" ht="11.45" customHeight="1">
      <c r="A266" s="839"/>
      <c r="B266" s="1424"/>
      <c r="C266" s="1424"/>
      <c r="D266" s="284"/>
      <c r="AE266" s="961"/>
      <c r="AF266" s="1424"/>
      <c r="AG266" s="1424"/>
      <c r="AH266" s="961"/>
      <c r="AI266" s="961"/>
      <c r="AJ266" s="961"/>
      <c r="AK266" s="961"/>
      <c r="AL266" s="1424"/>
      <c r="AM266" s="961"/>
      <c r="AN266" s="961"/>
      <c r="AO266" s="476"/>
      <c r="AP266" s="961"/>
      <c r="AQ266" s="961"/>
      <c r="AR266" s="961"/>
      <c r="AS266" s="961"/>
      <c r="AT266" s="961"/>
      <c r="AU266" s="1420"/>
      <c r="AV266" s="498"/>
      <c r="AW266" s="498"/>
      <c r="AX266" s="498"/>
      <c r="AY266" s="498"/>
      <c r="AZ266" s="1429">
        <v>11</v>
      </c>
    </row>
    <row r="267" spans="1:52" s="1429" customFormat="1" ht="11.45" customHeight="1">
      <c r="A267" s="839"/>
      <c r="B267" s="1424"/>
      <c r="C267" s="1424"/>
      <c r="D267" s="284"/>
      <c r="AE267" s="961"/>
      <c r="AF267" s="1424"/>
      <c r="AG267" s="1424"/>
      <c r="AH267" s="961"/>
      <c r="AI267" s="961"/>
      <c r="AJ267" s="961"/>
      <c r="AK267" s="961"/>
      <c r="AL267" s="1424"/>
      <c r="AM267" s="961"/>
      <c r="AN267" s="961"/>
      <c r="AO267" s="476"/>
      <c r="AP267" s="961"/>
      <c r="AQ267" s="961"/>
      <c r="AR267" s="961"/>
      <c r="AS267" s="961"/>
      <c r="AT267" s="961"/>
      <c r="AU267" s="1420"/>
      <c r="AV267" s="498"/>
      <c r="AW267" s="498"/>
      <c r="AX267" s="498"/>
      <c r="AY267" s="498"/>
      <c r="AZ267" s="1429">
        <v>11</v>
      </c>
    </row>
    <row r="268" spans="1:52" s="1429" customFormat="1" ht="11.45" customHeight="1">
      <c r="A268" s="839"/>
      <c r="B268" s="1424"/>
      <c r="C268" s="1424"/>
      <c r="D268" s="284"/>
      <c r="AE268" s="961"/>
      <c r="AF268" s="1424"/>
      <c r="AG268" s="1424"/>
      <c r="AH268" s="961"/>
      <c r="AI268" s="961"/>
      <c r="AJ268" s="961"/>
      <c r="AK268" s="961"/>
      <c r="AL268" s="1424"/>
      <c r="AM268" s="961"/>
      <c r="AN268" s="961"/>
      <c r="AO268" s="476"/>
      <c r="AP268" s="961"/>
      <c r="AQ268" s="961"/>
      <c r="AR268" s="961"/>
      <c r="AS268" s="961"/>
      <c r="AT268" s="961"/>
      <c r="AU268" s="1420"/>
      <c r="AV268" s="498"/>
      <c r="AW268" s="498"/>
      <c r="AX268" s="498"/>
      <c r="AY268" s="498"/>
      <c r="AZ268" s="1429">
        <v>11</v>
      </c>
    </row>
    <row r="269" spans="1:52" s="1429" customFormat="1" ht="11.45" customHeight="1">
      <c r="A269" s="839"/>
      <c r="B269" s="1424"/>
      <c r="C269" s="1424"/>
      <c r="D269" s="284"/>
      <c r="AE269" s="961"/>
      <c r="AF269" s="1424"/>
      <c r="AG269" s="1424"/>
      <c r="AH269" s="961"/>
      <c r="AI269" s="961"/>
      <c r="AJ269" s="961"/>
      <c r="AK269" s="961"/>
      <c r="AL269" s="1424"/>
      <c r="AM269" s="961"/>
      <c r="AN269" s="961"/>
      <c r="AO269" s="476"/>
      <c r="AP269" s="961"/>
      <c r="AQ269" s="961"/>
      <c r="AR269" s="961"/>
      <c r="AS269" s="961"/>
      <c r="AT269" s="961"/>
      <c r="AU269" s="1420"/>
      <c r="AV269" s="498"/>
      <c r="AW269" s="498"/>
      <c r="AX269" s="498"/>
      <c r="AY269" s="498"/>
      <c r="AZ269" s="1429">
        <v>11</v>
      </c>
    </row>
    <row r="270" spans="1:52" s="1429" customFormat="1" ht="11.45" customHeight="1">
      <c r="A270" s="839"/>
      <c r="B270" s="1424"/>
      <c r="C270" s="1424"/>
      <c r="D270" s="284"/>
      <c r="AE270" s="961"/>
      <c r="AF270" s="1424"/>
      <c r="AG270" s="1424"/>
      <c r="AH270" s="961"/>
      <c r="AI270" s="961"/>
      <c r="AJ270" s="961"/>
      <c r="AK270" s="961"/>
      <c r="AL270" s="1424"/>
      <c r="AM270" s="961"/>
      <c r="AN270" s="961"/>
      <c r="AO270" s="476"/>
      <c r="AP270" s="961"/>
      <c r="AQ270" s="961"/>
      <c r="AR270" s="961"/>
      <c r="AS270" s="961"/>
      <c r="AT270" s="961"/>
      <c r="AU270" s="1420"/>
      <c r="AV270" s="498"/>
      <c r="AW270" s="498"/>
      <c r="AX270" s="498"/>
      <c r="AY270" s="498"/>
      <c r="AZ270" s="1429">
        <v>11</v>
      </c>
    </row>
    <row r="271" spans="1:52" s="1429" customFormat="1" ht="11.45" customHeight="1">
      <c r="A271" s="839"/>
      <c r="B271" s="1424"/>
      <c r="C271" s="1424"/>
      <c r="D271" s="284"/>
      <c r="AE271" s="961"/>
      <c r="AF271" s="1424"/>
      <c r="AG271" s="1424"/>
      <c r="AH271" s="961"/>
      <c r="AI271" s="961"/>
      <c r="AJ271" s="961"/>
      <c r="AK271" s="961"/>
      <c r="AL271" s="1424"/>
      <c r="AM271" s="961"/>
      <c r="AN271" s="961"/>
      <c r="AO271" s="476"/>
      <c r="AP271" s="961"/>
      <c r="AQ271" s="961"/>
      <c r="AR271" s="961"/>
      <c r="AS271" s="961"/>
      <c r="AT271" s="961"/>
      <c r="AU271" s="1420"/>
      <c r="AV271" s="498"/>
      <c r="AW271" s="498"/>
      <c r="AX271" s="498"/>
      <c r="AY271" s="498"/>
      <c r="AZ271" s="1429">
        <v>11</v>
      </c>
    </row>
    <row r="272" spans="1:52" s="1429" customFormat="1" ht="11.45" customHeight="1">
      <c r="A272" s="839"/>
      <c r="B272" s="1424"/>
      <c r="C272" s="1424"/>
      <c r="D272" s="284"/>
      <c r="AE272" s="961"/>
      <c r="AF272" s="1424"/>
      <c r="AG272" s="1424"/>
      <c r="AH272" s="961"/>
      <c r="AI272" s="961"/>
      <c r="AJ272" s="961"/>
      <c r="AK272" s="961"/>
      <c r="AL272" s="1424"/>
      <c r="AM272" s="961"/>
      <c r="AN272" s="961"/>
      <c r="AO272" s="476"/>
      <c r="AP272" s="961"/>
      <c r="AQ272" s="961"/>
      <c r="AR272" s="961"/>
      <c r="AS272" s="961"/>
      <c r="AT272" s="961"/>
      <c r="AU272" s="1420"/>
      <c r="AV272" s="498"/>
      <c r="AW272" s="498"/>
      <c r="AX272" s="498"/>
      <c r="AY272" s="498"/>
      <c r="AZ272" s="1429">
        <v>11</v>
      </c>
    </row>
    <row r="273" spans="1:52" s="1429" customFormat="1" ht="11.45" customHeight="1">
      <c r="A273" s="839"/>
      <c r="B273" s="1424"/>
      <c r="C273" s="1424"/>
      <c r="D273" s="284"/>
      <c r="AE273" s="961"/>
      <c r="AF273" s="1424"/>
      <c r="AG273" s="1424"/>
      <c r="AH273" s="961"/>
      <c r="AI273" s="961"/>
      <c r="AJ273" s="961"/>
      <c r="AK273" s="961"/>
      <c r="AL273" s="1424"/>
      <c r="AM273" s="961"/>
      <c r="AN273" s="961"/>
      <c r="AO273" s="476"/>
      <c r="AP273" s="961"/>
      <c r="AQ273" s="961"/>
      <c r="AR273" s="961"/>
      <c r="AS273" s="961"/>
      <c r="AT273" s="961"/>
      <c r="AU273" s="1420"/>
      <c r="AV273" s="498"/>
      <c r="AW273" s="498"/>
      <c r="AX273" s="498"/>
      <c r="AY273" s="498"/>
      <c r="AZ273" s="1429">
        <v>11</v>
      </c>
    </row>
    <row r="274" spans="1:52" s="1429" customFormat="1" ht="11.45" customHeight="1">
      <c r="A274" s="839"/>
      <c r="B274" s="1424"/>
      <c r="C274" s="1424"/>
      <c r="D274" s="284"/>
      <c r="AE274" s="961"/>
      <c r="AF274" s="1424"/>
      <c r="AG274" s="1424"/>
      <c r="AH274" s="961"/>
      <c r="AI274" s="961"/>
      <c r="AJ274" s="961"/>
      <c r="AK274" s="961"/>
      <c r="AL274" s="1424"/>
      <c r="AM274" s="961"/>
      <c r="AN274" s="961"/>
      <c r="AO274" s="476"/>
      <c r="AP274" s="961"/>
      <c r="AQ274" s="961"/>
      <c r="AR274" s="961"/>
      <c r="AS274" s="961"/>
      <c r="AT274" s="961"/>
      <c r="AU274" s="1420"/>
      <c r="AV274" s="498"/>
      <c r="AW274" s="498"/>
      <c r="AX274" s="498"/>
      <c r="AY274" s="498"/>
      <c r="AZ274" s="1429">
        <v>11</v>
      </c>
    </row>
    <row r="275" spans="1:52" s="1429" customFormat="1" ht="11.45" customHeight="1">
      <c r="A275" s="839"/>
      <c r="B275" s="1424"/>
      <c r="C275" s="1424"/>
      <c r="D275" s="284"/>
      <c r="AE275" s="961"/>
      <c r="AF275" s="1424"/>
      <c r="AG275" s="1424"/>
      <c r="AH275" s="961"/>
      <c r="AI275" s="961"/>
      <c r="AJ275" s="961"/>
      <c r="AK275" s="961"/>
      <c r="AL275" s="1424"/>
      <c r="AM275" s="961"/>
      <c r="AN275" s="961"/>
      <c r="AO275" s="476"/>
      <c r="AP275" s="961"/>
      <c r="AQ275" s="961"/>
      <c r="AR275" s="961"/>
      <c r="AS275" s="961"/>
      <c r="AT275" s="961"/>
      <c r="AU275" s="1420"/>
      <c r="AV275" s="498"/>
      <c r="AW275" s="498"/>
      <c r="AX275" s="498"/>
      <c r="AY275" s="498"/>
      <c r="AZ275" s="1429">
        <v>11</v>
      </c>
    </row>
    <row r="276" spans="1:52" s="1429" customFormat="1" ht="11.45" customHeight="1">
      <c r="A276" s="839"/>
      <c r="B276" s="1424"/>
      <c r="C276" s="1424"/>
      <c r="D276" s="284"/>
      <c r="AE276" s="961"/>
      <c r="AF276" s="1424"/>
      <c r="AG276" s="1424"/>
      <c r="AH276" s="961"/>
      <c r="AI276" s="961"/>
      <c r="AJ276" s="961"/>
      <c r="AK276" s="961"/>
      <c r="AL276" s="1424"/>
      <c r="AM276" s="961"/>
      <c r="AN276" s="961"/>
      <c r="AO276" s="476"/>
      <c r="AP276" s="961"/>
      <c r="AQ276" s="961"/>
      <c r="AR276" s="961"/>
      <c r="AS276" s="961"/>
      <c r="AT276" s="961"/>
      <c r="AU276" s="1420"/>
      <c r="AV276" s="498"/>
      <c r="AW276" s="498"/>
      <c r="AX276" s="498"/>
      <c r="AY276" s="498"/>
      <c r="AZ276" s="1429">
        <v>11</v>
      </c>
    </row>
    <row r="277" spans="1:52" s="1429" customFormat="1" ht="11.45" customHeight="1">
      <c r="A277" s="839"/>
      <c r="B277" s="1424"/>
      <c r="C277" s="1424"/>
      <c r="D277" s="284"/>
      <c r="AE277" s="961"/>
      <c r="AF277" s="1424"/>
      <c r="AG277" s="1424"/>
      <c r="AH277" s="961"/>
      <c r="AI277" s="961"/>
      <c r="AJ277" s="961"/>
      <c r="AK277" s="961"/>
      <c r="AL277" s="1424"/>
      <c r="AM277" s="961"/>
      <c r="AN277" s="961"/>
      <c r="AO277" s="476"/>
      <c r="AP277" s="961"/>
      <c r="AQ277" s="961"/>
      <c r="AR277" s="961"/>
      <c r="AS277" s="961"/>
      <c r="AT277" s="961"/>
      <c r="AU277" s="1420"/>
      <c r="AV277" s="498"/>
      <c r="AW277" s="498"/>
      <c r="AX277" s="498"/>
      <c r="AY277" s="498"/>
      <c r="AZ277" s="1429">
        <v>11</v>
      </c>
    </row>
    <row r="278" spans="1:52" s="1429" customFormat="1" ht="11.45" customHeight="1">
      <c r="A278" s="839"/>
      <c r="B278" s="1424"/>
      <c r="C278" s="1424"/>
      <c r="D278" s="284"/>
      <c r="AE278" s="961"/>
      <c r="AF278" s="1424"/>
      <c r="AG278" s="1424"/>
      <c r="AH278" s="961"/>
      <c r="AI278" s="961"/>
      <c r="AJ278" s="961"/>
      <c r="AK278" s="961"/>
      <c r="AL278" s="1424"/>
      <c r="AM278" s="961"/>
      <c r="AN278" s="961"/>
      <c r="AO278" s="476"/>
      <c r="AP278" s="961"/>
      <c r="AQ278" s="961"/>
      <c r="AR278" s="961"/>
      <c r="AS278" s="961"/>
      <c r="AT278" s="961"/>
      <c r="AU278" s="1420"/>
      <c r="AV278" s="498"/>
      <c r="AW278" s="498"/>
      <c r="AX278" s="498"/>
      <c r="AY278" s="498"/>
      <c r="AZ278" s="1429">
        <v>11</v>
      </c>
    </row>
    <row r="279" spans="1:52" s="1429" customFormat="1" ht="11.45" customHeight="1">
      <c r="A279" s="839"/>
      <c r="B279" s="1424"/>
      <c r="C279" s="1424"/>
      <c r="D279" s="284"/>
      <c r="AE279" s="961"/>
      <c r="AF279" s="1424"/>
      <c r="AG279" s="1424"/>
      <c r="AH279" s="961"/>
      <c r="AI279" s="961"/>
      <c r="AJ279" s="961"/>
      <c r="AK279" s="961"/>
      <c r="AL279" s="1424"/>
      <c r="AM279" s="961"/>
      <c r="AN279" s="961"/>
      <c r="AO279" s="476"/>
      <c r="AP279" s="961"/>
      <c r="AQ279" s="961"/>
      <c r="AR279" s="961"/>
      <c r="AS279" s="961"/>
      <c r="AT279" s="961"/>
      <c r="AU279" s="1420"/>
      <c r="AV279" s="498"/>
      <c r="AW279" s="498"/>
      <c r="AX279" s="498"/>
      <c r="AY279" s="498"/>
      <c r="AZ279" s="1429">
        <v>11</v>
      </c>
    </row>
    <row r="280" spans="1:52" s="1429" customFormat="1" ht="11.45" customHeight="1">
      <c r="A280" s="839"/>
      <c r="B280" s="1424"/>
      <c r="C280" s="1424"/>
      <c r="D280" s="284"/>
      <c r="AE280" s="961"/>
      <c r="AF280" s="1424"/>
      <c r="AG280" s="1424"/>
      <c r="AH280" s="961"/>
      <c r="AI280" s="961"/>
      <c r="AJ280" s="961"/>
      <c r="AK280" s="961"/>
      <c r="AL280" s="1424"/>
      <c r="AM280" s="961"/>
      <c r="AN280" s="961"/>
      <c r="AO280" s="476"/>
      <c r="AP280" s="961"/>
      <c r="AQ280" s="961"/>
      <c r="AR280" s="961"/>
      <c r="AS280" s="961"/>
      <c r="AT280" s="961"/>
      <c r="AU280" s="1420"/>
      <c r="AV280" s="498"/>
      <c r="AW280" s="498"/>
      <c r="AX280" s="498"/>
      <c r="AY280" s="498"/>
      <c r="AZ280" s="1429">
        <v>11</v>
      </c>
    </row>
    <row r="281" spans="1:52" s="1429" customFormat="1" ht="11.45" customHeight="1">
      <c r="A281" s="839"/>
      <c r="B281" s="1424"/>
      <c r="C281" s="1424"/>
      <c r="D281" s="284"/>
      <c r="AE281" s="961"/>
      <c r="AF281" s="1424"/>
      <c r="AG281" s="1424"/>
      <c r="AH281" s="961"/>
      <c r="AI281" s="961"/>
      <c r="AJ281" s="961"/>
      <c r="AK281" s="961"/>
      <c r="AL281" s="1424"/>
      <c r="AM281" s="961"/>
      <c r="AN281" s="961"/>
      <c r="AO281" s="476"/>
      <c r="AP281" s="961"/>
      <c r="AQ281" s="961"/>
      <c r="AR281" s="961"/>
      <c r="AS281" s="961"/>
      <c r="AT281" s="961"/>
      <c r="AU281" s="1420"/>
      <c r="AV281" s="498"/>
      <c r="AW281" s="498"/>
      <c r="AX281" s="498"/>
      <c r="AY281" s="498"/>
      <c r="AZ281" s="1429">
        <v>11</v>
      </c>
    </row>
    <row r="282" spans="1:52" s="1429" customFormat="1" ht="11.45" customHeight="1">
      <c r="A282" s="839"/>
      <c r="B282" s="1424"/>
      <c r="C282" s="1424"/>
      <c r="D282" s="284"/>
      <c r="AE282" s="961"/>
      <c r="AF282" s="1424"/>
      <c r="AG282" s="1424"/>
      <c r="AH282" s="961"/>
      <c r="AI282" s="961"/>
      <c r="AJ282" s="961"/>
      <c r="AK282" s="961"/>
      <c r="AL282" s="1424"/>
      <c r="AM282" s="961"/>
      <c r="AN282" s="961"/>
      <c r="AO282" s="476"/>
      <c r="AP282" s="961"/>
      <c r="AQ282" s="961"/>
      <c r="AR282" s="961"/>
      <c r="AS282" s="961"/>
      <c r="AT282" s="961"/>
      <c r="AU282" s="1420"/>
      <c r="AV282" s="498"/>
      <c r="AW282" s="498"/>
      <c r="AX282" s="498"/>
      <c r="AY282" s="498"/>
      <c r="AZ282" s="1429">
        <v>11</v>
      </c>
    </row>
    <row r="283" spans="1:52" s="1429" customFormat="1" ht="11.45" customHeight="1">
      <c r="A283" s="839"/>
      <c r="B283" s="1424"/>
      <c r="C283" s="1424"/>
      <c r="D283" s="284"/>
      <c r="AE283" s="961"/>
      <c r="AF283" s="1424"/>
      <c r="AG283" s="1424"/>
      <c r="AH283" s="961"/>
      <c r="AI283" s="961"/>
      <c r="AJ283" s="961"/>
      <c r="AK283" s="961"/>
      <c r="AL283" s="1424"/>
      <c r="AM283" s="961"/>
      <c r="AN283" s="961"/>
      <c r="AO283" s="476"/>
      <c r="AP283" s="961"/>
      <c r="AQ283" s="961"/>
      <c r="AR283" s="961"/>
      <c r="AS283" s="961"/>
      <c r="AT283" s="961"/>
      <c r="AU283" s="1420"/>
      <c r="AV283" s="498"/>
      <c r="AW283" s="498"/>
      <c r="AX283" s="498"/>
      <c r="AY283" s="498"/>
      <c r="AZ283" s="1429">
        <v>11</v>
      </c>
    </row>
    <row r="284" spans="1:52" s="1429" customFormat="1" ht="11.45" customHeight="1">
      <c r="A284" s="839"/>
      <c r="B284" s="1424"/>
      <c r="C284" s="1424"/>
      <c r="D284" s="284"/>
      <c r="AE284" s="961"/>
      <c r="AF284" s="1424"/>
      <c r="AG284" s="1424"/>
      <c r="AH284" s="961"/>
      <c r="AI284" s="961"/>
      <c r="AJ284" s="961"/>
      <c r="AK284" s="961"/>
      <c r="AL284" s="1424"/>
      <c r="AM284" s="961"/>
      <c r="AN284" s="961"/>
      <c r="AO284" s="476"/>
      <c r="AP284" s="961"/>
      <c r="AQ284" s="961"/>
      <c r="AR284" s="961"/>
      <c r="AS284" s="961"/>
      <c r="AT284" s="961"/>
      <c r="AU284" s="1420"/>
      <c r="AV284" s="498"/>
      <c r="AW284" s="498"/>
      <c r="AX284" s="498"/>
      <c r="AY284" s="498"/>
      <c r="AZ284" s="1429">
        <v>11</v>
      </c>
    </row>
    <row r="285" spans="1:52" s="1429" customFormat="1" ht="11.45" customHeight="1">
      <c r="A285" s="839"/>
      <c r="B285" s="1424"/>
      <c r="C285" s="1424"/>
      <c r="D285" s="284"/>
      <c r="AE285" s="961"/>
      <c r="AF285" s="1424"/>
      <c r="AG285" s="1424"/>
      <c r="AH285" s="961"/>
      <c r="AI285" s="961"/>
      <c r="AJ285" s="961"/>
      <c r="AK285" s="961"/>
      <c r="AL285" s="1424"/>
      <c r="AM285" s="961"/>
      <c r="AN285" s="961"/>
      <c r="AO285" s="476"/>
      <c r="AP285" s="961"/>
      <c r="AQ285" s="961"/>
      <c r="AR285" s="961"/>
      <c r="AS285" s="961"/>
      <c r="AT285" s="961"/>
      <c r="AU285" s="1420"/>
      <c r="AV285" s="498"/>
      <c r="AW285" s="498"/>
      <c r="AX285" s="498"/>
      <c r="AY285" s="498"/>
      <c r="AZ285" s="1429">
        <v>11</v>
      </c>
    </row>
    <row r="286" spans="1:52" s="1429" customFormat="1" ht="11.45" customHeight="1">
      <c r="A286" s="839"/>
      <c r="B286" s="1424"/>
      <c r="C286" s="1424"/>
      <c r="D286" s="284"/>
      <c r="AE286" s="961"/>
      <c r="AF286" s="1424"/>
      <c r="AG286" s="1424"/>
      <c r="AH286" s="961"/>
      <c r="AI286" s="961"/>
      <c r="AJ286" s="961"/>
      <c r="AK286" s="961"/>
      <c r="AL286" s="1424"/>
      <c r="AM286" s="961"/>
      <c r="AN286" s="961"/>
      <c r="AO286" s="476"/>
      <c r="AP286" s="961"/>
      <c r="AQ286" s="961"/>
      <c r="AR286" s="961"/>
      <c r="AS286" s="961"/>
      <c r="AT286" s="961"/>
      <c r="AU286" s="1420"/>
      <c r="AV286" s="498"/>
      <c r="AW286" s="498"/>
      <c r="AX286" s="498"/>
      <c r="AY286" s="498"/>
      <c r="AZ286" s="1429">
        <v>11</v>
      </c>
    </row>
    <row r="287" spans="1:52" s="1429" customFormat="1" ht="11.45" customHeight="1">
      <c r="A287" s="839"/>
      <c r="B287" s="1424"/>
      <c r="C287" s="1424"/>
      <c r="D287" s="284"/>
      <c r="AE287" s="961"/>
      <c r="AF287" s="1424"/>
      <c r="AG287" s="1424"/>
      <c r="AH287" s="961"/>
      <c r="AI287" s="961"/>
      <c r="AJ287" s="961"/>
      <c r="AK287" s="961"/>
      <c r="AL287" s="1424"/>
      <c r="AM287" s="961"/>
      <c r="AN287" s="961"/>
      <c r="AO287" s="476"/>
      <c r="AP287" s="961"/>
      <c r="AQ287" s="961"/>
      <c r="AR287" s="961"/>
      <c r="AS287" s="961"/>
      <c r="AT287" s="961"/>
      <c r="AU287" s="1420"/>
      <c r="AV287" s="498"/>
      <c r="AW287" s="498"/>
      <c r="AX287" s="498"/>
      <c r="AY287" s="498"/>
      <c r="AZ287" s="1429">
        <v>11</v>
      </c>
    </row>
    <row r="288" spans="1:52" s="1429" customFormat="1" ht="11.45" customHeight="1">
      <c r="A288" s="839"/>
      <c r="B288" s="1424"/>
      <c r="C288" s="1424"/>
      <c r="D288" s="284"/>
      <c r="AE288" s="961"/>
      <c r="AF288" s="1424"/>
      <c r="AG288" s="1424"/>
      <c r="AH288" s="961"/>
      <c r="AI288" s="961"/>
      <c r="AJ288" s="961"/>
      <c r="AK288" s="961"/>
      <c r="AL288" s="1424"/>
      <c r="AM288" s="961"/>
      <c r="AN288" s="961"/>
      <c r="AO288" s="476"/>
      <c r="AP288" s="961"/>
      <c r="AQ288" s="961"/>
      <c r="AR288" s="961"/>
      <c r="AS288" s="961"/>
      <c r="AT288" s="961"/>
      <c r="AU288" s="1420"/>
      <c r="AV288" s="498"/>
      <c r="AW288" s="498"/>
      <c r="AX288" s="498"/>
      <c r="AY288" s="498"/>
      <c r="AZ288" s="1429">
        <v>11</v>
      </c>
    </row>
    <row r="289" spans="1:52" s="1429" customFormat="1" ht="11.45" customHeight="1">
      <c r="A289" s="839"/>
      <c r="B289" s="1424"/>
      <c r="C289" s="1424"/>
      <c r="D289" s="284"/>
      <c r="AE289" s="961"/>
      <c r="AF289" s="1424"/>
      <c r="AG289" s="1424"/>
      <c r="AH289" s="961"/>
      <c r="AI289" s="961"/>
      <c r="AJ289" s="961"/>
      <c r="AK289" s="961"/>
      <c r="AL289" s="1424"/>
      <c r="AM289" s="961"/>
      <c r="AN289" s="961"/>
      <c r="AO289" s="476"/>
      <c r="AP289" s="961"/>
      <c r="AQ289" s="961"/>
      <c r="AR289" s="961"/>
      <c r="AS289" s="961"/>
      <c r="AT289" s="961"/>
      <c r="AU289" s="1420"/>
      <c r="AV289" s="498"/>
      <c r="AW289" s="498"/>
      <c r="AX289" s="498"/>
      <c r="AY289" s="498"/>
      <c r="AZ289" s="1429">
        <v>11</v>
      </c>
    </row>
    <row r="290" spans="1:52" s="1429" customFormat="1" ht="11.45" customHeight="1">
      <c r="A290" s="839"/>
      <c r="B290" s="1424"/>
      <c r="C290" s="1424"/>
      <c r="D290" s="284"/>
      <c r="AE290" s="961"/>
      <c r="AF290" s="1424"/>
      <c r="AG290" s="1424"/>
      <c r="AH290" s="961"/>
      <c r="AI290" s="961"/>
      <c r="AJ290" s="961"/>
      <c r="AK290" s="961"/>
      <c r="AL290" s="1424"/>
      <c r="AM290" s="961"/>
      <c r="AN290" s="961"/>
      <c r="AO290" s="476"/>
      <c r="AP290" s="961"/>
      <c r="AQ290" s="961"/>
      <c r="AR290" s="961"/>
      <c r="AS290" s="961"/>
      <c r="AT290" s="961"/>
      <c r="AU290" s="1420"/>
      <c r="AV290" s="498"/>
      <c r="AW290" s="498"/>
      <c r="AX290" s="498"/>
      <c r="AY290" s="498"/>
      <c r="AZ290" s="1429">
        <v>11</v>
      </c>
    </row>
    <row r="291" spans="1:52" s="1429" customFormat="1" ht="11.45" customHeight="1">
      <c r="A291" s="839"/>
      <c r="B291" s="1424"/>
      <c r="C291" s="1424"/>
      <c r="D291" s="284"/>
      <c r="AE291" s="961"/>
      <c r="AF291" s="1424"/>
      <c r="AG291" s="1424"/>
      <c r="AH291" s="961"/>
      <c r="AI291" s="961"/>
      <c r="AJ291" s="961"/>
      <c r="AK291" s="961"/>
      <c r="AL291" s="1424"/>
      <c r="AM291" s="961"/>
      <c r="AN291" s="961"/>
      <c r="AO291" s="476"/>
      <c r="AP291" s="961"/>
      <c r="AQ291" s="961"/>
      <c r="AR291" s="961"/>
      <c r="AS291" s="961"/>
      <c r="AT291" s="961"/>
      <c r="AU291" s="1420"/>
      <c r="AV291" s="498"/>
      <c r="AW291" s="498"/>
      <c r="AX291" s="498"/>
      <c r="AY291" s="498"/>
      <c r="AZ291" s="1429">
        <v>11</v>
      </c>
    </row>
    <row r="292" spans="1:52" s="1429" customFormat="1" ht="11.45" customHeight="1">
      <c r="A292" s="839"/>
      <c r="B292" s="1424"/>
      <c r="C292" s="1424"/>
      <c r="D292" s="284"/>
      <c r="AE292" s="961"/>
      <c r="AF292" s="1424"/>
      <c r="AG292" s="1424"/>
      <c r="AH292" s="961"/>
      <c r="AI292" s="961"/>
      <c r="AJ292" s="961"/>
      <c r="AK292" s="961"/>
      <c r="AL292" s="1424"/>
      <c r="AM292" s="961"/>
      <c r="AN292" s="961"/>
      <c r="AO292" s="476"/>
      <c r="AP292" s="961"/>
      <c r="AQ292" s="961"/>
      <c r="AR292" s="961"/>
      <c r="AS292" s="961"/>
      <c r="AT292" s="961"/>
      <c r="AU292" s="1420"/>
      <c r="AV292" s="498"/>
      <c r="AW292" s="498"/>
      <c r="AX292" s="498"/>
      <c r="AY292" s="498"/>
      <c r="AZ292" s="1429">
        <v>11</v>
      </c>
    </row>
    <row r="293" spans="1:52" s="1429" customFormat="1" ht="11.45" customHeight="1">
      <c r="A293" s="839"/>
      <c r="B293" s="1424"/>
      <c r="C293" s="1424"/>
      <c r="D293" s="284"/>
      <c r="AE293" s="961"/>
      <c r="AF293" s="1424"/>
      <c r="AG293" s="1424"/>
      <c r="AH293" s="961"/>
      <c r="AI293" s="961"/>
      <c r="AJ293" s="961"/>
      <c r="AK293" s="961"/>
      <c r="AL293" s="1424"/>
      <c r="AM293" s="961"/>
      <c r="AN293" s="961"/>
      <c r="AO293" s="476"/>
      <c r="AP293" s="961"/>
      <c r="AQ293" s="961"/>
      <c r="AR293" s="961"/>
      <c r="AS293" s="961"/>
      <c r="AT293" s="961"/>
      <c r="AU293" s="1420"/>
      <c r="AV293" s="498"/>
      <c r="AW293" s="498"/>
      <c r="AX293" s="498"/>
      <c r="AY293" s="498"/>
      <c r="AZ293" s="1429">
        <v>11</v>
      </c>
    </row>
    <row r="294" spans="1:52" s="1429" customFormat="1" ht="11.45" customHeight="1">
      <c r="A294" s="839"/>
      <c r="B294" s="1424"/>
      <c r="C294" s="1424"/>
      <c r="D294" s="284"/>
      <c r="AE294" s="961"/>
      <c r="AF294" s="1424"/>
      <c r="AG294" s="1424"/>
      <c r="AH294" s="961"/>
      <c r="AI294" s="961"/>
      <c r="AJ294" s="961"/>
      <c r="AK294" s="961"/>
      <c r="AL294" s="1424"/>
      <c r="AM294" s="961"/>
      <c r="AN294" s="961"/>
      <c r="AO294" s="476"/>
      <c r="AP294" s="961"/>
      <c r="AQ294" s="961"/>
      <c r="AR294" s="961"/>
      <c r="AS294" s="961"/>
      <c r="AT294" s="961"/>
      <c r="AU294" s="1420"/>
      <c r="AV294" s="498"/>
      <c r="AW294" s="498"/>
      <c r="AX294" s="498"/>
      <c r="AY294" s="498"/>
      <c r="AZ294" s="1429">
        <v>11</v>
      </c>
    </row>
    <row r="295" spans="1:52" s="1429" customFormat="1" ht="11.45" customHeight="1">
      <c r="A295" s="839"/>
      <c r="B295" s="1424"/>
      <c r="C295" s="1424"/>
      <c r="D295" s="284"/>
      <c r="AE295" s="961"/>
      <c r="AF295" s="1424"/>
      <c r="AG295" s="1424"/>
      <c r="AH295" s="961"/>
      <c r="AI295" s="961"/>
      <c r="AJ295" s="961"/>
      <c r="AK295" s="961"/>
      <c r="AL295" s="1424"/>
      <c r="AM295" s="961"/>
      <c r="AN295" s="961"/>
      <c r="AO295" s="476"/>
      <c r="AP295" s="961"/>
      <c r="AQ295" s="961"/>
      <c r="AR295" s="961"/>
      <c r="AS295" s="961"/>
      <c r="AT295" s="961"/>
      <c r="AU295" s="1420"/>
      <c r="AV295" s="498"/>
      <c r="AW295" s="498"/>
      <c r="AX295" s="498"/>
      <c r="AY295" s="498"/>
      <c r="AZ295" s="1429">
        <v>11</v>
      </c>
    </row>
    <row r="296" spans="1:52" s="1429" customFormat="1" ht="11.45" customHeight="1">
      <c r="A296" s="839"/>
      <c r="B296" s="1424"/>
      <c r="C296" s="1424"/>
      <c r="D296" s="284"/>
      <c r="AE296" s="961"/>
      <c r="AF296" s="1424"/>
      <c r="AG296" s="1424"/>
      <c r="AH296" s="961"/>
      <c r="AI296" s="961"/>
      <c r="AJ296" s="961"/>
      <c r="AK296" s="961"/>
      <c r="AL296" s="1424"/>
      <c r="AM296" s="961"/>
      <c r="AN296" s="961"/>
      <c r="AO296" s="476"/>
      <c r="AP296" s="961"/>
      <c r="AQ296" s="961"/>
      <c r="AR296" s="961"/>
      <c r="AS296" s="961"/>
      <c r="AT296" s="961"/>
      <c r="AU296" s="1420"/>
      <c r="AV296" s="498"/>
      <c r="AW296" s="498"/>
      <c r="AX296" s="498"/>
      <c r="AY296" s="498"/>
      <c r="AZ296" s="1429">
        <v>11</v>
      </c>
    </row>
    <row r="297" spans="1:52" s="1429" customFormat="1" ht="11.45" customHeight="1">
      <c r="A297" s="839"/>
      <c r="B297" s="1424"/>
      <c r="C297" s="1424"/>
      <c r="D297" s="284"/>
      <c r="AE297" s="961"/>
      <c r="AF297" s="1424"/>
      <c r="AG297" s="1424"/>
      <c r="AH297" s="961"/>
      <c r="AI297" s="961"/>
      <c r="AJ297" s="961"/>
      <c r="AK297" s="961"/>
      <c r="AL297" s="1424"/>
      <c r="AM297" s="961"/>
      <c r="AN297" s="961"/>
      <c r="AO297" s="476"/>
      <c r="AP297" s="961"/>
      <c r="AQ297" s="961"/>
      <c r="AR297" s="961"/>
      <c r="AS297" s="961"/>
      <c r="AT297" s="961"/>
      <c r="AU297" s="1420"/>
      <c r="AV297" s="498"/>
      <c r="AW297" s="498"/>
      <c r="AX297" s="498"/>
      <c r="AY297" s="498"/>
      <c r="AZ297" s="1429">
        <v>11</v>
      </c>
    </row>
    <row r="298" spans="1:52" s="1429" customFormat="1" ht="11.45" customHeight="1">
      <c r="A298" s="839"/>
      <c r="B298" s="1424"/>
      <c r="C298" s="1424"/>
      <c r="D298" s="284"/>
      <c r="AE298" s="961"/>
      <c r="AF298" s="1424"/>
      <c r="AG298" s="1424"/>
      <c r="AH298" s="961"/>
      <c r="AI298" s="961"/>
      <c r="AJ298" s="961"/>
      <c r="AK298" s="961"/>
      <c r="AL298" s="1424"/>
      <c r="AM298" s="961"/>
      <c r="AN298" s="961"/>
      <c r="AO298" s="476"/>
      <c r="AP298" s="961"/>
      <c r="AQ298" s="961"/>
      <c r="AR298" s="961"/>
      <c r="AS298" s="961"/>
      <c r="AT298" s="961"/>
      <c r="AU298" s="1420"/>
      <c r="AV298" s="498"/>
      <c r="AW298" s="498"/>
      <c r="AX298" s="498"/>
      <c r="AY298" s="498"/>
      <c r="AZ298" s="1429">
        <v>11</v>
      </c>
    </row>
    <row r="299" spans="1:52" s="1429" customFormat="1" ht="11.45" customHeight="1">
      <c r="A299" s="839"/>
      <c r="B299" s="1424"/>
      <c r="C299" s="1424"/>
      <c r="D299" s="284"/>
      <c r="AE299" s="961"/>
      <c r="AF299" s="1424"/>
      <c r="AG299" s="1424"/>
      <c r="AH299" s="961"/>
      <c r="AI299" s="961"/>
      <c r="AJ299" s="961"/>
      <c r="AK299" s="961"/>
      <c r="AL299" s="1424"/>
      <c r="AM299" s="961"/>
      <c r="AN299" s="961"/>
      <c r="AO299" s="476"/>
      <c r="AP299" s="961"/>
      <c r="AQ299" s="961"/>
      <c r="AR299" s="961"/>
      <c r="AS299" s="961"/>
      <c r="AT299" s="961"/>
      <c r="AU299" s="1420"/>
      <c r="AV299" s="498"/>
      <c r="AW299" s="498"/>
      <c r="AX299" s="498"/>
      <c r="AY299" s="498"/>
      <c r="AZ299" s="1429">
        <v>11</v>
      </c>
    </row>
    <row r="300" spans="1:52" s="1429" customFormat="1" ht="11.45" customHeight="1">
      <c r="A300" s="839"/>
      <c r="B300" s="1424"/>
      <c r="C300" s="1424"/>
      <c r="D300" s="284"/>
      <c r="AE300" s="961"/>
      <c r="AF300" s="1424"/>
      <c r="AG300" s="1424"/>
      <c r="AH300" s="961"/>
      <c r="AI300" s="961"/>
      <c r="AJ300" s="961"/>
      <c r="AK300" s="961"/>
      <c r="AL300" s="1424"/>
      <c r="AM300" s="961"/>
      <c r="AN300" s="961"/>
      <c r="AO300" s="476"/>
      <c r="AP300" s="961"/>
      <c r="AQ300" s="961"/>
      <c r="AR300" s="961"/>
      <c r="AS300" s="961"/>
      <c r="AT300" s="961"/>
      <c r="AU300" s="1420"/>
      <c r="AV300" s="498"/>
      <c r="AW300" s="498"/>
      <c r="AX300" s="498"/>
      <c r="AY300" s="498"/>
      <c r="AZ300" s="1429">
        <v>11</v>
      </c>
    </row>
    <row r="301" spans="1:52" s="1429" customFormat="1" ht="11.45" customHeight="1">
      <c r="A301" s="839"/>
      <c r="B301" s="1424"/>
      <c r="C301" s="1424"/>
      <c r="D301" s="284"/>
      <c r="AE301" s="961"/>
      <c r="AF301" s="1424"/>
      <c r="AG301" s="1424"/>
      <c r="AH301" s="961"/>
      <c r="AI301" s="961"/>
      <c r="AJ301" s="961"/>
      <c r="AK301" s="961"/>
      <c r="AL301" s="1424"/>
      <c r="AM301" s="961"/>
      <c r="AN301" s="961"/>
      <c r="AO301" s="476"/>
      <c r="AP301" s="961"/>
      <c r="AQ301" s="961"/>
      <c r="AR301" s="961"/>
      <c r="AS301" s="961"/>
      <c r="AT301" s="961"/>
      <c r="AU301" s="1420"/>
      <c r="AV301" s="498"/>
      <c r="AW301" s="498"/>
      <c r="AX301" s="498"/>
      <c r="AY301" s="498"/>
      <c r="AZ301" s="1429">
        <v>11</v>
      </c>
    </row>
    <row r="302" spans="1:52" s="1429" customFormat="1" ht="11.45" customHeight="1">
      <c r="A302" s="839"/>
      <c r="B302" s="1424"/>
      <c r="C302" s="1424"/>
      <c r="D302" s="284"/>
      <c r="AE302" s="961"/>
      <c r="AF302" s="1424"/>
      <c r="AG302" s="1424"/>
      <c r="AH302" s="961"/>
      <c r="AI302" s="961"/>
      <c r="AJ302" s="961"/>
      <c r="AK302" s="961"/>
      <c r="AL302" s="1424"/>
      <c r="AM302" s="961"/>
      <c r="AN302" s="961"/>
      <c r="AO302" s="476"/>
      <c r="AP302" s="961"/>
      <c r="AQ302" s="961"/>
      <c r="AR302" s="961"/>
      <c r="AS302" s="961"/>
      <c r="AT302" s="961"/>
      <c r="AU302" s="1420"/>
      <c r="AV302" s="498"/>
      <c r="AW302" s="498"/>
      <c r="AX302" s="498"/>
      <c r="AY302" s="498"/>
      <c r="AZ302" s="1429">
        <v>11</v>
      </c>
    </row>
    <row r="303" spans="1:52" s="1429" customFormat="1" ht="11.45" customHeight="1">
      <c r="A303" s="839"/>
      <c r="B303" s="1424"/>
      <c r="C303" s="1424"/>
      <c r="D303" s="284"/>
      <c r="AE303" s="961"/>
      <c r="AF303" s="1424"/>
      <c r="AG303" s="1424"/>
      <c r="AH303" s="961"/>
      <c r="AI303" s="961"/>
      <c r="AJ303" s="961"/>
      <c r="AK303" s="961"/>
      <c r="AL303" s="1424"/>
      <c r="AM303" s="961"/>
      <c r="AN303" s="961"/>
      <c r="AO303" s="476"/>
      <c r="AP303" s="961"/>
      <c r="AQ303" s="961"/>
      <c r="AR303" s="961"/>
      <c r="AS303" s="961"/>
      <c r="AT303" s="961"/>
      <c r="AU303" s="1420"/>
      <c r="AV303" s="498"/>
      <c r="AW303" s="498"/>
      <c r="AX303" s="498"/>
      <c r="AY303" s="498"/>
      <c r="AZ303" s="1429">
        <v>11</v>
      </c>
    </row>
    <row r="304" spans="1:52" s="1429" customFormat="1" ht="11.45" customHeight="1">
      <c r="A304" s="839"/>
      <c r="B304" s="1424"/>
      <c r="C304" s="1424"/>
      <c r="D304" s="284"/>
      <c r="AE304" s="961"/>
      <c r="AF304" s="1424"/>
      <c r="AG304" s="1424"/>
      <c r="AH304" s="961"/>
      <c r="AI304" s="961"/>
      <c r="AJ304" s="961"/>
      <c r="AK304" s="961"/>
      <c r="AL304" s="1424"/>
      <c r="AM304" s="961"/>
      <c r="AN304" s="961"/>
      <c r="AO304" s="476"/>
      <c r="AP304" s="961"/>
      <c r="AQ304" s="961"/>
      <c r="AR304" s="961"/>
      <c r="AS304" s="961"/>
      <c r="AT304" s="961"/>
      <c r="AU304" s="1420"/>
      <c r="AV304" s="498"/>
      <c r="AW304" s="498"/>
      <c r="AX304" s="498"/>
      <c r="AY304" s="498"/>
      <c r="AZ304" s="1429">
        <v>11</v>
      </c>
    </row>
    <row r="305" spans="1:52" s="1429" customFormat="1" ht="11.45" customHeight="1">
      <c r="A305" s="839"/>
      <c r="B305" s="1424"/>
      <c r="C305" s="1424"/>
      <c r="D305" s="284"/>
      <c r="AE305" s="961"/>
      <c r="AF305" s="1424"/>
      <c r="AG305" s="1424"/>
      <c r="AH305" s="961"/>
      <c r="AI305" s="961"/>
      <c r="AJ305" s="961"/>
      <c r="AK305" s="961"/>
      <c r="AL305" s="1424"/>
      <c r="AM305" s="961"/>
      <c r="AN305" s="961"/>
      <c r="AO305" s="476"/>
      <c r="AP305" s="961"/>
      <c r="AQ305" s="961"/>
      <c r="AR305" s="961"/>
      <c r="AS305" s="961"/>
      <c r="AT305" s="961"/>
      <c r="AU305" s="1420"/>
      <c r="AV305" s="498"/>
      <c r="AW305" s="498"/>
      <c r="AX305" s="498"/>
      <c r="AY305" s="498"/>
      <c r="AZ305" s="1429">
        <v>11</v>
      </c>
    </row>
    <row r="306" spans="1:52" s="1429" customFormat="1" ht="11.45" customHeight="1">
      <c r="A306" s="839"/>
      <c r="B306" s="1424"/>
      <c r="C306" s="1424"/>
      <c r="D306" s="284"/>
      <c r="AE306" s="961"/>
      <c r="AF306" s="1424"/>
      <c r="AG306" s="1424"/>
      <c r="AH306" s="961"/>
      <c r="AI306" s="961"/>
      <c r="AJ306" s="961"/>
      <c r="AK306" s="961"/>
      <c r="AL306" s="1424"/>
      <c r="AM306" s="961"/>
      <c r="AN306" s="961"/>
      <c r="AO306" s="476"/>
      <c r="AP306" s="961"/>
      <c r="AQ306" s="961"/>
      <c r="AR306" s="961"/>
      <c r="AS306" s="961"/>
      <c r="AT306" s="961"/>
      <c r="AU306" s="1420"/>
      <c r="AV306" s="498"/>
      <c r="AW306" s="498"/>
      <c r="AX306" s="498"/>
      <c r="AY306" s="498"/>
      <c r="AZ306" s="1429">
        <v>11</v>
      </c>
    </row>
    <row r="307" spans="1:52" s="1429" customFormat="1" ht="11.45" customHeight="1">
      <c r="A307" s="839"/>
      <c r="B307" s="1424"/>
      <c r="C307" s="1424"/>
      <c r="D307" s="284"/>
      <c r="AE307" s="961"/>
      <c r="AF307" s="1424"/>
      <c r="AG307" s="1424"/>
      <c r="AH307" s="961"/>
      <c r="AI307" s="961"/>
      <c r="AJ307" s="961"/>
      <c r="AK307" s="961"/>
      <c r="AL307" s="1424"/>
      <c r="AM307" s="961"/>
      <c r="AN307" s="961"/>
      <c r="AO307" s="476"/>
      <c r="AP307" s="961"/>
      <c r="AQ307" s="961"/>
      <c r="AR307" s="961"/>
      <c r="AS307" s="961"/>
      <c r="AT307" s="961"/>
      <c r="AU307" s="1420"/>
      <c r="AV307" s="498"/>
      <c r="AW307" s="498"/>
      <c r="AX307" s="498"/>
      <c r="AY307" s="498"/>
      <c r="AZ307" s="1429">
        <v>11</v>
      </c>
    </row>
    <row r="308" spans="1:52" s="1429" customFormat="1" ht="11.45" customHeight="1">
      <c r="A308" s="839"/>
      <c r="B308" s="1424"/>
      <c r="C308" s="1424"/>
      <c r="D308" s="284"/>
      <c r="AE308" s="961"/>
      <c r="AF308" s="1424"/>
      <c r="AG308" s="1424"/>
      <c r="AH308" s="961"/>
      <c r="AI308" s="961"/>
      <c r="AJ308" s="961"/>
      <c r="AK308" s="961"/>
      <c r="AL308" s="1424"/>
      <c r="AM308" s="961"/>
      <c r="AN308" s="961"/>
      <c r="AO308" s="476"/>
      <c r="AP308" s="961"/>
      <c r="AQ308" s="961"/>
      <c r="AR308" s="961"/>
      <c r="AS308" s="961"/>
      <c r="AT308" s="961"/>
      <c r="AU308" s="1420"/>
      <c r="AV308" s="498"/>
      <c r="AW308" s="498"/>
      <c r="AX308" s="498"/>
      <c r="AY308" s="498"/>
      <c r="AZ308" s="1429">
        <v>11</v>
      </c>
    </row>
    <row r="309" spans="1:52" s="1429" customFormat="1" ht="11.45" customHeight="1">
      <c r="A309" s="839"/>
      <c r="B309" s="1424"/>
      <c r="C309" s="1424"/>
      <c r="D309" s="284"/>
      <c r="AE309" s="961"/>
      <c r="AF309" s="1424"/>
      <c r="AG309" s="1424"/>
      <c r="AH309" s="961"/>
      <c r="AI309" s="961"/>
      <c r="AJ309" s="961"/>
      <c r="AK309" s="961"/>
      <c r="AL309" s="1424"/>
      <c r="AM309" s="961"/>
      <c r="AN309" s="961"/>
      <c r="AO309" s="476"/>
      <c r="AP309" s="961"/>
      <c r="AQ309" s="961"/>
      <c r="AR309" s="961"/>
      <c r="AS309" s="961"/>
      <c r="AT309" s="961"/>
      <c r="AU309" s="1420"/>
      <c r="AV309" s="498"/>
      <c r="AW309" s="498"/>
      <c r="AX309" s="498"/>
      <c r="AY309" s="498"/>
      <c r="AZ309" s="1429">
        <v>11</v>
      </c>
    </row>
    <row r="310" spans="1:52" s="1429" customFormat="1" ht="11.45" customHeight="1">
      <c r="A310" s="839"/>
      <c r="B310" s="1424"/>
      <c r="C310" s="1424"/>
      <c r="D310" s="284"/>
      <c r="AE310" s="961"/>
      <c r="AF310" s="1424"/>
      <c r="AG310" s="1424"/>
      <c r="AH310" s="961"/>
      <c r="AI310" s="961"/>
      <c r="AJ310" s="961"/>
      <c r="AK310" s="961"/>
      <c r="AL310" s="1424"/>
      <c r="AM310" s="961"/>
      <c r="AN310" s="961"/>
      <c r="AO310" s="476"/>
      <c r="AP310" s="961"/>
      <c r="AQ310" s="961"/>
      <c r="AR310" s="961"/>
      <c r="AS310" s="961"/>
      <c r="AT310" s="961"/>
      <c r="AU310" s="1420"/>
      <c r="AV310" s="498"/>
      <c r="AW310" s="498"/>
      <c r="AX310" s="498"/>
      <c r="AY310" s="498"/>
      <c r="AZ310" s="1429">
        <v>11</v>
      </c>
    </row>
    <row r="311" spans="1:52" s="1429" customFormat="1" ht="11.45" customHeight="1">
      <c r="A311" s="839"/>
      <c r="B311" s="1424"/>
      <c r="C311" s="1424"/>
      <c r="D311" s="284"/>
      <c r="AE311" s="961"/>
      <c r="AF311" s="1424"/>
      <c r="AG311" s="1424"/>
      <c r="AH311" s="961"/>
      <c r="AI311" s="961"/>
      <c r="AJ311" s="961"/>
      <c r="AK311" s="961"/>
      <c r="AL311" s="1424"/>
      <c r="AM311" s="961"/>
      <c r="AN311" s="961"/>
      <c r="AO311" s="476"/>
      <c r="AP311" s="961"/>
      <c r="AQ311" s="961"/>
      <c r="AR311" s="961"/>
      <c r="AS311" s="961"/>
      <c r="AT311" s="961"/>
      <c r="AU311" s="1420"/>
      <c r="AV311" s="498"/>
      <c r="AW311" s="498"/>
      <c r="AX311" s="498"/>
      <c r="AY311" s="498"/>
      <c r="AZ311" s="1429">
        <v>11</v>
      </c>
    </row>
    <row r="312" spans="1:52" ht="11.45" customHeight="1">
      <c r="AZ312" s="1419">
        <v>11</v>
      </c>
    </row>
    <row r="313" spans="1:52" ht="11.45" customHeight="1">
      <c r="AZ313" s="1419">
        <v>11</v>
      </c>
    </row>
    <row r="314" spans="1:52" ht="11.45" customHeight="1">
      <c r="AZ314" s="1419">
        <v>11</v>
      </c>
    </row>
    <row r="315" spans="1:52" ht="11.45" customHeight="1">
      <c r="A315" s="842"/>
      <c r="B315" s="1419"/>
      <c r="D315" s="1419"/>
      <c r="AE315" s="1419"/>
      <c r="AH315" s="1419"/>
      <c r="AI315" s="1419"/>
      <c r="AJ315" s="1419"/>
      <c r="AK315" s="1419"/>
      <c r="AM315" s="1419"/>
      <c r="AN315" s="1419"/>
      <c r="AO315" s="1419"/>
      <c r="AP315" s="1419"/>
      <c r="AQ315" s="1419"/>
      <c r="AR315" s="1419"/>
      <c r="AS315" s="1419"/>
      <c r="AT315" s="1419"/>
      <c r="AU315" s="1419"/>
      <c r="AV315" s="1419"/>
      <c r="AW315" s="1419"/>
      <c r="AX315" s="1419"/>
      <c r="AY315" s="1419"/>
      <c r="AZ315" s="1419">
        <v>11</v>
      </c>
    </row>
    <row r="316" spans="1:52" ht="11.45" customHeight="1">
      <c r="A316" s="842"/>
      <c r="B316" s="1419"/>
      <c r="D316" s="1419"/>
      <c r="AE316" s="1419"/>
      <c r="AH316" s="1419"/>
      <c r="AI316" s="1419"/>
      <c r="AJ316" s="1419"/>
      <c r="AK316" s="1419"/>
      <c r="AM316" s="1419"/>
      <c r="AN316" s="1419"/>
      <c r="AO316" s="1419"/>
      <c r="AP316" s="1419"/>
      <c r="AQ316" s="1419"/>
      <c r="AR316" s="1419"/>
      <c r="AS316" s="1419"/>
      <c r="AT316" s="1419"/>
      <c r="AU316" s="1419"/>
      <c r="AV316" s="1419"/>
      <c r="AW316" s="1419"/>
      <c r="AX316" s="1419"/>
      <c r="AY316" s="1419"/>
      <c r="AZ316" s="1419">
        <v>11</v>
      </c>
    </row>
    <row r="317" spans="1:52" ht="11.45" customHeight="1">
      <c r="A317" s="842"/>
      <c r="B317" s="1419"/>
      <c r="D317" s="1419"/>
      <c r="AE317" s="1419"/>
      <c r="AH317" s="1419"/>
      <c r="AI317" s="1419"/>
      <c r="AJ317" s="1419"/>
      <c r="AK317" s="1419"/>
      <c r="AM317" s="1419"/>
      <c r="AN317" s="1419"/>
      <c r="AO317" s="1419"/>
      <c r="AP317" s="1419"/>
      <c r="AQ317" s="1419"/>
      <c r="AR317" s="1419"/>
      <c r="AS317" s="1419"/>
      <c r="AT317" s="1419"/>
      <c r="AU317" s="1419"/>
      <c r="AV317" s="1419"/>
      <c r="AW317" s="1419"/>
      <c r="AX317" s="1419"/>
      <c r="AY317" s="1419"/>
      <c r="AZ317" s="1419">
        <v>11</v>
      </c>
    </row>
    <row r="318" spans="1:52" ht="11.45" customHeight="1">
      <c r="A318" s="842"/>
      <c r="B318" s="1419"/>
      <c r="D318" s="1419"/>
      <c r="AE318" s="1419"/>
      <c r="AH318" s="1419"/>
      <c r="AI318" s="1419"/>
      <c r="AJ318" s="1419"/>
      <c r="AK318" s="1419"/>
      <c r="AM318" s="1419"/>
      <c r="AN318" s="1419"/>
      <c r="AO318" s="1419"/>
      <c r="AP318" s="1419"/>
      <c r="AQ318" s="1419"/>
      <c r="AR318" s="1419"/>
      <c r="AS318" s="1419"/>
      <c r="AT318" s="1419"/>
      <c r="AU318" s="1419"/>
      <c r="AV318" s="1419"/>
      <c r="AW318" s="1419"/>
      <c r="AX318" s="1419"/>
      <c r="AY318" s="1419"/>
      <c r="AZ318" s="1419">
        <v>11</v>
      </c>
    </row>
    <row r="319" spans="1:52" ht="11.45" customHeight="1">
      <c r="A319" s="842"/>
      <c r="B319" s="1419"/>
      <c r="D319" s="1419"/>
      <c r="AE319" s="1419"/>
      <c r="AH319" s="1419"/>
      <c r="AI319" s="1419"/>
      <c r="AJ319" s="1419"/>
      <c r="AK319" s="1419"/>
      <c r="AM319" s="1419"/>
      <c r="AN319" s="1419"/>
      <c r="AO319" s="1419"/>
      <c r="AP319" s="1419"/>
      <c r="AQ319" s="1419"/>
      <c r="AR319" s="1419"/>
      <c r="AS319" s="1419"/>
      <c r="AT319" s="1419"/>
      <c r="AU319" s="1419"/>
      <c r="AV319" s="1419"/>
      <c r="AW319" s="1419"/>
      <c r="AX319" s="1419"/>
      <c r="AY319" s="1419"/>
      <c r="AZ319" s="1419">
        <v>11</v>
      </c>
    </row>
    <row r="320" spans="1:52" ht="11.45" customHeight="1">
      <c r="A320" s="842"/>
      <c r="B320" s="1419"/>
      <c r="D320" s="1419"/>
      <c r="AE320" s="1419"/>
      <c r="AH320" s="1419"/>
      <c r="AI320" s="1419"/>
      <c r="AJ320" s="1419"/>
      <c r="AK320" s="1419"/>
      <c r="AM320" s="1419"/>
      <c r="AN320" s="1419"/>
      <c r="AO320" s="1419"/>
      <c r="AP320" s="1419"/>
      <c r="AQ320" s="1419"/>
      <c r="AR320" s="1419"/>
      <c r="AS320" s="1419"/>
      <c r="AT320" s="1419"/>
      <c r="AU320" s="1419"/>
      <c r="AV320" s="1419"/>
      <c r="AW320" s="1419"/>
      <c r="AX320" s="1419"/>
      <c r="AY320" s="1419"/>
      <c r="AZ320" s="1419">
        <v>11</v>
      </c>
    </row>
    <row r="321" spans="1:52" ht="11.45" customHeight="1">
      <c r="A321" s="842"/>
      <c r="B321" s="1419"/>
      <c r="D321" s="1419"/>
      <c r="AE321" s="1419"/>
      <c r="AH321" s="1419"/>
      <c r="AI321" s="1419"/>
      <c r="AJ321" s="1419"/>
      <c r="AK321" s="1419"/>
      <c r="AM321" s="1419"/>
      <c r="AN321" s="1419"/>
      <c r="AO321" s="1419"/>
      <c r="AP321" s="1419"/>
      <c r="AQ321" s="1419"/>
      <c r="AR321" s="1419"/>
      <c r="AS321" s="1419"/>
      <c r="AT321" s="1419"/>
      <c r="AU321" s="1419"/>
      <c r="AV321" s="1419"/>
      <c r="AW321" s="1419"/>
      <c r="AX321" s="1419"/>
      <c r="AY321" s="1419"/>
      <c r="AZ321" s="1419">
        <v>11</v>
      </c>
    </row>
    <row r="322" spans="1:52" ht="11.45" customHeight="1">
      <c r="A322" s="842"/>
      <c r="B322" s="1419"/>
      <c r="D322" s="1419"/>
      <c r="AE322" s="1419"/>
      <c r="AH322" s="1419"/>
      <c r="AI322" s="1419"/>
      <c r="AJ322" s="1419"/>
      <c r="AK322" s="1419"/>
      <c r="AM322" s="1419"/>
      <c r="AN322" s="1419"/>
      <c r="AO322" s="1419"/>
      <c r="AP322" s="1419"/>
      <c r="AQ322" s="1419"/>
      <c r="AR322" s="1419"/>
      <c r="AS322" s="1419"/>
      <c r="AT322" s="1419"/>
      <c r="AU322" s="1419"/>
      <c r="AV322" s="1419"/>
      <c r="AW322" s="1419"/>
      <c r="AX322" s="1419"/>
      <c r="AY322" s="1419"/>
      <c r="AZ322" s="1419">
        <v>11</v>
      </c>
    </row>
    <row r="323" spans="1:52" ht="11.45" customHeight="1">
      <c r="A323" s="842"/>
      <c r="B323" s="1419"/>
      <c r="D323" s="1419"/>
      <c r="AE323" s="1419"/>
      <c r="AH323" s="1419"/>
      <c r="AI323" s="1419"/>
      <c r="AJ323" s="1419"/>
      <c r="AK323" s="1419"/>
      <c r="AM323" s="1419"/>
      <c r="AN323" s="1419"/>
      <c r="AO323" s="1419"/>
      <c r="AP323" s="1419"/>
      <c r="AQ323" s="1419"/>
      <c r="AR323" s="1419"/>
      <c r="AS323" s="1419"/>
      <c r="AT323" s="1419"/>
      <c r="AU323" s="1419"/>
      <c r="AV323" s="1419"/>
      <c r="AW323" s="1419"/>
      <c r="AX323" s="1419"/>
      <c r="AY323" s="1419"/>
      <c r="AZ323" s="1419">
        <v>11</v>
      </c>
    </row>
    <row r="324" spans="1:52" ht="11.45" customHeight="1">
      <c r="A324" s="842"/>
      <c r="B324" s="1419"/>
      <c r="D324" s="1419"/>
      <c r="AE324" s="1419"/>
      <c r="AH324" s="1419"/>
      <c r="AI324" s="1419"/>
      <c r="AJ324" s="1419"/>
      <c r="AK324" s="1419"/>
      <c r="AM324" s="1419"/>
      <c r="AN324" s="1419"/>
      <c r="AO324" s="1419"/>
      <c r="AP324" s="1419"/>
      <c r="AQ324" s="1419"/>
      <c r="AR324" s="1419"/>
      <c r="AS324" s="1419"/>
      <c r="AT324" s="1419"/>
      <c r="AU324" s="1419"/>
      <c r="AV324" s="1419"/>
      <c r="AW324" s="1419"/>
      <c r="AX324" s="1419"/>
      <c r="AY324" s="1419"/>
      <c r="AZ324" s="1419">
        <v>11</v>
      </c>
    </row>
    <row r="325" spans="1:52" ht="11.45" customHeight="1">
      <c r="A325" s="842"/>
      <c r="B325" s="1419"/>
      <c r="D325" s="1419"/>
      <c r="AE325" s="1419"/>
      <c r="AH325" s="1419"/>
      <c r="AI325" s="1419"/>
      <c r="AJ325" s="1419"/>
      <c r="AK325" s="1419"/>
      <c r="AM325" s="1419"/>
      <c r="AN325" s="1419"/>
      <c r="AO325" s="1419"/>
      <c r="AP325" s="1419"/>
      <c r="AQ325" s="1419"/>
      <c r="AR325" s="1419"/>
      <c r="AS325" s="1419"/>
      <c r="AT325" s="1419"/>
      <c r="AU325" s="1419"/>
      <c r="AV325" s="1419"/>
      <c r="AW325" s="1419"/>
      <c r="AX325" s="1419"/>
      <c r="AY325" s="1419"/>
      <c r="AZ325" s="1419">
        <v>11</v>
      </c>
    </row>
    <row r="326" spans="1:52" ht="11.25" hidden="1" customHeight="1">
      <c r="A326" s="839" t="s">
        <v>69</v>
      </c>
      <c r="B326" s="961">
        <v>0</v>
      </c>
      <c r="C326" s="1424">
        <v>0</v>
      </c>
      <c r="D326" s="1423">
        <v>3</v>
      </c>
      <c r="E326" s="1419">
        <v>7</v>
      </c>
      <c r="F326" s="1419">
        <v>54</v>
      </c>
      <c r="G326" s="1419">
        <v>10</v>
      </c>
      <c r="H326" s="1419">
        <v>0</v>
      </c>
      <c r="I326" s="1419">
        <v>40</v>
      </c>
      <c r="J326" s="1423">
        <v>0</v>
      </c>
      <c r="K326" s="1423">
        <v>0</v>
      </c>
      <c r="L326" s="1423">
        <v>0</v>
      </c>
      <c r="M326" s="1423">
        <v>0</v>
      </c>
      <c r="N326" s="1423">
        <v>0</v>
      </c>
      <c r="O326" s="1423">
        <v>0</v>
      </c>
      <c r="P326" s="1423">
        <v>0</v>
      </c>
      <c r="Q326" s="1423">
        <v>0</v>
      </c>
      <c r="R326" s="1423">
        <v>0</v>
      </c>
      <c r="S326" s="1423">
        <v>0</v>
      </c>
      <c r="T326" s="1423">
        <v>0</v>
      </c>
      <c r="U326" s="1423">
        <v>0</v>
      </c>
      <c r="V326" s="1423">
        <v>0</v>
      </c>
      <c r="W326" s="1423">
        <v>0</v>
      </c>
      <c r="X326" s="1423">
        <v>0</v>
      </c>
      <c r="Y326" s="1423">
        <v>0</v>
      </c>
      <c r="Z326" s="1423">
        <v>0</v>
      </c>
      <c r="AA326" s="1423">
        <v>0</v>
      </c>
      <c r="AB326" s="1423">
        <v>0</v>
      </c>
      <c r="AC326" s="1423">
        <v>0</v>
      </c>
      <c r="AD326" s="1419">
        <v>102</v>
      </c>
      <c r="AE326" s="961">
        <v>9</v>
      </c>
      <c r="AF326" s="1424">
        <v>5</v>
      </c>
      <c r="AG326" s="1424">
        <v>3</v>
      </c>
      <c r="AH326" s="961">
        <v>3</v>
      </c>
      <c r="AI326" s="961">
        <v>3</v>
      </c>
      <c r="AJ326" s="961">
        <v>3</v>
      </c>
      <c r="AK326" s="961">
        <v>3</v>
      </c>
      <c r="AL326" s="1424">
        <v>10</v>
      </c>
      <c r="AM326" s="961">
        <v>34</v>
      </c>
      <c r="AN326" s="961">
        <v>9</v>
      </c>
      <c r="AO326" s="476">
        <v>8</v>
      </c>
      <c r="AP326" s="961">
        <v>8</v>
      </c>
      <c r="AQ326" s="961">
        <v>8</v>
      </c>
      <c r="AR326" s="961">
        <v>8</v>
      </c>
      <c r="AS326" s="961">
        <v>8</v>
      </c>
      <c r="AT326" s="961">
        <v>8</v>
      </c>
      <c r="AU326" s="1420">
        <v>8</v>
      </c>
      <c r="AV326" s="1420">
        <v>8</v>
      </c>
      <c r="AW326" s="1420">
        <v>8</v>
      </c>
      <c r="AX326" s="1420">
        <v>8</v>
      </c>
      <c r="AY326" s="1420">
        <v>8</v>
      </c>
      <c r="AZ326" s="1419">
        <v>11</v>
      </c>
    </row>
  </sheetData>
  <sheetProtection formatColumns="0" formatRows="0" insertRows="0" deleteColumns="0" deleteRows="0" sort="0" autoFilter="0"/>
  <mergeCells count="21">
    <mergeCell ref="B2:B7"/>
    <mergeCell ref="AD25:AD29"/>
    <mergeCell ref="F25:G25"/>
    <mergeCell ref="F26:G26"/>
    <mergeCell ref="F27:G27"/>
    <mergeCell ref="E28:G28"/>
    <mergeCell ref="A143:A153"/>
    <mergeCell ref="E21:I21"/>
    <mergeCell ref="E22:I22"/>
    <mergeCell ref="A33:A58"/>
    <mergeCell ref="B34:B39"/>
    <mergeCell ref="A59:A61"/>
    <mergeCell ref="A85:A86"/>
    <mergeCell ref="A105:A113"/>
    <mergeCell ref="A114:A118"/>
    <mergeCell ref="A119:A121"/>
    <mergeCell ref="A122:A134"/>
    <mergeCell ref="A138:A142"/>
    <mergeCell ref="B40:B45"/>
    <mergeCell ref="B46:B51"/>
    <mergeCell ref="B52:B57"/>
  </mergeCells>
  <dataValidations count="12">
    <dataValidation allowBlank="1" showInputMessage="1" showErrorMessage="1" prompt="Для выбора выполните двойной щелчок левой клавиши мыши по соответствующей ячейке." sqref="H86:AC86 H84:AC84"/>
    <dataValidation type="decimal" allowBlank="1" showErrorMessage="1" errorTitle="Ошибка" error="Введите значение от 0 до 100%" sqref="H113:AC113 H118:AC118">
      <formula1>0</formula1>
      <formula2>100</formula2>
    </dataValidation>
    <dataValidation type="decimal" allowBlank="1" showErrorMessage="1" errorTitle="Ошибка" error="Допускается ввод только действительных чисел!" sqref="H146:AC146 H143:AC143 H149:AC149 H98:AC103 H127:AC127">
      <formula1>-9.99999999999999E+37</formula1>
      <formula2>9.99999999999999E+37</formula2>
    </dataValidation>
    <dataValidation type="decimal" allowBlank="1" showErrorMessage="1" errorTitle="Ошибка" error="Допускается ввод только действительных чисел!" sqref="H95:AC96">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51:AC153 H104:AC104">
      <formula1>900</formula1>
    </dataValidation>
    <dataValidation type="list" allowBlank="1" showInputMessage="1" showErrorMessage="1" errorTitle="Ошибка" error="Выберите значение из списка" prompt="Выберите значение из списка" sqref="G116">
      <formula1>kind_of_volume_te_unit</formula1>
    </dataValidation>
    <dataValidation type="list" allowBlank="1" showInputMessage="1" showErrorMessage="1" errorTitle="Ошибка" error="Выберите значение из списка" prompt="Выберите значение из списка" sqref="F2 F40 F46 F5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85:AC85 H87:AC87 H114:AC117 H150:AC150 H30:AC30 H32:AC33 H35:AC38 H58:AC83 H105:AC109 H17:AC17 H9:AC13 H15:AC15 H4:AC6 H97:AC97 H111:AC112 H119:AC126 H128:AC142 H42 I42 J42 K42 L42 M42 N42 O42 P42 Q42 R42 S42 T42 U42 V42 W42 X42 Y42 Z42 AA42 AB42:AC42 H43 I43 J43 K43 L43 M43 N43 O43 P43 Q43 R43 S43 T43 U43 V43 W43 X43 Y43 Z43 AA43 AB43:AC43 H44 I44 J44 K44 L44 M44 N44 O44 P44 Q44 R44 S44 T44 U44 V44 W44 X44 Y44 Z44 AA44 AB44:AC44 H89:H93 I89:I93 J89:J93 K89:K93 L89:L93 M89:M93 N89:N93 O89:O93 P89:P93 Q89:Q93 R89:R93 S89:S93 T89:T93 U89:U93 V89:V93 W89:W93 X89:X93 Y89:Y93 Z89:Z93 AA89:AA93 AB89:AC93 H48 I48 J48 K48 L48 M48 N48 O48 P48 Q48 R48 S48 T48 U48 V48 W48 X48 Y48 Z48 AA48 AB48:AC48 H49 I49 J49 K49 L49 M49 N49 O49 P49 Q49 R49 S49 T49 U49 V49 W49 X49 Y49 Z49 AA49 AB49:AC49 H50 I50 J50 K50 L50 M50 N50 O50 P50 Q50 R50 S50 T50 U50 V50 W50 X50 Y50 Z50 AA50 AB50:AC50 H54 I54 J54 K54 L54 M54 N54 O54 P54 Q54 R54 S54 T54 U54 V54 W54 X54 Y54 Z54 AA54 AB54:AC54 H55 I55 J55 K55 L55 M55 N55 O55 P55 Q55 R55 S55 T55 U55 V55 W55 X55 Y55 Z55 AA55 AB55:AC55 H56 I56 J56 K56 L56 M56 N56 O56 P56 Q56 R56 S56 T56 U56 V56 W56 X56 Y56 Z56 AA56 AB56:AC5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AC34 AB39:AC39 AA39 Z39 Y39 X39 W39 V39 U39 T39 S39 R39 Q39 P39 O39 N39 M39 L39 K39 J39 I39 H39 G42 G48 G54">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AB88:AC88 AA88 Z88 Y88 X88 W88 V88 U88 T88 S88 R88 Q88 P88 O88 N88 M88 L88 K88 J88 I88 H88">
      <formula1>900</formula1>
    </dataValidation>
    <dataValidation type="list" allowBlank="1" showInputMessage="1" showErrorMessage="1" errorTitle="Ошибка" error="Выберите значение из списка" prompt="Выберите значение из списка" sqref="H7:AC7 H45 H51 H57 I45 I51 I57 J45 J51 J57 K45 K51 K57 L45 L51 L57 M45 M51 M57 N45 N51 N57 O45 O51 O57 P45 P51 P57 Q45 Q51 Q57 R45 R51 R57 S45 S51 S57 T45 T51 T57 U45 U51 U57 V45 V51 V57 W45 W51 W57 X45 X51 X57 Y45 Y51 Y57 Z45 Z51 Z57 AA45 AA51 AA57 AB45:AC45 AB51:AC51 AB57:AC57">
      <formula1>kind_of_purchase_method</formula1>
    </dataValidation>
  </dataValidations>
  <hyperlinks>
    <hyperlink ref="I104" r:id="rId1"/>
    <hyperlink ref="J104" r:id="rId2"/>
    <hyperlink ref="K104" r:id="rId3"/>
    <hyperlink ref="L104" r:id="rId4"/>
    <hyperlink ref="M104" r:id="rId5"/>
    <hyperlink ref="N104" r:id="rId6"/>
    <hyperlink ref="O104" r:id="rId7"/>
    <hyperlink ref="P104" r:id="rId8"/>
    <hyperlink ref="Q104" r:id="rId9"/>
    <hyperlink ref="R104" r:id="rId10"/>
    <hyperlink ref="S104" r:id="rId11"/>
    <hyperlink ref="T104" r:id="rId12"/>
    <hyperlink ref="U104" r:id="rId13"/>
    <hyperlink ref="V104" r:id="rId14"/>
    <hyperlink ref="W104" r:id="rId15"/>
    <hyperlink ref="X104" r:id="rId16"/>
    <hyperlink ref="Y104" r:id="rId17"/>
    <hyperlink ref="Z104" r:id="rId18"/>
    <hyperlink ref="AA104" r:id="rId19"/>
    <hyperlink ref="AB104" r:id="rId20"/>
    <hyperlink ref="AC104" r:id="rId21"/>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09"/>
  <sheetViews>
    <sheetView showGridLines="0" topLeftCell="C4" zoomScale="90" workbookViewId="0">
      <selection activeCell="A194" sqref="A194:CF202"/>
    </sheetView>
  </sheetViews>
  <sheetFormatPr defaultColWidth="9.140625" defaultRowHeight="11.25" customHeight="1"/>
  <cols>
    <col min="1" max="1" width="14.7109375" style="805" hidden="1" customWidth="1"/>
    <col min="2" max="2" width="17" style="1420" hidden="1" customWidth="1"/>
    <col min="3" max="3" width="3" style="1423" customWidth="1"/>
    <col min="4" max="4" width="1.85546875" style="1423" hidden="1" customWidth="1"/>
    <col min="5" max="6" width="7" style="1423" customWidth="1"/>
    <col min="7" max="7" width="29" style="1423" customWidth="1"/>
    <col min="8" max="8" width="3.7109375" style="1423" customWidth="1"/>
    <col min="9" max="9" width="5" style="1423" customWidth="1"/>
    <col min="10" max="11" width="24" style="1423" customWidth="1"/>
    <col min="12" max="12" width="3" style="1423" customWidth="1"/>
    <col min="13" max="13" width="6" style="1423" customWidth="1"/>
    <col min="14" max="14" width="25" style="1423" customWidth="1"/>
    <col min="15" max="18" width="18" style="1423" customWidth="1"/>
    <col min="19" max="19" width="93" style="1423" customWidth="1"/>
    <col min="20" max="20" width="10" style="1423" customWidth="1"/>
    <col min="21" max="21" width="10" style="1430" customWidth="1"/>
    <col min="22" max="22" width="11" style="1430" customWidth="1"/>
    <col min="23" max="27" width="10" style="1420" customWidth="1"/>
    <col min="28" max="83" width="8" style="1423" customWidth="1"/>
    <col min="84" max="84" width="9.140625" style="1423" hidden="1"/>
  </cols>
  <sheetData>
    <row r="1" spans="1:84" ht="22.5" hidden="1" customHeight="1">
      <c r="CF1" s="438" t="s">
        <v>1</v>
      </c>
    </row>
    <row r="2" spans="1:84" ht="11.25" hidden="1" customHeight="1">
      <c r="CF2" s="438">
        <v>0</v>
      </c>
    </row>
    <row r="3" spans="1:84" ht="11.25" hidden="1" customHeight="1">
      <c r="CF3" s="438">
        <v>0</v>
      </c>
    </row>
    <row r="4" spans="1:84" ht="3" customHeight="1">
      <c r="C4" s="442"/>
      <c r="D4" s="442"/>
      <c r="E4" s="442"/>
      <c r="F4" s="442"/>
      <c r="G4" s="442"/>
      <c r="H4" s="442"/>
      <c r="I4" s="442"/>
      <c r="J4" s="442"/>
      <c r="K4" s="100"/>
      <c r="L4" s="100"/>
      <c r="M4" s="100"/>
      <c r="CF4" s="438">
        <v>3</v>
      </c>
    </row>
    <row r="5" spans="1:84" ht="29.25" customHeight="1">
      <c r="C5" s="442"/>
      <c r="D5" s="892"/>
      <c r="E5" s="2376" t="str">
        <f>FHD20_NAME_FORM</f>
        <v>Форма 11. Информация о расходах на капитальный и текущий ремонт основных средств</v>
      </c>
      <c r="F5" s="2376"/>
      <c r="G5" s="2376"/>
      <c r="H5" s="2376"/>
      <c r="I5" s="2376"/>
      <c r="J5" s="2376"/>
      <c r="K5" s="2376"/>
      <c r="L5" s="544"/>
      <c r="M5" s="544"/>
      <c r="CF5" s="438">
        <v>28</v>
      </c>
    </row>
    <row r="6" spans="1:84" s="1423" customFormat="1" ht="16.899999999999999" customHeight="1">
      <c r="A6" s="541"/>
      <c r="B6" s="664"/>
      <c r="C6" s="442"/>
      <c r="D6" s="893"/>
      <c r="E6" s="2349" t="str">
        <f>IF(org=0,"Не определено",org)</f>
        <v>ООО "Смоленскрегионтеплоэнерго"</v>
      </c>
      <c r="F6" s="2349"/>
      <c r="G6" s="2349"/>
      <c r="H6" s="2349"/>
      <c r="I6" s="2349"/>
      <c r="J6" s="2349"/>
      <c r="K6" s="2349"/>
      <c r="L6" s="544"/>
      <c r="M6" s="544"/>
      <c r="U6" s="542"/>
      <c r="V6" s="542"/>
      <c r="W6" s="543"/>
      <c r="X6" s="664"/>
      <c r="Y6" s="664"/>
      <c r="Z6" s="664"/>
      <c r="AA6" s="664"/>
      <c r="CF6" s="663">
        <v>16</v>
      </c>
    </row>
    <row r="7" spans="1:84" ht="11.45" customHeight="1">
      <c r="C7" s="442"/>
      <c r="D7" s="442"/>
      <c r="E7" s="442"/>
      <c r="F7" s="442"/>
      <c r="G7" s="455"/>
      <c r="H7" s="455"/>
      <c r="I7" s="455"/>
      <c r="J7" s="455"/>
      <c r="K7" s="545"/>
      <c r="L7" s="545"/>
      <c r="M7" s="545"/>
      <c r="R7" s="659"/>
      <c r="CF7" s="438">
        <v>11</v>
      </c>
    </row>
    <row r="8" spans="1:84" s="1429" customFormat="1" ht="4.1500000000000004" customHeight="1">
      <c r="A8" s="552"/>
      <c r="B8" s="498"/>
      <c r="C8" s="284"/>
      <c r="D8" s="284"/>
      <c r="E8" s="284"/>
      <c r="F8" s="284"/>
      <c r="G8" s="827"/>
      <c r="H8" s="827"/>
      <c r="I8" s="827"/>
      <c r="J8" s="827"/>
      <c r="K8" s="870"/>
      <c r="L8" s="870"/>
      <c r="M8" s="870"/>
      <c r="R8" s="871"/>
      <c r="U8" s="542"/>
      <c r="V8" s="542"/>
      <c r="W8" s="553"/>
      <c r="X8" s="498"/>
      <c r="Y8" s="498"/>
      <c r="Z8" s="498"/>
      <c r="AA8" s="498"/>
      <c r="CF8" s="429">
        <v>4</v>
      </c>
    </row>
    <row r="9" spans="1:84" ht="19.899999999999999" customHeight="1">
      <c r="D9" s="223"/>
      <c r="E9" s="2247" t="s">
        <v>384</v>
      </c>
      <c r="F9" s="2252"/>
      <c r="G9" s="2252"/>
      <c r="H9" s="2252"/>
      <c r="I9" s="2252"/>
      <c r="J9" s="2252"/>
      <c r="K9" s="2252"/>
      <c r="L9" s="2252"/>
      <c r="M9" s="2252"/>
      <c r="N9" s="2252"/>
      <c r="O9" s="2252"/>
      <c r="P9" s="2252"/>
      <c r="Q9" s="2252"/>
      <c r="R9" s="2246"/>
      <c r="S9" s="2266" t="s">
        <v>385</v>
      </c>
      <c r="T9" s="268"/>
      <c r="CF9" s="438">
        <v>19</v>
      </c>
    </row>
    <row r="10" spans="1:84" ht="48.2" customHeight="1">
      <c r="D10" s="483" t="s">
        <v>75</v>
      </c>
      <c r="E10" s="2266" t="s">
        <v>75</v>
      </c>
      <c r="F10" s="2266"/>
      <c r="G10" s="454" t="s">
        <v>386</v>
      </c>
      <c r="H10" s="2266" t="s">
        <v>75</v>
      </c>
      <c r="I10" s="2266"/>
      <c r="J10" s="454" t="s">
        <v>697</v>
      </c>
      <c r="K10" s="454" t="s">
        <v>698</v>
      </c>
      <c r="L10" s="2266" t="s">
        <v>75</v>
      </c>
      <c r="M10" s="2266"/>
      <c r="N10" s="454" t="s">
        <v>699</v>
      </c>
      <c r="O10" s="454" t="s">
        <v>700</v>
      </c>
      <c r="P10" s="454" t="s">
        <v>701</v>
      </c>
      <c r="Q10" s="454" t="s">
        <v>702</v>
      </c>
      <c r="R10" s="454" t="s">
        <v>703</v>
      </c>
      <c r="S10" s="2266"/>
      <c r="T10" s="268"/>
      <c r="CF10" s="438">
        <v>46</v>
      </c>
    </row>
    <row r="11" spans="1:84" s="1430" customFormat="1" ht="15" customHeight="1">
      <c r="A11" s="888"/>
      <c r="D11" s="873" t="s">
        <v>161</v>
      </c>
      <c r="E11" s="873"/>
      <c r="F11" s="873" t="s">
        <v>89</v>
      </c>
      <c r="G11" s="873" t="s">
        <v>77</v>
      </c>
      <c r="H11" s="873"/>
      <c r="I11" s="873" t="s">
        <v>78</v>
      </c>
      <c r="J11" s="873" t="s">
        <v>115</v>
      </c>
      <c r="K11" s="873" t="s">
        <v>79</v>
      </c>
      <c r="L11" s="873"/>
      <c r="M11" s="873" t="s">
        <v>80</v>
      </c>
      <c r="N11" s="873" t="s">
        <v>131</v>
      </c>
      <c r="O11" s="873" t="s">
        <v>133</v>
      </c>
      <c r="P11" s="873" t="s">
        <v>138</v>
      </c>
      <c r="Q11" s="873" t="s">
        <v>140</v>
      </c>
      <c r="R11" s="873" t="s">
        <v>145</v>
      </c>
      <c r="S11" s="873" t="s">
        <v>150</v>
      </c>
      <c r="U11" s="542"/>
      <c r="V11" s="542"/>
      <c r="W11" s="542"/>
      <c r="CF11" s="444">
        <v>0</v>
      </c>
    </row>
    <row r="12" spans="1:84" s="1423" customFormat="1" ht="1.1499999999999999" customHeight="1">
      <c r="A12" s="546"/>
      <c r="B12" s="295"/>
      <c r="D12" s="480"/>
      <c r="E12" s="280"/>
      <c r="F12" s="280"/>
      <c r="Q12" s="547"/>
      <c r="R12" s="548"/>
      <c r="T12" s="549"/>
      <c r="U12" s="550"/>
      <c r="V12" s="550"/>
      <c r="W12" s="551"/>
      <c r="X12" s="295"/>
      <c r="Y12" s="295"/>
      <c r="Z12" s="295"/>
      <c r="AA12" s="295"/>
      <c r="CF12" s="442">
        <v>1</v>
      </c>
    </row>
    <row r="13" spans="1:84" s="1429" customFormat="1" ht="1.1499999999999999" customHeight="1">
      <c r="A13" s="552"/>
      <c r="B13" s="498"/>
      <c r="D13" s="480" t="s">
        <v>460</v>
      </c>
      <c r="E13" s="492"/>
      <c r="F13" s="492"/>
      <c r="G13" s="492"/>
      <c r="H13" s="492"/>
      <c r="I13" s="492"/>
      <c r="J13" s="492"/>
      <c r="K13" s="492"/>
      <c r="L13" s="492"/>
      <c r="M13" s="492"/>
      <c r="N13" s="492"/>
      <c r="O13" s="492"/>
      <c r="P13" s="492"/>
      <c r="Q13" s="492"/>
      <c r="R13" s="492"/>
      <c r="T13" s="268"/>
      <c r="U13" s="542"/>
      <c r="V13" s="542"/>
      <c r="W13" s="553"/>
      <c r="X13" s="498"/>
      <c r="Y13" s="498"/>
      <c r="Z13" s="498"/>
      <c r="AA13" s="498"/>
      <c r="CF13" s="429">
        <v>1</v>
      </c>
    </row>
    <row r="14" spans="1:84" s="1606" customFormat="1" ht="15" customHeight="1">
      <c r="A14" s="554" t="s">
        <v>167</v>
      </c>
      <c r="B14" s="555"/>
      <c r="C14" s="555"/>
      <c r="D14" s="2488" t="s">
        <v>161</v>
      </c>
      <c r="E14" s="2495" t="s">
        <v>157</v>
      </c>
      <c r="F14" s="2496"/>
      <c r="G14" s="2497"/>
      <c r="H14" s="2491" t="str">
        <f>IF(A14="","",INDEX(DIFFERENTIATION_UNMERGE_VD,MATCH(A14,DIFFERENTIATION_ID_DIFF,0)))</f>
        <v>Производство тепловой энергии. Некомбинированная выработка; Передача. Тепловая энергия; Сбыт. Тепловая энергия</v>
      </c>
      <c r="I14" s="2491"/>
      <c r="J14" s="2491"/>
      <c r="K14" s="2491"/>
      <c r="L14" s="2491"/>
      <c r="M14" s="2491"/>
      <c r="N14" s="2491"/>
      <c r="O14" s="2491"/>
      <c r="P14" s="2491"/>
      <c r="Q14" s="2491"/>
      <c r="R14" s="2491"/>
      <c r="S14" s="637"/>
      <c r="T14" s="634"/>
      <c r="U14" s="556"/>
      <c r="V14" s="556"/>
      <c r="W14" s="557"/>
      <c r="X14" s="557"/>
      <c r="Y14" s="557"/>
      <c r="Z14" s="557"/>
      <c r="AA14" s="558"/>
      <c r="AB14" s="559"/>
      <c r="AC14" s="2494"/>
      <c r="AD14" s="560"/>
      <c r="AE14" s="561" t="s">
        <v>9</v>
      </c>
      <c r="AF14" s="561"/>
      <c r="AG14" s="562" t="s">
        <v>704</v>
      </c>
      <c r="AH14" s="563">
        <v>3</v>
      </c>
      <c r="AI14" s="556"/>
      <c r="AJ14" s="556"/>
      <c r="AK14" s="556"/>
      <c r="AL14" s="556"/>
      <c r="AM14" s="556"/>
      <c r="AN14" s="556"/>
      <c r="AO14" s="556"/>
      <c r="AP14" s="556"/>
      <c r="AQ14" s="556"/>
      <c r="AR14" s="556"/>
      <c r="AS14" s="556"/>
      <c r="AT14" s="556"/>
      <c r="AU14" s="556"/>
      <c r="AV14" s="556"/>
      <c r="AW14" s="556"/>
      <c r="AX14" s="556"/>
      <c r="AY14" s="556"/>
      <c r="AZ14" s="556"/>
      <c r="BA14" s="556"/>
      <c r="BB14" s="556"/>
      <c r="BC14" s="556"/>
      <c r="BD14" s="556"/>
      <c r="BE14" s="556"/>
      <c r="BF14" s="556"/>
      <c r="BG14" s="556"/>
      <c r="BH14" s="556"/>
      <c r="BI14" s="556"/>
      <c r="BJ14" s="556"/>
      <c r="BK14" s="556"/>
      <c r="BL14" s="556"/>
      <c r="BM14" s="556"/>
      <c r="BN14" s="556"/>
      <c r="BO14" s="556"/>
      <c r="BP14" s="556"/>
      <c r="BQ14" s="556"/>
      <c r="BR14" s="556"/>
      <c r="BS14" s="556"/>
      <c r="BT14" s="556"/>
      <c r="BU14" s="556"/>
      <c r="BV14" s="557"/>
      <c r="BW14" s="557"/>
      <c r="BX14" s="557"/>
      <c r="BY14" s="557"/>
      <c r="BZ14" s="557"/>
      <c r="CA14" s="557"/>
      <c r="CB14" s="557"/>
      <c r="CC14" s="557"/>
      <c r="CD14" s="557"/>
      <c r="CE14" s="557"/>
      <c r="CF14" s="227">
        <v>0</v>
      </c>
    </row>
    <row r="15" spans="1:84" s="1606" customFormat="1" ht="15" customHeight="1">
      <c r="A15" s="554"/>
      <c r="B15" s="555"/>
      <c r="C15" s="555"/>
      <c r="D15" s="2489"/>
      <c r="E15" s="2495" t="s">
        <v>648</v>
      </c>
      <c r="F15" s="2496"/>
      <c r="G15" s="2497"/>
      <c r="H15" s="2491" t="str">
        <f>IF(A14="","",INDEX(DIFFERENTIATION_UNMERGE_AREA,MATCH(A14,DIFFERENTIATION_ID_DIFF,0)))</f>
        <v>Территория 1</v>
      </c>
      <c r="I15" s="2491"/>
      <c r="J15" s="2491"/>
      <c r="K15" s="2491"/>
      <c r="L15" s="2491"/>
      <c r="M15" s="2491"/>
      <c r="N15" s="2491"/>
      <c r="O15" s="2491"/>
      <c r="P15" s="2491"/>
      <c r="Q15" s="2491"/>
      <c r="R15" s="2491"/>
      <c r="S15" s="637"/>
      <c r="T15" s="634"/>
      <c r="U15" s="556"/>
      <c r="V15" s="556"/>
      <c r="W15" s="557"/>
      <c r="X15" s="557"/>
      <c r="Y15" s="557"/>
      <c r="Z15" s="557"/>
      <c r="AA15" s="558"/>
      <c r="AB15" s="559"/>
      <c r="AC15" s="2494"/>
      <c r="AD15" s="560"/>
      <c r="AE15" s="561"/>
      <c r="AF15" s="561"/>
      <c r="AG15" s="562"/>
      <c r="AH15" s="563"/>
      <c r="AI15" s="556"/>
      <c r="AJ15" s="556"/>
      <c r="AK15" s="556"/>
      <c r="AL15" s="556"/>
      <c r="AM15" s="556"/>
      <c r="AN15" s="556"/>
      <c r="AO15" s="556"/>
      <c r="AP15" s="556"/>
      <c r="AQ15" s="556"/>
      <c r="AR15" s="556"/>
      <c r="AS15" s="556"/>
      <c r="AT15" s="556"/>
      <c r="AU15" s="556"/>
      <c r="AV15" s="556"/>
      <c r="AW15" s="556"/>
      <c r="AX15" s="556"/>
      <c r="AY15" s="556"/>
      <c r="AZ15" s="556"/>
      <c r="BA15" s="556"/>
      <c r="BB15" s="556"/>
      <c r="BC15" s="556"/>
      <c r="BD15" s="556"/>
      <c r="BE15" s="556"/>
      <c r="BF15" s="556"/>
      <c r="BG15" s="556"/>
      <c r="BH15" s="556"/>
      <c r="BI15" s="556"/>
      <c r="BJ15" s="556"/>
      <c r="BK15" s="556"/>
      <c r="BL15" s="556"/>
      <c r="BM15" s="556"/>
      <c r="BN15" s="556"/>
      <c r="BO15" s="556"/>
      <c r="BP15" s="556"/>
      <c r="BQ15" s="556"/>
      <c r="BR15" s="556"/>
      <c r="BS15" s="556"/>
      <c r="BT15" s="556"/>
      <c r="BU15" s="556"/>
      <c r="BV15" s="557"/>
      <c r="BW15" s="557"/>
      <c r="BX15" s="557"/>
      <c r="BY15" s="557"/>
      <c r="BZ15" s="557"/>
      <c r="CA15" s="557"/>
      <c r="CB15" s="557"/>
      <c r="CC15" s="557"/>
      <c r="CD15" s="557"/>
      <c r="CE15" s="557"/>
      <c r="CF15" s="227">
        <v>0</v>
      </c>
    </row>
    <row r="16" spans="1:84" s="1606" customFormat="1" ht="15" customHeight="1">
      <c r="A16" s="554"/>
      <c r="B16" s="555"/>
      <c r="C16" s="555"/>
      <c r="D16" s="2489"/>
      <c r="E16" s="2495" t="s">
        <v>649</v>
      </c>
      <c r="F16" s="2496"/>
      <c r="G16" s="2497"/>
      <c r="H16" s="2491" t="str">
        <f>IF(A14="","",INDEX(DIFFERENTIATION_UNMERGE_SYSTEM,MATCH(A14,DIFFERENTIATION_ID_DIFF,0)))</f>
        <v>котельная г. Вязьма ул. Московская</v>
      </c>
      <c r="I16" s="2491"/>
      <c r="J16" s="2491"/>
      <c r="K16" s="2491"/>
      <c r="L16" s="2491"/>
      <c r="M16" s="2491"/>
      <c r="N16" s="2491"/>
      <c r="O16" s="2491"/>
      <c r="P16" s="2491"/>
      <c r="Q16" s="2491"/>
      <c r="R16" s="2491"/>
      <c r="S16" s="637"/>
      <c r="T16" s="634"/>
      <c r="U16" s="556"/>
      <c r="V16" s="556"/>
      <c r="W16" s="557"/>
      <c r="X16" s="557"/>
      <c r="Y16" s="557"/>
      <c r="Z16" s="557"/>
      <c r="AA16" s="558"/>
      <c r="AB16" s="559"/>
      <c r="AC16" s="2494"/>
      <c r="AD16" s="560"/>
      <c r="AE16" s="561"/>
      <c r="AF16" s="561"/>
      <c r="AG16" s="562"/>
      <c r="AH16" s="563"/>
      <c r="AI16" s="556"/>
      <c r="AJ16" s="556"/>
      <c r="AK16" s="556"/>
      <c r="AL16" s="556"/>
      <c r="AM16" s="556"/>
      <c r="AN16" s="556"/>
      <c r="AO16" s="556"/>
      <c r="AP16" s="556"/>
      <c r="AQ16" s="556"/>
      <c r="AR16" s="556"/>
      <c r="AS16" s="556"/>
      <c r="AT16" s="556"/>
      <c r="AU16" s="556"/>
      <c r="AV16" s="556"/>
      <c r="AW16" s="556"/>
      <c r="AX16" s="556"/>
      <c r="AY16" s="556"/>
      <c r="AZ16" s="556"/>
      <c r="BA16" s="556"/>
      <c r="BB16" s="556"/>
      <c r="BC16" s="556"/>
      <c r="BD16" s="556"/>
      <c r="BE16" s="556"/>
      <c r="BF16" s="556"/>
      <c r="BG16" s="556"/>
      <c r="BH16" s="556"/>
      <c r="BI16" s="556"/>
      <c r="BJ16" s="556"/>
      <c r="BK16" s="556"/>
      <c r="BL16" s="556"/>
      <c r="BM16" s="556"/>
      <c r="BN16" s="556"/>
      <c r="BO16" s="556"/>
      <c r="BP16" s="556"/>
      <c r="BQ16" s="556"/>
      <c r="BR16" s="556"/>
      <c r="BS16" s="556"/>
      <c r="BT16" s="556"/>
      <c r="BU16" s="556"/>
      <c r="BV16" s="557"/>
      <c r="BW16" s="557"/>
      <c r="BX16" s="557"/>
      <c r="BY16" s="557"/>
      <c r="BZ16" s="557"/>
      <c r="CA16" s="557"/>
      <c r="CB16" s="557"/>
      <c r="CC16" s="557"/>
      <c r="CD16" s="557"/>
      <c r="CE16" s="557"/>
      <c r="CF16" s="227">
        <v>0</v>
      </c>
    </row>
    <row r="17" spans="1:84" s="1606" customFormat="1" ht="22.5" customHeight="1">
      <c r="A17" s="564"/>
      <c r="B17" s="350"/>
      <c r="C17" s="345"/>
      <c r="D17" s="2489"/>
      <c r="E17" s="2493" t="s">
        <v>705</v>
      </c>
      <c r="F17" s="2493"/>
      <c r="G17" s="2493"/>
      <c r="H17" s="2493"/>
      <c r="I17" s="2493"/>
      <c r="J17" s="2493"/>
      <c r="K17" s="2493"/>
      <c r="L17" s="2493"/>
      <c r="M17" s="2493"/>
      <c r="N17" s="2493"/>
      <c r="O17" s="2493"/>
      <c r="P17" s="2493"/>
      <c r="Q17" s="490">
        <f>SUMIF(T18:T19,"i",Q18:Q19)</f>
        <v>0</v>
      </c>
      <c r="R17" s="869"/>
      <c r="S17" s="793" t="s">
        <v>706</v>
      </c>
      <c r="T17" s="635" t="s">
        <v>707</v>
      </c>
      <c r="U17" s="2399">
        <v>1</v>
      </c>
      <c r="V17" s="2399" t="str">
        <f>INDEX(B_FHD_FLAG_INDEX_1,1,MATCH(A14,B_FHD_FLAG_DIFFERENTIATION,0))</f>
        <v>отсутствует</v>
      </c>
      <c r="W17" s="350"/>
      <c r="X17" s="350"/>
      <c r="Y17" s="350"/>
      <c r="Z17" s="350"/>
      <c r="AA17" s="444"/>
      <c r="AB17" s="350"/>
      <c r="AC17" s="2494"/>
      <c r="AD17" s="560"/>
      <c r="AE17" s="350"/>
      <c r="AF17" s="350"/>
      <c r="AG17" s="444"/>
      <c r="AH17" s="444"/>
      <c r="AI17" s="444"/>
      <c r="AJ17" s="444"/>
      <c r="AK17" s="444"/>
      <c r="AL17" s="444"/>
      <c r="AM17" s="444"/>
      <c r="AN17" s="444"/>
      <c r="AO17" s="444"/>
      <c r="AP17" s="444"/>
      <c r="AQ17" s="444"/>
      <c r="AR17" s="444"/>
      <c r="AS17" s="444"/>
      <c r="AT17" s="444"/>
      <c r="AU17" s="444"/>
      <c r="AV17" s="444"/>
      <c r="AW17" s="444"/>
      <c r="AX17" s="444"/>
      <c r="AY17" s="444"/>
      <c r="AZ17" s="444"/>
      <c r="BA17" s="444"/>
      <c r="BB17" s="444"/>
      <c r="BC17" s="444"/>
      <c r="BD17" s="444"/>
      <c r="BE17" s="444"/>
      <c r="BF17" s="444"/>
      <c r="BG17" s="444"/>
      <c r="BH17" s="444"/>
      <c r="BI17" s="444"/>
      <c r="BJ17" s="444"/>
      <c r="BK17" s="444"/>
      <c r="BL17" s="444"/>
      <c r="BM17" s="444"/>
      <c r="BN17" s="444"/>
      <c r="BO17" s="444"/>
      <c r="BP17" s="444"/>
      <c r="BQ17" s="444"/>
      <c r="BR17" s="444"/>
      <c r="BS17" s="444"/>
      <c r="BT17" s="444"/>
      <c r="BU17" s="444"/>
      <c r="BV17" s="350"/>
      <c r="BW17" s="350"/>
      <c r="BX17" s="350"/>
      <c r="BY17" s="350"/>
      <c r="BZ17" s="350"/>
      <c r="CA17" s="350"/>
      <c r="CB17" s="350"/>
      <c r="CC17" s="350"/>
      <c r="CD17" s="350"/>
      <c r="CE17" s="350"/>
      <c r="CF17" s="227">
        <v>0</v>
      </c>
    </row>
    <row r="18" spans="1:84" s="1606" customFormat="1" ht="11.25" hidden="1" customHeight="1">
      <c r="A18" s="565"/>
      <c r="B18" s="444"/>
      <c r="C18" s="444"/>
      <c r="D18" s="2489"/>
      <c r="E18" s="566"/>
      <c r="F18" s="566">
        <v>0</v>
      </c>
      <c r="G18" s="566"/>
      <c r="H18" s="566"/>
      <c r="I18" s="566"/>
      <c r="J18" s="566"/>
      <c r="K18" s="566"/>
      <c r="L18" s="566"/>
      <c r="M18" s="566"/>
      <c r="N18" s="566"/>
      <c r="O18" s="566"/>
      <c r="P18" s="566"/>
      <c r="Q18" s="566"/>
      <c r="R18" s="566"/>
      <c r="S18" s="567"/>
      <c r="T18" s="636"/>
      <c r="U18" s="2399"/>
      <c r="V18" s="2399"/>
      <c r="W18" s="444"/>
      <c r="X18" s="444"/>
      <c r="Y18" s="444"/>
      <c r="Z18" s="444"/>
      <c r="AA18" s="444"/>
      <c r="AB18" s="350"/>
      <c r="AC18" s="2494"/>
      <c r="AD18" s="560"/>
      <c r="AE18" s="350"/>
      <c r="AF18" s="350"/>
      <c r="AG18" s="444"/>
      <c r="AH18" s="444"/>
      <c r="AI18" s="444"/>
      <c r="AJ18" s="444"/>
      <c r="AK18" s="444"/>
      <c r="AL18" s="444"/>
      <c r="AM18" s="444"/>
      <c r="AN18" s="444"/>
      <c r="AO18" s="444"/>
      <c r="AP18" s="444"/>
      <c r="AQ18" s="444"/>
      <c r="AR18" s="444"/>
      <c r="AS18" s="444"/>
      <c r="AT18" s="444"/>
      <c r="AU18" s="444"/>
      <c r="AV18" s="444"/>
      <c r="AW18" s="444"/>
      <c r="AX18" s="444"/>
      <c r="AY18" s="444"/>
      <c r="AZ18" s="444"/>
      <c r="BA18" s="444"/>
      <c r="BB18" s="444"/>
      <c r="BC18" s="444"/>
      <c r="BD18" s="444"/>
      <c r="BE18" s="444"/>
      <c r="BF18" s="444"/>
      <c r="BG18" s="444"/>
      <c r="BH18" s="444"/>
      <c r="BI18" s="444"/>
      <c r="BJ18" s="444"/>
      <c r="BK18" s="444"/>
      <c r="BL18" s="444"/>
      <c r="BM18" s="444"/>
      <c r="BN18" s="444"/>
      <c r="BO18" s="444"/>
      <c r="BP18" s="444"/>
      <c r="BQ18" s="444"/>
      <c r="BR18" s="444"/>
      <c r="BS18" s="444"/>
      <c r="BT18" s="444"/>
      <c r="BU18" s="444"/>
      <c r="BV18" s="444"/>
      <c r="BW18" s="444"/>
      <c r="BX18" s="444"/>
      <c r="BY18" s="444"/>
      <c r="BZ18" s="444"/>
      <c r="CA18" s="444"/>
      <c r="CB18" s="444"/>
      <c r="CC18" s="444"/>
      <c r="CD18" s="444"/>
      <c r="CE18" s="444"/>
      <c r="CF18" s="227">
        <v>0</v>
      </c>
    </row>
    <row r="19" spans="1:84" s="1606" customFormat="1" ht="11.25" customHeight="1">
      <c r="A19" s="564"/>
      <c r="B19" s="350"/>
      <c r="C19" s="345"/>
      <c r="D19" s="2489"/>
      <c r="E19" s="580" t="s">
        <v>9</v>
      </c>
      <c r="F19" s="581" t="s">
        <v>9</v>
      </c>
      <c r="G19" s="581" t="s">
        <v>9</v>
      </c>
      <c r="H19" s="582" t="s">
        <v>9</v>
      </c>
      <c r="I19" s="582"/>
      <c r="J19" s="582"/>
      <c r="K19" s="582"/>
      <c r="L19" s="582"/>
      <c r="M19" s="582"/>
      <c r="N19" s="582"/>
      <c r="O19" s="582"/>
      <c r="P19" s="582"/>
      <c r="Q19" s="582"/>
      <c r="R19" s="583"/>
      <c r="S19" s="872"/>
      <c r="T19" s="636"/>
      <c r="U19" s="2399"/>
      <c r="V19" s="2399"/>
      <c r="W19" s="350"/>
      <c r="X19" s="350"/>
      <c r="Y19" s="350"/>
      <c r="Z19" s="350"/>
      <c r="AA19" s="444"/>
      <c r="AB19" s="350"/>
      <c r="AC19" s="2494"/>
      <c r="AD19" s="560"/>
      <c r="AE19" s="350"/>
      <c r="AF19" s="350"/>
      <c r="AG19" s="444"/>
      <c r="AH19" s="444"/>
      <c r="AI19" s="444"/>
      <c r="AJ19" s="444"/>
      <c r="AK19" s="444"/>
      <c r="AL19" s="444"/>
      <c r="AM19" s="444"/>
      <c r="AN19" s="444"/>
      <c r="AO19" s="444"/>
      <c r="AP19" s="444"/>
      <c r="AQ19" s="444"/>
      <c r="AR19" s="444"/>
      <c r="AS19" s="444"/>
      <c r="AT19" s="444"/>
      <c r="AU19" s="444"/>
      <c r="AV19" s="444"/>
      <c r="AW19" s="444"/>
      <c r="AX19" s="444"/>
      <c r="AY19" s="444"/>
      <c r="AZ19" s="444"/>
      <c r="BA19" s="444"/>
      <c r="BB19" s="444"/>
      <c r="BC19" s="444"/>
      <c r="BD19" s="444"/>
      <c r="BE19" s="444"/>
      <c r="BF19" s="444"/>
      <c r="BG19" s="444"/>
      <c r="BH19" s="444"/>
      <c r="BI19" s="444"/>
      <c r="BJ19" s="444"/>
      <c r="BK19" s="444"/>
      <c r="BL19" s="444"/>
      <c r="BM19" s="444"/>
      <c r="BN19" s="444"/>
      <c r="BO19" s="444"/>
      <c r="BP19" s="444"/>
      <c r="BQ19" s="444"/>
      <c r="BR19" s="444"/>
      <c r="BS19" s="444"/>
      <c r="BT19" s="444"/>
      <c r="BU19" s="444"/>
      <c r="BV19" s="350"/>
      <c r="BW19" s="350"/>
      <c r="BX19" s="350"/>
      <c r="BY19" s="350"/>
      <c r="BZ19" s="350"/>
      <c r="CA19" s="350"/>
      <c r="CB19" s="350"/>
      <c r="CC19" s="350"/>
      <c r="CD19" s="350"/>
      <c r="CE19" s="350"/>
      <c r="CF19" s="227">
        <v>0</v>
      </c>
    </row>
    <row r="20" spans="1:84" s="1606" customFormat="1" ht="22.5" customHeight="1">
      <c r="A20" s="564"/>
      <c r="B20" s="350"/>
      <c r="C20" s="345"/>
      <c r="D20" s="2489"/>
      <c r="E20" s="2493" t="s">
        <v>708</v>
      </c>
      <c r="F20" s="2493"/>
      <c r="G20" s="2493"/>
      <c r="H20" s="2493"/>
      <c r="I20" s="2493"/>
      <c r="J20" s="2493"/>
      <c r="K20" s="2493"/>
      <c r="L20" s="2493"/>
      <c r="M20" s="2493"/>
      <c r="N20" s="2493"/>
      <c r="O20" s="2493"/>
      <c r="P20" s="2493"/>
      <c r="Q20" s="490">
        <f>SUMIF(T21:T22,"i",Q21:Q22)</f>
        <v>0</v>
      </c>
      <c r="R20" s="869"/>
      <c r="S20" s="627" t="s">
        <v>709</v>
      </c>
      <c r="T20" s="635" t="s">
        <v>707</v>
      </c>
      <c r="U20" s="2399">
        <v>2</v>
      </c>
      <c r="V20" s="2399" t="str">
        <f>INDEX(B_FHD_FLAG_INDEX_2,1,MATCH(A14,B_FHD_FLAG_DIFFERENTIATION,0))</f>
        <v>отсутствует</v>
      </c>
      <c r="W20" s="350"/>
      <c r="X20" s="350"/>
      <c r="Y20" s="350"/>
      <c r="Z20" s="350"/>
      <c r="AA20" s="444"/>
      <c r="AB20" s="350"/>
      <c r="AC20" s="624"/>
      <c r="AD20" s="560"/>
      <c r="AE20" s="350"/>
      <c r="AF20" s="350"/>
      <c r="AG20" s="444"/>
      <c r="AH20" s="444"/>
      <c r="AI20" s="444"/>
      <c r="AJ20" s="444"/>
      <c r="AK20" s="444"/>
      <c r="AL20" s="444"/>
      <c r="AM20" s="444"/>
      <c r="AN20" s="444"/>
      <c r="AO20" s="444"/>
      <c r="AP20" s="444"/>
      <c r="AQ20" s="444"/>
      <c r="AR20" s="444"/>
      <c r="AS20" s="444"/>
      <c r="AT20" s="444"/>
      <c r="AU20" s="444"/>
      <c r="AV20" s="444"/>
      <c r="AW20" s="444"/>
      <c r="AX20" s="444"/>
      <c r="AY20" s="444"/>
      <c r="AZ20" s="444"/>
      <c r="BA20" s="444"/>
      <c r="BB20" s="444"/>
      <c r="BC20" s="444"/>
      <c r="BD20" s="444"/>
      <c r="BE20" s="444"/>
      <c r="BF20" s="444"/>
      <c r="BG20" s="444"/>
      <c r="BH20" s="444"/>
      <c r="BI20" s="444"/>
      <c r="BJ20" s="444"/>
      <c r="BK20" s="444"/>
      <c r="BL20" s="444"/>
      <c r="BM20" s="444"/>
      <c r="BN20" s="444"/>
      <c r="BO20" s="444"/>
      <c r="BP20" s="444"/>
      <c r="BQ20" s="444"/>
      <c r="BR20" s="444"/>
      <c r="BS20" s="444"/>
      <c r="BT20" s="444"/>
      <c r="BU20" s="444"/>
      <c r="BV20" s="350"/>
      <c r="BW20" s="350"/>
      <c r="BX20" s="350"/>
      <c r="BY20" s="350"/>
      <c r="BZ20" s="350"/>
      <c r="CA20" s="350"/>
      <c r="CB20" s="350"/>
      <c r="CC20" s="350"/>
      <c r="CD20" s="350"/>
      <c r="CE20" s="350"/>
      <c r="CF20" s="227">
        <v>0</v>
      </c>
    </row>
    <row r="21" spans="1:84" s="1606" customFormat="1" ht="11.25" hidden="1" customHeight="1">
      <c r="A21" s="626"/>
      <c r="B21" s="444"/>
      <c r="C21" s="444"/>
      <c r="D21" s="2489"/>
      <c r="E21" s="566"/>
      <c r="F21" s="566">
        <v>0</v>
      </c>
      <c r="G21" s="566"/>
      <c r="H21" s="566"/>
      <c r="I21" s="566"/>
      <c r="J21" s="566"/>
      <c r="K21" s="566"/>
      <c r="L21" s="566"/>
      <c r="M21" s="566"/>
      <c r="N21" s="566"/>
      <c r="O21" s="566"/>
      <c r="P21" s="566"/>
      <c r="Q21" s="566"/>
      <c r="R21" s="566"/>
      <c r="S21" s="567"/>
      <c r="T21" s="636"/>
      <c r="U21" s="2399"/>
      <c r="V21" s="2399"/>
      <c r="W21" s="444"/>
      <c r="X21" s="444"/>
      <c r="Y21" s="444"/>
      <c r="Z21" s="444"/>
      <c r="AA21" s="444"/>
      <c r="AB21" s="350"/>
      <c r="AC21" s="624"/>
      <c r="AD21" s="560"/>
      <c r="AE21" s="350"/>
      <c r="AF21" s="350"/>
      <c r="AG21" s="444"/>
      <c r="AH21" s="444"/>
      <c r="AI21" s="444"/>
      <c r="AJ21" s="444"/>
      <c r="AK21" s="444"/>
      <c r="AL21" s="444"/>
      <c r="AM21" s="444"/>
      <c r="AN21" s="444"/>
      <c r="AO21" s="444"/>
      <c r="AP21" s="444"/>
      <c r="AQ21" s="444"/>
      <c r="AR21" s="444"/>
      <c r="AS21" s="444"/>
      <c r="AT21" s="444"/>
      <c r="AU21" s="444"/>
      <c r="AV21" s="444"/>
      <c r="AW21" s="444"/>
      <c r="AX21" s="444"/>
      <c r="AY21" s="444"/>
      <c r="AZ21" s="444"/>
      <c r="BA21" s="444"/>
      <c r="BB21" s="444"/>
      <c r="BC21" s="444"/>
      <c r="BD21" s="444"/>
      <c r="BE21" s="444"/>
      <c r="BF21" s="444"/>
      <c r="BG21" s="444"/>
      <c r="BH21" s="444"/>
      <c r="BI21" s="444"/>
      <c r="BJ21" s="444"/>
      <c r="BK21" s="444"/>
      <c r="BL21" s="444"/>
      <c r="BM21" s="444"/>
      <c r="BN21" s="444"/>
      <c r="BO21" s="444"/>
      <c r="BP21" s="444"/>
      <c r="BQ21" s="444"/>
      <c r="BR21" s="444"/>
      <c r="BS21" s="444"/>
      <c r="BT21" s="444"/>
      <c r="BU21" s="444"/>
      <c r="BV21" s="444"/>
      <c r="BW21" s="444"/>
      <c r="BX21" s="444"/>
      <c r="BY21" s="444"/>
      <c r="BZ21" s="444"/>
      <c r="CA21" s="444"/>
      <c r="CB21" s="444"/>
      <c r="CC21" s="444"/>
      <c r="CD21" s="444"/>
      <c r="CE21" s="444"/>
      <c r="CF21" s="227">
        <v>0</v>
      </c>
    </row>
    <row r="22" spans="1:84" s="1606" customFormat="1" ht="11.25" customHeight="1">
      <c r="A22" s="564"/>
      <c r="B22" s="350"/>
      <c r="C22" s="345"/>
      <c r="D22" s="2490"/>
      <c r="E22" s="580" t="s">
        <v>9</v>
      </c>
      <c r="F22" s="581" t="s">
        <v>9</v>
      </c>
      <c r="G22" s="581" t="s">
        <v>9</v>
      </c>
      <c r="H22" s="582" t="s">
        <v>9</v>
      </c>
      <c r="I22" s="582"/>
      <c r="J22" s="582"/>
      <c r="K22" s="582"/>
      <c r="L22" s="582"/>
      <c r="M22" s="582"/>
      <c r="N22" s="582"/>
      <c r="O22" s="582"/>
      <c r="P22" s="582"/>
      <c r="Q22" s="582"/>
      <c r="R22" s="583"/>
      <c r="S22" s="872"/>
      <c r="T22" s="636"/>
      <c r="U22" s="2399"/>
      <c r="V22" s="2399"/>
      <c r="W22" s="350"/>
      <c r="X22" s="350"/>
      <c r="Y22" s="350"/>
      <c r="Z22" s="350"/>
      <c r="AA22" s="444"/>
      <c r="AB22" s="350"/>
      <c r="AC22" s="624"/>
      <c r="AD22" s="560"/>
      <c r="AE22" s="350"/>
      <c r="AF22" s="350"/>
      <c r="AG22" s="444"/>
      <c r="AH22" s="444"/>
      <c r="AI22" s="444"/>
      <c r="AJ22" s="444"/>
      <c r="AK22" s="444"/>
      <c r="AL22" s="444"/>
      <c r="AM22" s="444"/>
      <c r="AN22" s="444"/>
      <c r="AO22" s="444"/>
      <c r="AP22" s="444"/>
      <c r="AQ22" s="444"/>
      <c r="AR22" s="444"/>
      <c r="AS22" s="444"/>
      <c r="AT22" s="444"/>
      <c r="AU22" s="444"/>
      <c r="AV22" s="444"/>
      <c r="AW22" s="444"/>
      <c r="AX22" s="444"/>
      <c r="AY22" s="444"/>
      <c r="AZ22" s="444"/>
      <c r="BA22" s="444"/>
      <c r="BB22" s="444"/>
      <c r="BC22" s="444"/>
      <c r="BD22" s="444"/>
      <c r="BE22" s="444"/>
      <c r="BF22" s="444"/>
      <c r="BG22" s="444"/>
      <c r="BH22" s="444"/>
      <c r="BI22" s="444"/>
      <c r="BJ22" s="444"/>
      <c r="BK22" s="444"/>
      <c r="BL22" s="444"/>
      <c r="BM22" s="444"/>
      <c r="BN22" s="444"/>
      <c r="BO22" s="444"/>
      <c r="BP22" s="444"/>
      <c r="BQ22" s="444"/>
      <c r="BR22" s="444"/>
      <c r="BS22" s="444"/>
      <c r="BT22" s="444"/>
      <c r="BU22" s="444"/>
      <c r="BV22" s="350"/>
      <c r="BW22" s="350"/>
      <c r="BX22" s="350"/>
      <c r="BY22" s="350"/>
      <c r="BZ22" s="350"/>
      <c r="CA22" s="350"/>
      <c r="CB22" s="350"/>
      <c r="CC22" s="350"/>
      <c r="CD22" s="350"/>
      <c r="CE22" s="350"/>
      <c r="CF22" s="227">
        <v>0</v>
      </c>
    </row>
    <row r="23" spans="1:84" ht="15" hidden="1" customHeight="1">
      <c r="A23" s="554" t="s">
        <v>172</v>
      </c>
      <c r="B23" s="555"/>
      <c r="C23" s="555" t="s">
        <v>9</v>
      </c>
      <c r="D23" s="2498" t="s">
        <v>140</v>
      </c>
      <c r="E23" s="2495" t="s">
        <v>157</v>
      </c>
      <c r="F23" s="2496"/>
      <c r="G23" s="2497"/>
      <c r="H23" s="2491" t="str">
        <f>IF(A23="","",INDEX(DIFFERENTIATION_UNMERGE_VD,MATCH(A23,DIFFERENTIATION_ID_DIFF,0)))</f>
        <v>Производство тепловой энергии. Некомбинированная выработка; Передача. Тепловая энергия; Сбыт. Тепловая энергия</v>
      </c>
      <c r="I23" s="2491"/>
      <c r="J23" s="2491"/>
      <c r="K23" s="2491"/>
      <c r="L23" s="2491"/>
      <c r="M23" s="2491"/>
      <c r="N23" s="2491"/>
      <c r="O23" s="2491"/>
      <c r="P23" s="2491"/>
      <c r="Q23" s="2491"/>
      <c r="R23" s="2491"/>
      <c r="S23" s="637"/>
      <c r="T23" s="634"/>
      <c r="U23" s="556"/>
      <c r="V23" s="556"/>
      <c r="W23" s="557"/>
      <c r="X23" s="557"/>
      <c r="Y23" s="557"/>
      <c r="Z23" s="557"/>
      <c r="AA23" s="558"/>
      <c r="AB23" s="559"/>
      <c r="AC23" s="2494"/>
      <c r="AD23" s="560"/>
      <c r="AE23" s="561" t="s">
        <v>9</v>
      </c>
      <c r="AF23" s="561"/>
      <c r="AG23" s="562" t="s">
        <v>704</v>
      </c>
      <c r="AH23" s="563">
        <v>3</v>
      </c>
      <c r="AI23" s="556"/>
      <c r="AJ23" s="556"/>
      <c r="AK23" s="556"/>
      <c r="AL23" s="556"/>
      <c r="AM23" s="556"/>
      <c r="AN23" s="556"/>
      <c r="AO23" s="556"/>
      <c r="AP23" s="556"/>
      <c r="AQ23" s="556"/>
      <c r="AR23" s="556"/>
      <c r="AS23" s="556"/>
      <c r="AT23" s="556"/>
      <c r="AU23" s="556"/>
      <c r="AV23" s="556"/>
      <c r="AW23" s="556"/>
      <c r="AX23" s="556"/>
      <c r="AY23" s="556"/>
      <c r="AZ23" s="556"/>
      <c r="BA23" s="556"/>
      <c r="BB23" s="556"/>
      <c r="BC23" s="556"/>
      <c r="BD23" s="556"/>
      <c r="BE23" s="556"/>
      <c r="BF23" s="556"/>
      <c r="BG23" s="556"/>
      <c r="BH23" s="556"/>
      <c r="BI23" s="556"/>
      <c r="BJ23" s="556"/>
      <c r="BK23" s="556"/>
      <c r="BL23" s="556"/>
      <c r="BM23" s="556"/>
      <c r="BN23" s="556"/>
      <c r="BO23" s="556"/>
      <c r="BP23" s="556"/>
      <c r="BQ23" s="556"/>
      <c r="BR23" s="556"/>
      <c r="BS23" s="556"/>
      <c r="BT23" s="556"/>
      <c r="BU23" s="556"/>
      <c r="BV23" s="557"/>
      <c r="BW23" s="557"/>
      <c r="BX23" s="557"/>
      <c r="BY23" s="557"/>
      <c r="BZ23" s="557"/>
      <c r="CA23" s="557"/>
      <c r="CB23" s="557"/>
      <c r="CC23" s="557"/>
      <c r="CD23" s="557"/>
      <c r="CE23" s="557"/>
      <c r="CF23" s="1606"/>
    </row>
    <row r="24" spans="1:84" ht="15" hidden="1" customHeight="1">
      <c r="A24" s="554"/>
      <c r="B24" s="555"/>
      <c r="C24" s="555"/>
      <c r="D24" s="2499"/>
      <c r="E24" s="2495" t="s">
        <v>648</v>
      </c>
      <c r="F24" s="2496"/>
      <c r="G24" s="2497"/>
      <c r="H24" s="2491" t="str">
        <f>IF(A23="","",INDEX(DIFFERENTIATION_UNMERGE_AREA,MATCH(A23,DIFFERENTIATION_ID_DIFF,0)))</f>
        <v>Территория 2</v>
      </c>
      <c r="I24" s="2491"/>
      <c r="J24" s="2491"/>
      <c r="K24" s="2491"/>
      <c r="L24" s="2491"/>
      <c r="M24" s="2491"/>
      <c r="N24" s="2491"/>
      <c r="O24" s="2491"/>
      <c r="P24" s="2491"/>
      <c r="Q24" s="2491"/>
      <c r="R24" s="2491"/>
      <c r="S24" s="637"/>
      <c r="T24" s="634"/>
      <c r="U24" s="556"/>
      <c r="V24" s="556"/>
      <c r="W24" s="557"/>
      <c r="X24" s="557"/>
      <c r="Y24" s="557"/>
      <c r="Z24" s="557"/>
      <c r="AA24" s="558"/>
      <c r="AB24" s="559"/>
      <c r="AC24" s="2494"/>
      <c r="AD24" s="560"/>
      <c r="AE24" s="561"/>
      <c r="AF24" s="561"/>
      <c r="AG24" s="562"/>
      <c r="AH24" s="563"/>
      <c r="AI24" s="556"/>
      <c r="AJ24" s="556"/>
      <c r="AK24" s="556"/>
      <c r="AL24" s="556"/>
      <c r="AM24" s="556"/>
      <c r="AN24" s="556"/>
      <c r="AO24" s="556"/>
      <c r="AP24" s="556"/>
      <c r="AQ24" s="556"/>
      <c r="AR24" s="556"/>
      <c r="AS24" s="556"/>
      <c r="AT24" s="556"/>
      <c r="AU24" s="556"/>
      <c r="AV24" s="556"/>
      <c r="AW24" s="556"/>
      <c r="AX24" s="556"/>
      <c r="AY24" s="556"/>
      <c r="AZ24" s="556"/>
      <c r="BA24" s="556"/>
      <c r="BB24" s="556"/>
      <c r="BC24" s="556"/>
      <c r="BD24" s="556"/>
      <c r="BE24" s="556"/>
      <c r="BF24" s="556"/>
      <c r="BG24" s="556"/>
      <c r="BH24" s="556"/>
      <c r="BI24" s="556"/>
      <c r="BJ24" s="556"/>
      <c r="BK24" s="556"/>
      <c r="BL24" s="556"/>
      <c r="BM24" s="556"/>
      <c r="BN24" s="556"/>
      <c r="BO24" s="556"/>
      <c r="BP24" s="556"/>
      <c r="BQ24" s="556"/>
      <c r="BR24" s="556"/>
      <c r="BS24" s="556"/>
      <c r="BT24" s="556"/>
      <c r="BU24" s="556"/>
      <c r="BV24" s="557"/>
      <c r="BW24" s="557"/>
      <c r="BX24" s="557"/>
      <c r="BY24" s="557"/>
      <c r="BZ24" s="557"/>
      <c r="CA24" s="557"/>
      <c r="CB24" s="557"/>
      <c r="CC24" s="557"/>
      <c r="CD24" s="557"/>
      <c r="CE24" s="557"/>
      <c r="CF24" s="1606"/>
    </row>
    <row r="25" spans="1:84" ht="15" hidden="1" customHeight="1">
      <c r="A25" s="554"/>
      <c r="B25" s="555"/>
      <c r="C25" s="555"/>
      <c r="D25" s="2499"/>
      <c r="E25" s="2495" t="s">
        <v>649</v>
      </c>
      <c r="F25" s="2496"/>
      <c r="G25" s="2497"/>
      <c r="H25" s="2491" t="str">
        <f>IF(A23="","",INDEX(DIFFERENTIATION_UNMERGE_SYSTEM,MATCH(A23,DIFFERENTIATION_ID_DIFF,0)))</f>
        <v>Вяземский филиал</v>
      </c>
      <c r="I25" s="2491"/>
      <c r="J25" s="2491"/>
      <c r="K25" s="2491"/>
      <c r="L25" s="2491"/>
      <c r="M25" s="2491"/>
      <c r="N25" s="2491"/>
      <c r="O25" s="2491"/>
      <c r="P25" s="2491"/>
      <c r="Q25" s="2491"/>
      <c r="R25" s="2491"/>
      <c r="S25" s="637"/>
      <c r="T25" s="634"/>
      <c r="U25" s="556"/>
      <c r="V25" s="556"/>
      <c r="W25" s="557"/>
      <c r="X25" s="557"/>
      <c r="Y25" s="557"/>
      <c r="Z25" s="557"/>
      <c r="AA25" s="558"/>
      <c r="AB25" s="559"/>
      <c r="AC25" s="2494"/>
      <c r="AD25" s="560"/>
      <c r="AE25" s="561"/>
      <c r="AF25" s="561"/>
      <c r="AG25" s="562"/>
      <c r="AH25" s="563"/>
      <c r="AI25" s="556"/>
      <c r="AJ25" s="556"/>
      <c r="AK25" s="556"/>
      <c r="AL25" s="556"/>
      <c r="AM25" s="556"/>
      <c r="AN25" s="556"/>
      <c r="AO25" s="556"/>
      <c r="AP25" s="556"/>
      <c r="AQ25" s="556"/>
      <c r="AR25" s="556"/>
      <c r="AS25" s="556"/>
      <c r="AT25" s="556"/>
      <c r="AU25" s="556"/>
      <c r="AV25" s="556"/>
      <c r="AW25" s="556"/>
      <c r="AX25" s="556"/>
      <c r="AY25" s="556"/>
      <c r="AZ25" s="556"/>
      <c r="BA25" s="556"/>
      <c r="BB25" s="556"/>
      <c r="BC25" s="556"/>
      <c r="BD25" s="556"/>
      <c r="BE25" s="556"/>
      <c r="BF25" s="556"/>
      <c r="BG25" s="556"/>
      <c r="BH25" s="556"/>
      <c r="BI25" s="556"/>
      <c r="BJ25" s="556"/>
      <c r="BK25" s="556"/>
      <c r="BL25" s="556"/>
      <c r="BM25" s="556"/>
      <c r="BN25" s="556"/>
      <c r="BO25" s="556"/>
      <c r="BP25" s="556"/>
      <c r="BQ25" s="556"/>
      <c r="BR25" s="556"/>
      <c r="BS25" s="556"/>
      <c r="BT25" s="556"/>
      <c r="BU25" s="556"/>
      <c r="BV25" s="557"/>
      <c r="BW25" s="557"/>
      <c r="BX25" s="557"/>
      <c r="BY25" s="557"/>
      <c r="BZ25" s="557"/>
      <c r="CA25" s="557"/>
      <c r="CB25" s="557"/>
      <c r="CC25" s="557"/>
      <c r="CD25" s="557"/>
      <c r="CE25" s="557"/>
      <c r="CF25" s="1606"/>
    </row>
    <row r="26" spans="1:84" ht="24.75" hidden="1" customHeight="1">
      <c r="A26" s="1565"/>
      <c r="B26" s="961"/>
      <c r="C26" s="345"/>
      <c r="D26" s="2499"/>
      <c r="E26" s="2493" t="s">
        <v>705</v>
      </c>
      <c r="F26" s="2493"/>
      <c r="G26" s="2493"/>
      <c r="H26" s="2493"/>
      <c r="I26" s="2493"/>
      <c r="J26" s="2493"/>
      <c r="K26" s="2493"/>
      <c r="L26" s="2493"/>
      <c r="M26" s="2493"/>
      <c r="N26" s="2493"/>
      <c r="O26" s="2493"/>
      <c r="P26" s="2493"/>
      <c r="Q26" s="490">
        <f>SUMIF(T27:T28,"i",Q27:Q28)</f>
        <v>0</v>
      </c>
      <c r="R26" s="869"/>
      <c r="S26" s="1557" t="s">
        <v>706</v>
      </c>
      <c r="T26" s="635" t="s">
        <v>707</v>
      </c>
      <c r="U26" s="2399">
        <v>1</v>
      </c>
      <c r="V26" s="2399" t="str">
        <f>INDEX(B_FHD_FLAG_INDEX_1,1,MATCH(A23,B_FHD_FLAG_DIFFERENTIATION,0))</f>
        <v>отсутствует</v>
      </c>
      <c r="W26" s="961"/>
      <c r="X26" s="961"/>
      <c r="Y26" s="961"/>
      <c r="Z26" s="961"/>
      <c r="AA26" s="1424"/>
      <c r="AB26" s="961"/>
      <c r="AC26" s="2494"/>
      <c r="AD26" s="560"/>
      <c r="AE26" s="961"/>
      <c r="AF26" s="961"/>
      <c r="AG26" s="1424"/>
      <c r="AH26" s="1424"/>
      <c r="AI26" s="1424"/>
      <c r="AJ26" s="1424"/>
      <c r="AK26" s="1424"/>
      <c r="AL26" s="1424"/>
      <c r="AM26" s="1424"/>
      <c r="AN26" s="1424"/>
      <c r="AO26" s="1424"/>
      <c r="AP26" s="1424"/>
      <c r="AQ26" s="1424"/>
      <c r="AR26" s="1424"/>
      <c r="AS26" s="1424"/>
      <c r="AT26" s="1424"/>
      <c r="AU26" s="1424"/>
      <c r="AV26" s="1424"/>
      <c r="AW26" s="1424"/>
      <c r="AX26" s="1424"/>
      <c r="AY26" s="1424"/>
      <c r="AZ26" s="1424"/>
      <c r="BA26" s="1424"/>
      <c r="BB26" s="1424"/>
      <c r="BC26" s="1424"/>
      <c r="BD26" s="1424"/>
      <c r="BE26" s="1424"/>
      <c r="BF26" s="1424"/>
      <c r="BG26" s="1424"/>
      <c r="BH26" s="1424"/>
      <c r="BI26" s="1424"/>
      <c r="BJ26" s="1424"/>
      <c r="BK26" s="1424"/>
      <c r="BL26" s="1424"/>
      <c r="BM26" s="1424"/>
      <c r="BN26" s="1424"/>
      <c r="BO26" s="1424"/>
      <c r="BP26" s="1424"/>
      <c r="BQ26" s="1424"/>
      <c r="BR26" s="1424"/>
      <c r="BS26" s="1424"/>
      <c r="BT26" s="1424"/>
      <c r="BU26" s="1424"/>
      <c r="BV26" s="961"/>
      <c r="BW26" s="961"/>
      <c r="BX26" s="961"/>
      <c r="BY26" s="961"/>
      <c r="BZ26" s="961"/>
      <c r="CA26" s="961"/>
      <c r="CB26" s="961"/>
      <c r="CC26" s="961"/>
      <c r="CD26" s="961"/>
      <c r="CE26" s="961"/>
      <c r="CF26" s="1606"/>
    </row>
    <row r="27" spans="1:84" ht="11.25" hidden="1" customHeight="1">
      <c r="A27" s="1552"/>
      <c r="B27" s="1424"/>
      <c r="C27" s="1424"/>
      <c r="D27" s="2499"/>
      <c r="E27" s="566"/>
      <c r="F27" s="566">
        <v>0</v>
      </c>
      <c r="G27" s="566"/>
      <c r="H27" s="566"/>
      <c r="I27" s="566"/>
      <c r="J27" s="566"/>
      <c r="K27" s="566"/>
      <c r="L27" s="566"/>
      <c r="M27" s="566"/>
      <c r="N27" s="566"/>
      <c r="O27" s="566"/>
      <c r="P27" s="566"/>
      <c r="Q27" s="566"/>
      <c r="R27" s="566"/>
      <c r="S27" s="567"/>
      <c r="T27" s="636"/>
      <c r="U27" s="2399"/>
      <c r="V27" s="2399"/>
      <c r="W27" s="1424"/>
      <c r="X27" s="1424"/>
      <c r="Y27" s="1424"/>
      <c r="Z27" s="1424"/>
      <c r="AA27" s="1424"/>
      <c r="AB27" s="961"/>
      <c r="AC27" s="2494"/>
      <c r="AD27" s="560"/>
      <c r="AE27" s="961"/>
      <c r="AF27" s="961"/>
      <c r="AG27" s="1424"/>
      <c r="AH27" s="1424"/>
      <c r="AI27" s="1424"/>
      <c r="AJ27" s="1424"/>
      <c r="AK27" s="1424"/>
      <c r="AL27" s="1424"/>
      <c r="AM27" s="1424"/>
      <c r="AN27" s="1424"/>
      <c r="AO27" s="1424"/>
      <c r="AP27" s="1424"/>
      <c r="AQ27" s="1424"/>
      <c r="AR27" s="1424"/>
      <c r="AS27" s="1424"/>
      <c r="AT27" s="1424"/>
      <c r="AU27" s="1424"/>
      <c r="AV27" s="1424"/>
      <c r="AW27" s="1424"/>
      <c r="AX27" s="1424"/>
      <c r="AY27" s="1424"/>
      <c r="AZ27" s="1424"/>
      <c r="BA27" s="1424"/>
      <c r="BB27" s="1424"/>
      <c r="BC27" s="1424"/>
      <c r="BD27" s="1424"/>
      <c r="BE27" s="1424"/>
      <c r="BF27" s="1424"/>
      <c r="BG27" s="1424"/>
      <c r="BH27" s="1424"/>
      <c r="BI27" s="1424"/>
      <c r="BJ27" s="1424"/>
      <c r="BK27" s="1424"/>
      <c r="BL27" s="1424"/>
      <c r="BM27" s="1424"/>
      <c r="BN27" s="1424"/>
      <c r="BO27" s="1424"/>
      <c r="BP27" s="1424"/>
      <c r="BQ27" s="1424"/>
      <c r="BR27" s="1424"/>
      <c r="BS27" s="1424"/>
      <c r="BT27" s="1424"/>
      <c r="BU27" s="1424"/>
      <c r="BV27" s="1424"/>
      <c r="BW27" s="1424"/>
      <c r="BX27" s="1424"/>
      <c r="BY27" s="1424"/>
      <c r="BZ27" s="1424"/>
      <c r="CA27" s="1424"/>
      <c r="CB27" s="1424"/>
      <c r="CC27" s="1424"/>
      <c r="CD27" s="1424"/>
      <c r="CE27" s="1424"/>
      <c r="CF27" s="1606"/>
    </row>
    <row r="28" spans="1:84" ht="11.25" hidden="1" customHeight="1">
      <c r="A28" s="1565"/>
      <c r="B28" s="961"/>
      <c r="C28" s="345"/>
      <c r="D28" s="2499"/>
      <c r="E28" s="580" t="s">
        <v>9</v>
      </c>
      <c r="F28" s="969" t="s">
        <v>9</v>
      </c>
      <c r="G28" s="969" t="s">
        <v>710</v>
      </c>
      <c r="H28" s="582" t="s">
        <v>9</v>
      </c>
      <c r="I28" s="582"/>
      <c r="J28" s="582"/>
      <c r="K28" s="582"/>
      <c r="L28" s="582"/>
      <c r="M28" s="582"/>
      <c r="N28" s="582"/>
      <c r="O28" s="582"/>
      <c r="P28" s="582"/>
      <c r="Q28" s="582"/>
      <c r="R28" s="583"/>
      <c r="S28" s="584"/>
      <c r="T28" s="636"/>
      <c r="U28" s="2399"/>
      <c r="V28" s="2399"/>
      <c r="W28" s="961"/>
      <c r="X28" s="961"/>
      <c r="Y28" s="961"/>
      <c r="Z28" s="961"/>
      <c r="AA28" s="1424"/>
      <c r="AB28" s="961"/>
      <c r="AC28" s="2494"/>
      <c r="AD28" s="560"/>
      <c r="AE28" s="961"/>
      <c r="AF28" s="961"/>
      <c r="AG28" s="1424"/>
      <c r="AH28" s="1424"/>
      <c r="AI28" s="1424"/>
      <c r="AJ28" s="1424"/>
      <c r="AK28" s="1424"/>
      <c r="AL28" s="1424"/>
      <c r="AM28" s="1424"/>
      <c r="AN28" s="1424"/>
      <c r="AO28" s="1424"/>
      <c r="AP28" s="1424"/>
      <c r="AQ28" s="1424"/>
      <c r="AR28" s="1424"/>
      <c r="AS28" s="1424"/>
      <c r="AT28" s="1424"/>
      <c r="AU28" s="1424"/>
      <c r="AV28" s="1424"/>
      <c r="AW28" s="1424"/>
      <c r="AX28" s="1424"/>
      <c r="AY28" s="1424"/>
      <c r="AZ28" s="1424"/>
      <c r="BA28" s="1424"/>
      <c r="BB28" s="1424"/>
      <c r="BC28" s="1424"/>
      <c r="BD28" s="1424"/>
      <c r="BE28" s="1424"/>
      <c r="BF28" s="1424"/>
      <c r="BG28" s="1424"/>
      <c r="BH28" s="1424"/>
      <c r="BI28" s="1424"/>
      <c r="BJ28" s="1424"/>
      <c r="BK28" s="1424"/>
      <c r="BL28" s="1424"/>
      <c r="BM28" s="1424"/>
      <c r="BN28" s="1424"/>
      <c r="BO28" s="1424"/>
      <c r="BP28" s="1424"/>
      <c r="BQ28" s="1424"/>
      <c r="BR28" s="1424"/>
      <c r="BS28" s="1424"/>
      <c r="BT28" s="1424"/>
      <c r="BU28" s="1424"/>
      <c r="BV28" s="961"/>
      <c r="BW28" s="961"/>
      <c r="BX28" s="961"/>
      <c r="BY28" s="961"/>
      <c r="BZ28" s="961"/>
      <c r="CA28" s="961"/>
      <c r="CB28" s="961"/>
      <c r="CC28" s="961"/>
      <c r="CD28" s="961"/>
      <c r="CE28" s="961"/>
      <c r="CF28" s="1606"/>
    </row>
    <row r="29" spans="1:84" ht="5.25" hidden="1" customHeight="1">
      <c r="A29" s="1552"/>
      <c r="B29" s="1424"/>
      <c r="C29" s="1424"/>
      <c r="D29" s="2499"/>
      <c r="E29" s="878"/>
      <c r="F29" s="878"/>
      <c r="G29" s="878"/>
      <c r="H29" s="878"/>
      <c r="I29" s="878"/>
      <c r="J29" s="878"/>
      <c r="K29" s="878"/>
      <c r="L29" s="878"/>
      <c r="M29" s="878"/>
      <c r="N29" s="878"/>
      <c r="O29" s="878"/>
      <c r="P29" s="878"/>
      <c r="Q29" s="879"/>
      <c r="R29" s="880"/>
      <c r="S29" s="881"/>
      <c r="T29" s="635" t="s">
        <v>707</v>
      </c>
      <c r="U29" s="2399">
        <v>1</v>
      </c>
      <c r="V29" s="2399" t="s">
        <v>664</v>
      </c>
      <c r="W29" s="1424"/>
      <c r="X29" s="1424"/>
      <c r="Y29" s="1424"/>
      <c r="Z29" s="1424"/>
      <c r="AA29" s="1424"/>
      <c r="AB29" s="1424"/>
      <c r="AC29" s="876"/>
      <c r="AD29" s="877"/>
      <c r="AE29" s="1424"/>
      <c r="AF29" s="1424"/>
      <c r="AG29" s="1424"/>
      <c r="AH29" s="1424"/>
      <c r="AI29" s="1424"/>
      <c r="AJ29" s="1424"/>
      <c r="AK29" s="1424"/>
      <c r="AL29" s="1424"/>
      <c r="AM29" s="1424"/>
      <c r="AN29" s="1424"/>
      <c r="AO29" s="1424"/>
      <c r="AP29" s="1424"/>
      <c r="AQ29" s="1424"/>
      <c r="AR29" s="1424"/>
      <c r="AS29" s="1424"/>
      <c r="AT29" s="1424"/>
      <c r="AU29" s="1424"/>
      <c r="AV29" s="1424"/>
      <c r="AW29" s="1424"/>
      <c r="AX29" s="1424"/>
      <c r="AY29" s="1424"/>
      <c r="AZ29" s="1424"/>
      <c r="BA29" s="1424"/>
      <c r="BB29" s="1424"/>
      <c r="BC29" s="1424"/>
      <c r="BD29" s="1424"/>
      <c r="BE29" s="1424"/>
      <c r="BF29" s="1424"/>
      <c r="BG29" s="1424"/>
      <c r="BH29" s="1424"/>
      <c r="BI29" s="1424"/>
      <c r="BJ29" s="1424"/>
      <c r="BK29" s="1424"/>
      <c r="BL29" s="1424"/>
      <c r="BM29" s="1424"/>
      <c r="BN29" s="1424"/>
      <c r="BO29" s="1424"/>
      <c r="BP29" s="1424"/>
      <c r="BQ29" s="1424"/>
      <c r="BR29" s="1424"/>
      <c r="BS29" s="1424"/>
      <c r="BT29" s="1424"/>
      <c r="BU29" s="1424"/>
      <c r="BV29" s="1424"/>
      <c r="BW29" s="1424"/>
      <c r="BX29" s="1424"/>
      <c r="BY29" s="1424"/>
      <c r="BZ29" s="1424"/>
      <c r="CA29" s="1424"/>
      <c r="CB29" s="1424"/>
      <c r="CC29" s="1424"/>
      <c r="CD29" s="1424"/>
      <c r="CE29" s="1424"/>
      <c r="CF29" s="1104"/>
    </row>
    <row r="30" spans="1:84" ht="5.25" hidden="1" customHeight="1">
      <c r="A30" s="1552"/>
      <c r="B30" s="1424"/>
      <c r="C30" s="1424"/>
      <c r="D30" s="2499"/>
      <c r="E30" s="566"/>
      <c r="F30" s="566"/>
      <c r="G30" s="566"/>
      <c r="H30" s="566"/>
      <c r="I30" s="566"/>
      <c r="J30" s="566"/>
      <c r="K30" s="566"/>
      <c r="L30" s="566"/>
      <c r="M30" s="566"/>
      <c r="N30" s="566"/>
      <c r="O30" s="566"/>
      <c r="P30" s="566"/>
      <c r="Q30" s="566"/>
      <c r="R30" s="566"/>
      <c r="S30" s="567"/>
      <c r="T30" s="636"/>
      <c r="U30" s="2399"/>
      <c r="V30" s="2399"/>
      <c r="W30" s="1424"/>
      <c r="X30" s="1424"/>
      <c r="Y30" s="1424"/>
      <c r="Z30" s="1424"/>
      <c r="AA30" s="1424"/>
      <c r="AB30" s="1424"/>
      <c r="AC30" s="876"/>
      <c r="AD30" s="877"/>
      <c r="AE30" s="1424"/>
      <c r="AF30" s="1424"/>
      <c r="AG30" s="1424"/>
      <c r="AH30" s="1424"/>
      <c r="AI30" s="1424"/>
      <c r="AJ30" s="1424"/>
      <c r="AK30" s="1424"/>
      <c r="AL30" s="1424"/>
      <c r="AM30" s="1424"/>
      <c r="AN30" s="1424"/>
      <c r="AO30" s="1424"/>
      <c r="AP30" s="1424"/>
      <c r="AQ30" s="1424"/>
      <c r="AR30" s="1424"/>
      <c r="AS30" s="1424"/>
      <c r="AT30" s="1424"/>
      <c r="AU30" s="1424"/>
      <c r="AV30" s="1424"/>
      <c r="AW30" s="1424"/>
      <c r="AX30" s="1424"/>
      <c r="AY30" s="1424"/>
      <c r="AZ30" s="1424"/>
      <c r="BA30" s="1424"/>
      <c r="BB30" s="1424"/>
      <c r="BC30" s="1424"/>
      <c r="BD30" s="1424"/>
      <c r="BE30" s="1424"/>
      <c r="BF30" s="1424"/>
      <c r="BG30" s="1424"/>
      <c r="BH30" s="1424"/>
      <c r="BI30" s="1424"/>
      <c r="BJ30" s="1424"/>
      <c r="BK30" s="1424"/>
      <c r="BL30" s="1424"/>
      <c r="BM30" s="1424"/>
      <c r="BN30" s="1424"/>
      <c r="BO30" s="1424"/>
      <c r="BP30" s="1424"/>
      <c r="BQ30" s="1424"/>
      <c r="BR30" s="1424"/>
      <c r="BS30" s="1424"/>
      <c r="BT30" s="1424"/>
      <c r="BU30" s="1424"/>
      <c r="BV30" s="1424"/>
      <c r="BW30" s="1424"/>
      <c r="BX30" s="1424"/>
      <c r="BY30" s="1424"/>
      <c r="BZ30" s="1424"/>
      <c r="CA30" s="1424"/>
      <c r="CB30" s="1424"/>
      <c r="CC30" s="1424"/>
      <c r="CD30" s="1424"/>
      <c r="CE30" s="1424"/>
      <c r="CF30" s="1104"/>
    </row>
    <row r="31" spans="1:84" ht="5.25" hidden="1" customHeight="1">
      <c r="A31" s="1552"/>
      <c r="B31" s="1424"/>
      <c r="C31" s="1424"/>
      <c r="D31" s="2500"/>
      <c r="E31" s="882"/>
      <c r="F31" s="883"/>
      <c r="G31" s="883"/>
      <c r="H31" s="884"/>
      <c r="I31" s="884"/>
      <c r="J31" s="884"/>
      <c r="K31" s="884"/>
      <c r="L31" s="884"/>
      <c r="M31" s="884"/>
      <c r="N31" s="884"/>
      <c r="O31" s="884"/>
      <c r="P31" s="884"/>
      <c r="Q31" s="884"/>
      <c r="R31" s="806"/>
      <c r="S31" s="885"/>
      <c r="T31" s="636"/>
      <c r="U31" s="2399"/>
      <c r="V31" s="2399"/>
      <c r="W31" s="1424"/>
      <c r="X31" s="1424"/>
      <c r="Y31" s="1424"/>
      <c r="Z31" s="1424"/>
      <c r="AA31" s="1424"/>
      <c r="AB31" s="1424"/>
      <c r="AC31" s="876"/>
      <c r="AD31" s="877"/>
      <c r="AE31" s="1424"/>
      <c r="AF31" s="1424"/>
      <c r="AG31" s="1424"/>
      <c r="AH31" s="1424"/>
      <c r="AI31" s="1424"/>
      <c r="AJ31" s="1424"/>
      <c r="AK31" s="1424"/>
      <c r="AL31" s="1424"/>
      <c r="AM31" s="1424"/>
      <c r="AN31" s="1424"/>
      <c r="AO31" s="1424"/>
      <c r="AP31" s="1424"/>
      <c r="AQ31" s="1424"/>
      <c r="AR31" s="1424"/>
      <c r="AS31" s="1424"/>
      <c r="AT31" s="1424"/>
      <c r="AU31" s="1424"/>
      <c r="AV31" s="1424"/>
      <c r="AW31" s="1424"/>
      <c r="AX31" s="1424"/>
      <c r="AY31" s="1424"/>
      <c r="AZ31" s="1424"/>
      <c r="BA31" s="1424"/>
      <c r="BB31" s="1424"/>
      <c r="BC31" s="1424"/>
      <c r="BD31" s="1424"/>
      <c r="BE31" s="1424"/>
      <c r="BF31" s="1424"/>
      <c r="BG31" s="1424"/>
      <c r="BH31" s="1424"/>
      <c r="BI31" s="1424"/>
      <c r="BJ31" s="1424"/>
      <c r="BK31" s="1424"/>
      <c r="BL31" s="1424"/>
      <c r="BM31" s="1424"/>
      <c r="BN31" s="1424"/>
      <c r="BO31" s="1424"/>
      <c r="BP31" s="1424"/>
      <c r="BQ31" s="1424"/>
      <c r="BR31" s="1424"/>
      <c r="BS31" s="1424"/>
      <c r="BT31" s="1424"/>
      <c r="BU31" s="1424"/>
      <c r="BV31" s="1424"/>
      <c r="BW31" s="1424"/>
      <c r="BX31" s="1424"/>
      <c r="BY31" s="1424"/>
      <c r="BZ31" s="1424"/>
      <c r="CA31" s="1424"/>
      <c r="CB31" s="1424"/>
      <c r="CC31" s="1424"/>
      <c r="CD31" s="1424"/>
      <c r="CE31" s="1424"/>
      <c r="CF31" s="1104"/>
    </row>
    <row r="32" spans="1:84" ht="15" hidden="1" customHeight="1">
      <c r="A32" s="554" t="s">
        <v>174</v>
      </c>
      <c r="B32" s="555"/>
      <c r="C32" s="555" t="s">
        <v>9</v>
      </c>
      <c r="D32" s="2498" t="s">
        <v>711</v>
      </c>
      <c r="E32" s="2495" t="s">
        <v>157</v>
      </c>
      <c r="F32" s="2496"/>
      <c r="G32" s="2497"/>
      <c r="H32" s="2491" t="str">
        <f>IF(A32="","",INDEX(DIFFERENTIATION_UNMERGE_VD,MATCH(A32,DIFFERENTIATION_ID_DIFF,0)))</f>
        <v>Производство тепловой энергии. Некомбинированная выработка; Передача. Тепловая энергия; Сбыт. Тепловая энергия</v>
      </c>
      <c r="I32" s="2491"/>
      <c r="J32" s="2491"/>
      <c r="K32" s="2491"/>
      <c r="L32" s="2491"/>
      <c r="M32" s="2491"/>
      <c r="N32" s="2491"/>
      <c r="O32" s="2491"/>
      <c r="P32" s="2491"/>
      <c r="Q32" s="2491"/>
      <c r="R32" s="2491"/>
      <c r="S32" s="637"/>
      <c r="T32" s="634"/>
      <c r="U32" s="556"/>
      <c r="V32" s="556"/>
      <c r="W32" s="557"/>
      <c r="X32" s="557"/>
      <c r="Y32" s="557"/>
      <c r="Z32" s="557"/>
      <c r="AA32" s="558"/>
      <c r="AB32" s="559"/>
      <c r="AC32" s="2494"/>
      <c r="AD32" s="560"/>
      <c r="AE32" s="561" t="s">
        <v>9</v>
      </c>
      <c r="AF32" s="561"/>
      <c r="AG32" s="562" t="s">
        <v>704</v>
      </c>
      <c r="AH32" s="563">
        <v>3</v>
      </c>
      <c r="AI32" s="556"/>
      <c r="AJ32" s="556"/>
      <c r="AK32" s="556"/>
      <c r="AL32" s="556"/>
      <c r="AM32" s="556"/>
      <c r="AN32" s="556"/>
      <c r="AO32" s="556"/>
      <c r="AP32" s="556"/>
      <c r="AQ32" s="556"/>
      <c r="AR32" s="556"/>
      <c r="AS32" s="556"/>
      <c r="AT32" s="556"/>
      <c r="AU32" s="556"/>
      <c r="AV32" s="556"/>
      <c r="AW32" s="556"/>
      <c r="AX32" s="556"/>
      <c r="AY32" s="556"/>
      <c r="AZ32" s="556"/>
      <c r="BA32" s="556"/>
      <c r="BB32" s="556"/>
      <c r="BC32" s="556"/>
      <c r="BD32" s="556"/>
      <c r="BE32" s="556"/>
      <c r="BF32" s="556"/>
      <c r="BG32" s="556"/>
      <c r="BH32" s="556"/>
      <c r="BI32" s="556"/>
      <c r="BJ32" s="556"/>
      <c r="BK32" s="556"/>
      <c r="BL32" s="556"/>
      <c r="BM32" s="556"/>
      <c r="BN32" s="556"/>
      <c r="BO32" s="556"/>
      <c r="BP32" s="556"/>
      <c r="BQ32" s="556"/>
      <c r="BR32" s="556"/>
      <c r="BS32" s="556"/>
      <c r="BT32" s="556"/>
      <c r="BU32" s="556"/>
      <c r="BV32" s="557"/>
      <c r="BW32" s="557"/>
      <c r="BX32" s="557"/>
      <c r="BY32" s="557"/>
      <c r="BZ32" s="557"/>
      <c r="CA32" s="557"/>
      <c r="CB32" s="557"/>
      <c r="CC32" s="557"/>
      <c r="CD32" s="557"/>
      <c r="CE32" s="557"/>
      <c r="CF32" s="1606"/>
    </row>
    <row r="33" spans="1:84" ht="15" hidden="1" customHeight="1">
      <c r="A33" s="554"/>
      <c r="B33" s="555"/>
      <c r="C33" s="555"/>
      <c r="D33" s="2499"/>
      <c r="E33" s="2495" t="s">
        <v>648</v>
      </c>
      <c r="F33" s="2496"/>
      <c r="G33" s="2497"/>
      <c r="H33" s="2491" t="str">
        <f>IF(A32="","",INDEX(DIFFERENTIATION_UNMERGE_AREA,MATCH(A32,DIFFERENTIATION_ID_DIFF,0)))</f>
        <v>Территория 3</v>
      </c>
      <c r="I33" s="2491"/>
      <c r="J33" s="2491"/>
      <c r="K33" s="2491"/>
      <c r="L33" s="2491"/>
      <c r="M33" s="2491"/>
      <c r="N33" s="2491"/>
      <c r="O33" s="2491"/>
      <c r="P33" s="2491"/>
      <c r="Q33" s="2491"/>
      <c r="R33" s="2491"/>
      <c r="S33" s="637"/>
      <c r="T33" s="634"/>
      <c r="U33" s="556"/>
      <c r="V33" s="556"/>
      <c r="W33" s="557"/>
      <c r="X33" s="557"/>
      <c r="Y33" s="557"/>
      <c r="Z33" s="557"/>
      <c r="AA33" s="558"/>
      <c r="AB33" s="559"/>
      <c r="AC33" s="2494"/>
      <c r="AD33" s="560"/>
      <c r="AE33" s="561"/>
      <c r="AF33" s="561"/>
      <c r="AG33" s="562"/>
      <c r="AH33" s="563"/>
      <c r="AI33" s="556"/>
      <c r="AJ33" s="556"/>
      <c r="AK33" s="556"/>
      <c r="AL33" s="556"/>
      <c r="AM33" s="556"/>
      <c r="AN33" s="556"/>
      <c r="AO33" s="556"/>
      <c r="AP33" s="556"/>
      <c r="AQ33" s="556"/>
      <c r="AR33" s="556"/>
      <c r="AS33" s="556"/>
      <c r="AT33" s="556"/>
      <c r="AU33" s="556"/>
      <c r="AV33" s="556"/>
      <c r="AW33" s="556"/>
      <c r="AX33" s="556"/>
      <c r="AY33" s="556"/>
      <c r="AZ33" s="556"/>
      <c r="BA33" s="556"/>
      <c r="BB33" s="556"/>
      <c r="BC33" s="556"/>
      <c r="BD33" s="556"/>
      <c r="BE33" s="556"/>
      <c r="BF33" s="556"/>
      <c r="BG33" s="556"/>
      <c r="BH33" s="556"/>
      <c r="BI33" s="556"/>
      <c r="BJ33" s="556"/>
      <c r="BK33" s="556"/>
      <c r="BL33" s="556"/>
      <c r="BM33" s="556"/>
      <c r="BN33" s="556"/>
      <c r="BO33" s="556"/>
      <c r="BP33" s="556"/>
      <c r="BQ33" s="556"/>
      <c r="BR33" s="556"/>
      <c r="BS33" s="556"/>
      <c r="BT33" s="556"/>
      <c r="BU33" s="556"/>
      <c r="BV33" s="557"/>
      <c r="BW33" s="557"/>
      <c r="BX33" s="557"/>
      <c r="BY33" s="557"/>
      <c r="BZ33" s="557"/>
      <c r="CA33" s="557"/>
      <c r="CB33" s="557"/>
      <c r="CC33" s="557"/>
      <c r="CD33" s="557"/>
      <c r="CE33" s="557"/>
      <c r="CF33" s="1606"/>
    </row>
    <row r="34" spans="1:84" ht="15" hidden="1" customHeight="1">
      <c r="A34" s="554"/>
      <c r="B34" s="555"/>
      <c r="C34" s="555"/>
      <c r="D34" s="2499"/>
      <c r="E34" s="2495" t="s">
        <v>649</v>
      </c>
      <c r="F34" s="2496"/>
      <c r="G34" s="2497"/>
      <c r="H34" s="2491" t="str">
        <f>IF(A32="","",INDEX(DIFFERENTIATION_UNMERGE_SYSTEM,MATCH(A32,DIFFERENTIATION_ID_DIFF,0)))</f>
        <v>котельная с. Карманово, ул. Набережная, д. 18, стр. 3</v>
      </c>
      <c r="I34" s="2491"/>
      <c r="J34" s="2491"/>
      <c r="K34" s="2491"/>
      <c r="L34" s="2491"/>
      <c r="M34" s="2491"/>
      <c r="N34" s="2491"/>
      <c r="O34" s="2491"/>
      <c r="P34" s="2491"/>
      <c r="Q34" s="2491"/>
      <c r="R34" s="2491"/>
      <c r="S34" s="637"/>
      <c r="T34" s="634"/>
      <c r="U34" s="556"/>
      <c r="V34" s="556"/>
      <c r="W34" s="557"/>
      <c r="X34" s="557"/>
      <c r="Y34" s="557"/>
      <c r="Z34" s="557"/>
      <c r="AA34" s="558"/>
      <c r="AB34" s="559"/>
      <c r="AC34" s="2494"/>
      <c r="AD34" s="560"/>
      <c r="AE34" s="561"/>
      <c r="AF34" s="561"/>
      <c r="AG34" s="562"/>
      <c r="AH34" s="563"/>
      <c r="AI34" s="556"/>
      <c r="AJ34" s="556"/>
      <c r="AK34" s="556"/>
      <c r="AL34" s="556"/>
      <c r="AM34" s="556"/>
      <c r="AN34" s="556"/>
      <c r="AO34" s="556"/>
      <c r="AP34" s="556"/>
      <c r="AQ34" s="556"/>
      <c r="AR34" s="556"/>
      <c r="AS34" s="556"/>
      <c r="AT34" s="556"/>
      <c r="AU34" s="556"/>
      <c r="AV34" s="556"/>
      <c r="AW34" s="556"/>
      <c r="AX34" s="556"/>
      <c r="AY34" s="556"/>
      <c r="AZ34" s="556"/>
      <c r="BA34" s="556"/>
      <c r="BB34" s="556"/>
      <c r="BC34" s="556"/>
      <c r="BD34" s="556"/>
      <c r="BE34" s="556"/>
      <c r="BF34" s="556"/>
      <c r="BG34" s="556"/>
      <c r="BH34" s="556"/>
      <c r="BI34" s="556"/>
      <c r="BJ34" s="556"/>
      <c r="BK34" s="556"/>
      <c r="BL34" s="556"/>
      <c r="BM34" s="556"/>
      <c r="BN34" s="556"/>
      <c r="BO34" s="556"/>
      <c r="BP34" s="556"/>
      <c r="BQ34" s="556"/>
      <c r="BR34" s="556"/>
      <c r="BS34" s="556"/>
      <c r="BT34" s="556"/>
      <c r="BU34" s="556"/>
      <c r="BV34" s="557"/>
      <c r="BW34" s="557"/>
      <c r="BX34" s="557"/>
      <c r="BY34" s="557"/>
      <c r="BZ34" s="557"/>
      <c r="CA34" s="557"/>
      <c r="CB34" s="557"/>
      <c r="CC34" s="557"/>
      <c r="CD34" s="557"/>
      <c r="CE34" s="557"/>
      <c r="CF34" s="1606"/>
    </row>
    <row r="35" spans="1:84" ht="24.75" hidden="1" customHeight="1">
      <c r="A35" s="1565"/>
      <c r="B35" s="961"/>
      <c r="C35" s="345"/>
      <c r="D35" s="2499"/>
      <c r="E35" s="2493" t="s">
        <v>705</v>
      </c>
      <c r="F35" s="2493"/>
      <c r="G35" s="2493"/>
      <c r="H35" s="2493"/>
      <c r="I35" s="2493"/>
      <c r="J35" s="2493"/>
      <c r="K35" s="2493"/>
      <c r="L35" s="2493"/>
      <c r="M35" s="2493"/>
      <c r="N35" s="2493"/>
      <c r="O35" s="2493"/>
      <c r="P35" s="2493"/>
      <c r="Q35" s="490">
        <f>SUMIF(T36:T37,"i",Q36:Q37)</f>
        <v>0</v>
      </c>
      <c r="R35" s="869"/>
      <c r="S35" s="1557" t="s">
        <v>706</v>
      </c>
      <c r="T35" s="635" t="s">
        <v>707</v>
      </c>
      <c r="U35" s="2399">
        <v>1</v>
      </c>
      <c r="V35" s="2399" t="str">
        <f>INDEX(B_FHD_FLAG_INDEX_1,1,MATCH(A32,B_FHD_FLAG_DIFFERENTIATION,0))</f>
        <v>отсутствует</v>
      </c>
      <c r="W35" s="961"/>
      <c r="X35" s="961"/>
      <c r="Y35" s="961"/>
      <c r="Z35" s="961"/>
      <c r="AA35" s="1424"/>
      <c r="AB35" s="961"/>
      <c r="AC35" s="2494"/>
      <c r="AD35" s="560"/>
      <c r="AE35" s="961"/>
      <c r="AF35" s="961"/>
      <c r="AG35" s="1424"/>
      <c r="AH35" s="1424"/>
      <c r="AI35" s="1424"/>
      <c r="AJ35" s="1424"/>
      <c r="AK35" s="1424"/>
      <c r="AL35" s="1424"/>
      <c r="AM35" s="1424"/>
      <c r="AN35" s="1424"/>
      <c r="AO35" s="1424"/>
      <c r="AP35" s="1424"/>
      <c r="AQ35" s="1424"/>
      <c r="AR35" s="1424"/>
      <c r="AS35" s="1424"/>
      <c r="AT35" s="1424"/>
      <c r="AU35" s="1424"/>
      <c r="AV35" s="1424"/>
      <c r="AW35" s="1424"/>
      <c r="AX35" s="1424"/>
      <c r="AY35" s="1424"/>
      <c r="AZ35" s="1424"/>
      <c r="BA35" s="1424"/>
      <c r="BB35" s="1424"/>
      <c r="BC35" s="1424"/>
      <c r="BD35" s="1424"/>
      <c r="BE35" s="1424"/>
      <c r="BF35" s="1424"/>
      <c r="BG35" s="1424"/>
      <c r="BH35" s="1424"/>
      <c r="BI35" s="1424"/>
      <c r="BJ35" s="1424"/>
      <c r="BK35" s="1424"/>
      <c r="BL35" s="1424"/>
      <c r="BM35" s="1424"/>
      <c r="BN35" s="1424"/>
      <c r="BO35" s="1424"/>
      <c r="BP35" s="1424"/>
      <c r="BQ35" s="1424"/>
      <c r="BR35" s="1424"/>
      <c r="BS35" s="1424"/>
      <c r="BT35" s="1424"/>
      <c r="BU35" s="1424"/>
      <c r="BV35" s="961"/>
      <c r="BW35" s="961"/>
      <c r="BX35" s="961"/>
      <c r="BY35" s="961"/>
      <c r="BZ35" s="961"/>
      <c r="CA35" s="961"/>
      <c r="CB35" s="961"/>
      <c r="CC35" s="961"/>
      <c r="CD35" s="961"/>
      <c r="CE35" s="961"/>
      <c r="CF35" s="1606"/>
    </row>
    <row r="36" spans="1:84" ht="11.25" hidden="1" customHeight="1">
      <c r="A36" s="1552"/>
      <c r="B36" s="1424"/>
      <c r="C36" s="1424"/>
      <c r="D36" s="2499"/>
      <c r="E36" s="566"/>
      <c r="F36" s="566">
        <v>0</v>
      </c>
      <c r="G36" s="566"/>
      <c r="H36" s="566"/>
      <c r="I36" s="566"/>
      <c r="J36" s="566"/>
      <c r="K36" s="566"/>
      <c r="L36" s="566"/>
      <c r="M36" s="566"/>
      <c r="N36" s="566"/>
      <c r="O36" s="566"/>
      <c r="P36" s="566"/>
      <c r="Q36" s="566"/>
      <c r="R36" s="566"/>
      <c r="S36" s="567"/>
      <c r="T36" s="636"/>
      <c r="U36" s="2399"/>
      <c r="V36" s="2399"/>
      <c r="W36" s="1424"/>
      <c r="X36" s="1424"/>
      <c r="Y36" s="1424"/>
      <c r="Z36" s="1424"/>
      <c r="AA36" s="1424"/>
      <c r="AB36" s="961"/>
      <c r="AC36" s="2494"/>
      <c r="AD36" s="560"/>
      <c r="AE36" s="961"/>
      <c r="AF36" s="961"/>
      <c r="AG36" s="1424"/>
      <c r="AH36" s="1424"/>
      <c r="AI36" s="1424"/>
      <c r="AJ36" s="1424"/>
      <c r="AK36" s="1424"/>
      <c r="AL36" s="1424"/>
      <c r="AM36" s="1424"/>
      <c r="AN36" s="1424"/>
      <c r="AO36" s="1424"/>
      <c r="AP36" s="1424"/>
      <c r="AQ36" s="1424"/>
      <c r="AR36" s="1424"/>
      <c r="AS36" s="1424"/>
      <c r="AT36" s="1424"/>
      <c r="AU36" s="1424"/>
      <c r="AV36" s="1424"/>
      <c r="AW36" s="1424"/>
      <c r="AX36" s="1424"/>
      <c r="AY36" s="1424"/>
      <c r="AZ36" s="1424"/>
      <c r="BA36" s="1424"/>
      <c r="BB36" s="1424"/>
      <c r="BC36" s="1424"/>
      <c r="BD36" s="1424"/>
      <c r="BE36" s="1424"/>
      <c r="BF36" s="1424"/>
      <c r="BG36" s="1424"/>
      <c r="BH36" s="1424"/>
      <c r="BI36" s="1424"/>
      <c r="BJ36" s="1424"/>
      <c r="BK36" s="1424"/>
      <c r="BL36" s="1424"/>
      <c r="BM36" s="1424"/>
      <c r="BN36" s="1424"/>
      <c r="BO36" s="1424"/>
      <c r="BP36" s="1424"/>
      <c r="BQ36" s="1424"/>
      <c r="BR36" s="1424"/>
      <c r="BS36" s="1424"/>
      <c r="BT36" s="1424"/>
      <c r="BU36" s="1424"/>
      <c r="BV36" s="1424"/>
      <c r="BW36" s="1424"/>
      <c r="BX36" s="1424"/>
      <c r="BY36" s="1424"/>
      <c r="BZ36" s="1424"/>
      <c r="CA36" s="1424"/>
      <c r="CB36" s="1424"/>
      <c r="CC36" s="1424"/>
      <c r="CD36" s="1424"/>
      <c r="CE36" s="1424"/>
      <c r="CF36" s="1606"/>
    </row>
    <row r="37" spans="1:84" ht="11.25" hidden="1" customHeight="1">
      <c r="A37" s="1565"/>
      <c r="B37" s="961"/>
      <c r="C37" s="345"/>
      <c r="D37" s="2499"/>
      <c r="E37" s="580" t="s">
        <v>9</v>
      </c>
      <c r="F37" s="969" t="s">
        <v>9</v>
      </c>
      <c r="G37" s="969" t="s">
        <v>710</v>
      </c>
      <c r="H37" s="582" t="s">
        <v>9</v>
      </c>
      <c r="I37" s="582"/>
      <c r="J37" s="582"/>
      <c r="K37" s="582"/>
      <c r="L37" s="582"/>
      <c r="M37" s="582"/>
      <c r="N37" s="582"/>
      <c r="O37" s="582"/>
      <c r="P37" s="582"/>
      <c r="Q37" s="582"/>
      <c r="R37" s="583"/>
      <c r="S37" s="584"/>
      <c r="T37" s="636"/>
      <c r="U37" s="2399"/>
      <c r="V37" s="2399"/>
      <c r="W37" s="961"/>
      <c r="X37" s="961"/>
      <c r="Y37" s="961"/>
      <c r="Z37" s="961"/>
      <c r="AA37" s="1424"/>
      <c r="AB37" s="961"/>
      <c r="AC37" s="2494"/>
      <c r="AD37" s="560"/>
      <c r="AE37" s="961"/>
      <c r="AF37" s="961"/>
      <c r="AG37" s="1424"/>
      <c r="AH37" s="1424"/>
      <c r="AI37" s="1424"/>
      <c r="AJ37" s="1424"/>
      <c r="AK37" s="1424"/>
      <c r="AL37" s="1424"/>
      <c r="AM37" s="1424"/>
      <c r="AN37" s="1424"/>
      <c r="AO37" s="1424"/>
      <c r="AP37" s="1424"/>
      <c r="AQ37" s="1424"/>
      <c r="AR37" s="1424"/>
      <c r="AS37" s="1424"/>
      <c r="AT37" s="1424"/>
      <c r="AU37" s="1424"/>
      <c r="AV37" s="1424"/>
      <c r="AW37" s="1424"/>
      <c r="AX37" s="1424"/>
      <c r="AY37" s="1424"/>
      <c r="AZ37" s="1424"/>
      <c r="BA37" s="1424"/>
      <c r="BB37" s="1424"/>
      <c r="BC37" s="1424"/>
      <c r="BD37" s="1424"/>
      <c r="BE37" s="1424"/>
      <c r="BF37" s="1424"/>
      <c r="BG37" s="1424"/>
      <c r="BH37" s="1424"/>
      <c r="BI37" s="1424"/>
      <c r="BJ37" s="1424"/>
      <c r="BK37" s="1424"/>
      <c r="BL37" s="1424"/>
      <c r="BM37" s="1424"/>
      <c r="BN37" s="1424"/>
      <c r="BO37" s="1424"/>
      <c r="BP37" s="1424"/>
      <c r="BQ37" s="1424"/>
      <c r="BR37" s="1424"/>
      <c r="BS37" s="1424"/>
      <c r="BT37" s="1424"/>
      <c r="BU37" s="1424"/>
      <c r="BV37" s="961"/>
      <c r="BW37" s="961"/>
      <c r="BX37" s="961"/>
      <c r="BY37" s="961"/>
      <c r="BZ37" s="961"/>
      <c r="CA37" s="961"/>
      <c r="CB37" s="961"/>
      <c r="CC37" s="961"/>
      <c r="CD37" s="961"/>
      <c r="CE37" s="961"/>
      <c r="CF37" s="1606"/>
    </row>
    <row r="38" spans="1:84" ht="5.25" hidden="1" customHeight="1">
      <c r="A38" s="1552"/>
      <c r="B38" s="1424"/>
      <c r="C38" s="1424"/>
      <c r="D38" s="2499"/>
      <c r="E38" s="878"/>
      <c r="F38" s="878"/>
      <c r="G38" s="878"/>
      <c r="H38" s="878"/>
      <c r="I38" s="878"/>
      <c r="J38" s="878"/>
      <c r="K38" s="878"/>
      <c r="L38" s="878"/>
      <c r="M38" s="878"/>
      <c r="N38" s="878"/>
      <c r="O38" s="878"/>
      <c r="P38" s="878"/>
      <c r="Q38" s="879"/>
      <c r="R38" s="880"/>
      <c r="S38" s="881"/>
      <c r="T38" s="635" t="s">
        <v>707</v>
      </c>
      <c r="U38" s="2399">
        <v>1</v>
      </c>
      <c r="V38" s="2399" t="s">
        <v>664</v>
      </c>
      <c r="W38" s="1424"/>
      <c r="X38" s="1424"/>
      <c r="Y38" s="1424"/>
      <c r="Z38" s="1424"/>
      <c r="AA38" s="1424"/>
      <c r="AB38" s="1424"/>
      <c r="AC38" s="876"/>
      <c r="AD38" s="877"/>
      <c r="AE38" s="1424"/>
      <c r="AF38" s="1424"/>
      <c r="AG38" s="1424"/>
      <c r="AH38" s="1424"/>
      <c r="AI38" s="1424"/>
      <c r="AJ38" s="1424"/>
      <c r="AK38" s="1424"/>
      <c r="AL38" s="1424"/>
      <c r="AM38" s="1424"/>
      <c r="AN38" s="1424"/>
      <c r="AO38" s="1424"/>
      <c r="AP38" s="1424"/>
      <c r="AQ38" s="1424"/>
      <c r="AR38" s="1424"/>
      <c r="AS38" s="1424"/>
      <c r="AT38" s="1424"/>
      <c r="AU38" s="1424"/>
      <c r="AV38" s="1424"/>
      <c r="AW38" s="1424"/>
      <c r="AX38" s="1424"/>
      <c r="AY38" s="1424"/>
      <c r="AZ38" s="1424"/>
      <c r="BA38" s="1424"/>
      <c r="BB38" s="1424"/>
      <c r="BC38" s="1424"/>
      <c r="BD38" s="1424"/>
      <c r="BE38" s="1424"/>
      <c r="BF38" s="1424"/>
      <c r="BG38" s="1424"/>
      <c r="BH38" s="1424"/>
      <c r="BI38" s="1424"/>
      <c r="BJ38" s="1424"/>
      <c r="BK38" s="1424"/>
      <c r="BL38" s="1424"/>
      <c r="BM38" s="1424"/>
      <c r="BN38" s="1424"/>
      <c r="BO38" s="1424"/>
      <c r="BP38" s="1424"/>
      <c r="BQ38" s="1424"/>
      <c r="BR38" s="1424"/>
      <c r="BS38" s="1424"/>
      <c r="BT38" s="1424"/>
      <c r="BU38" s="1424"/>
      <c r="BV38" s="1424"/>
      <c r="BW38" s="1424"/>
      <c r="BX38" s="1424"/>
      <c r="BY38" s="1424"/>
      <c r="BZ38" s="1424"/>
      <c r="CA38" s="1424"/>
      <c r="CB38" s="1424"/>
      <c r="CC38" s="1424"/>
      <c r="CD38" s="1424"/>
      <c r="CE38" s="1424"/>
      <c r="CF38" s="1104"/>
    </row>
    <row r="39" spans="1:84" ht="5.25" hidden="1" customHeight="1">
      <c r="A39" s="1552"/>
      <c r="B39" s="1424"/>
      <c r="C39" s="1424"/>
      <c r="D39" s="2499"/>
      <c r="E39" s="566"/>
      <c r="F39" s="566"/>
      <c r="G39" s="566"/>
      <c r="H39" s="566"/>
      <c r="I39" s="566"/>
      <c r="J39" s="566"/>
      <c r="K39" s="566"/>
      <c r="L39" s="566"/>
      <c r="M39" s="566"/>
      <c r="N39" s="566"/>
      <c r="O39" s="566"/>
      <c r="P39" s="566"/>
      <c r="Q39" s="566"/>
      <c r="R39" s="566"/>
      <c r="S39" s="567"/>
      <c r="T39" s="636"/>
      <c r="U39" s="2399"/>
      <c r="V39" s="2399"/>
      <c r="W39" s="1424"/>
      <c r="X39" s="1424"/>
      <c r="Y39" s="1424"/>
      <c r="Z39" s="1424"/>
      <c r="AA39" s="1424"/>
      <c r="AB39" s="1424"/>
      <c r="AC39" s="876"/>
      <c r="AD39" s="877"/>
      <c r="AE39" s="1424"/>
      <c r="AF39" s="1424"/>
      <c r="AG39" s="1424"/>
      <c r="AH39" s="1424"/>
      <c r="AI39" s="1424"/>
      <c r="AJ39" s="1424"/>
      <c r="AK39" s="1424"/>
      <c r="AL39" s="1424"/>
      <c r="AM39" s="1424"/>
      <c r="AN39" s="1424"/>
      <c r="AO39" s="1424"/>
      <c r="AP39" s="1424"/>
      <c r="AQ39" s="1424"/>
      <c r="AR39" s="1424"/>
      <c r="AS39" s="1424"/>
      <c r="AT39" s="1424"/>
      <c r="AU39" s="1424"/>
      <c r="AV39" s="1424"/>
      <c r="AW39" s="1424"/>
      <c r="AX39" s="1424"/>
      <c r="AY39" s="1424"/>
      <c r="AZ39" s="1424"/>
      <c r="BA39" s="1424"/>
      <c r="BB39" s="1424"/>
      <c r="BC39" s="1424"/>
      <c r="BD39" s="1424"/>
      <c r="BE39" s="1424"/>
      <c r="BF39" s="1424"/>
      <c r="BG39" s="1424"/>
      <c r="BH39" s="1424"/>
      <c r="BI39" s="1424"/>
      <c r="BJ39" s="1424"/>
      <c r="BK39" s="1424"/>
      <c r="BL39" s="1424"/>
      <c r="BM39" s="1424"/>
      <c r="BN39" s="1424"/>
      <c r="BO39" s="1424"/>
      <c r="BP39" s="1424"/>
      <c r="BQ39" s="1424"/>
      <c r="BR39" s="1424"/>
      <c r="BS39" s="1424"/>
      <c r="BT39" s="1424"/>
      <c r="BU39" s="1424"/>
      <c r="BV39" s="1424"/>
      <c r="BW39" s="1424"/>
      <c r="BX39" s="1424"/>
      <c r="BY39" s="1424"/>
      <c r="BZ39" s="1424"/>
      <c r="CA39" s="1424"/>
      <c r="CB39" s="1424"/>
      <c r="CC39" s="1424"/>
      <c r="CD39" s="1424"/>
      <c r="CE39" s="1424"/>
      <c r="CF39" s="1104"/>
    </row>
    <row r="40" spans="1:84" ht="5.25" hidden="1" customHeight="1">
      <c r="A40" s="1552"/>
      <c r="B40" s="1424"/>
      <c r="C40" s="1424"/>
      <c r="D40" s="2500"/>
      <c r="E40" s="882"/>
      <c r="F40" s="883"/>
      <c r="G40" s="883"/>
      <c r="H40" s="884"/>
      <c r="I40" s="884"/>
      <c r="J40" s="884"/>
      <c r="K40" s="884"/>
      <c r="L40" s="884"/>
      <c r="M40" s="884"/>
      <c r="N40" s="884"/>
      <c r="O40" s="884"/>
      <c r="P40" s="884"/>
      <c r="Q40" s="884"/>
      <c r="R40" s="806"/>
      <c r="S40" s="885"/>
      <c r="T40" s="636"/>
      <c r="U40" s="2399"/>
      <c r="V40" s="2399"/>
      <c r="W40" s="1424"/>
      <c r="X40" s="1424"/>
      <c r="Y40" s="1424"/>
      <c r="Z40" s="1424"/>
      <c r="AA40" s="1424"/>
      <c r="AB40" s="1424"/>
      <c r="AC40" s="876"/>
      <c r="AD40" s="877"/>
      <c r="AE40" s="1424"/>
      <c r="AF40" s="1424"/>
      <c r="AG40" s="1424"/>
      <c r="AH40" s="1424"/>
      <c r="AI40" s="1424"/>
      <c r="AJ40" s="1424"/>
      <c r="AK40" s="1424"/>
      <c r="AL40" s="1424"/>
      <c r="AM40" s="1424"/>
      <c r="AN40" s="1424"/>
      <c r="AO40" s="1424"/>
      <c r="AP40" s="1424"/>
      <c r="AQ40" s="1424"/>
      <c r="AR40" s="1424"/>
      <c r="AS40" s="1424"/>
      <c r="AT40" s="1424"/>
      <c r="AU40" s="1424"/>
      <c r="AV40" s="1424"/>
      <c r="AW40" s="1424"/>
      <c r="AX40" s="1424"/>
      <c r="AY40" s="1424"/>
      <c r="AZ40" s="1424"/>
      <c r="BA40" s="1424"/>
      <c r="BB40" s="1424"/>
      <c r="BC40" s="1424"/>
      <c r="BD40" s="1424"/>
      <c r="BE40" s="1424"/>
      <c r="BF40" s="1424"/>
      <c r="BG40" s="1424"/>
      <c r="BH40" s="1424"/>
      <c r="BI40" s="1424"/>
      <c r="BJ40" s="1424"/>
      <c r="BK40" s="1424"/>
      <c r="BL40" s="1424"/>
      <c r="BM40" s="1424"/>
      <c r="BN40" s="1424"/>
      <c r="BO40" s="1424"/>
      <c r="BP40" s="1424"/>
      <c r="BQ40" s="1424"/>
      <c r="BR40" s="1424"/>
      <c r="BS40" s="1424"/>
      <c r="BT40" s="1424"/>
      <c r="BU40" s="1424"/>
      <c r="BV40" s="1424"/>
      <c r="BW40" s="1424"/>
      <c r="BX40" s="1424"/>
      <c r="BY40" s="1424"/>
      <c r="BZ40" s="1424"/>
      <c r="CA40" s="1424"/>
      <c r="CB40" s="1424"/>
      <c r="CC40" s="1424"/>
      <c r="CD40" s="1424"/>
      <c r="CE40" s="1424"/>
      <c r="CF40" s="1104"/>
    </row>
    <row r="41" spans="1:84" ht="15" hidden="1" customHeight="1">
      <c r="A41" s="554" t="s">
        <v>176</v>
      </c>
      <c r="B41" s="555"/>
      <c r="C41" s="555" t="s">
        <v>9</v>
      </c>
      <c r="D41" s="2498" t="s">
        <v>712</v>
      </c>
      <c r="E41" s="2495" t="s">
        <v>157</v>
      </c>
      <c r="F41" s="2496"/>
      <c r="G41" s="2497"/>
      <c r="H41" s="2491" t="str">
        <f>IF(A41="","",INDEX(DIFFERENTIATION_UNMERGE_VD,MATCH(A41,DIFFERENTIATION_ID_DIFF,0)))</f>
        <v>Производство тепловой энергии. Некомбинированная выработка; Передача. Тепловая энергия; Сбыт. Тепловая энергия</v>
      </c>
      <c r="I41" s="2491"/>
      <c r="J41" s="2491"/>
      <c r="K41" s="2491"/>
      <c r="L41" s="2491"/>
      <c r="M41" s="2491"/>
      <c r="N41" s="2491"/>
      <c r="O41" s="2491"/>
      <c r="P41" s="2491"/>
      <c r="Q41" s="2491"/>
      <c r="R41" s="2491"/>
      <c r="S41" s="637"/>
      <c r="T41" s="634"/>
      <c r="U41" s="556"/>
      <c r="V41" s="556"/>
      <c r="W41" s="557"/>
      <c r="X41" s="557"/>
      <c r="Y41" s="557"/>
      <c r="Z41" s="557"/>
      <c r="AA41" s="558"/>
      <c r="AB41" s="559"/>
      <c r="AC41" s="2494"/>
      <c r="AD41" s="560"/>
      <c r="AE41" s="561" t="s">
        <v>9</v>
      </c>
      <c r="AF41" s="561"/>
      <c r="AG41" s="562" t="s">
        <v>704</v>
      </c>
      <c r="AH41" s="563">
        <v>3</v>
      </c>
      <c r="AI41" s="556"/>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6"/>
      <c r="BM41" s="556"/>
      <c r="BN41" s="556"/>
      <c r="BO41" s="556"/>
      <c r="BP41" s="556"/>
      <c r="BQ41" s="556"/>
      <c r="BR41" s="556"/>
      <c r="BS41" s="556"/>
      <c r="BT41" s="556"/>
      <c r="BU41" s="556"/>
      <c r="BV41" s="557"/>
      <c r="BW41" s="557"/>
      <c r="BX41" s="557"/>
      <c r="BY41" s="557"/>
      <c r="BZ41" s="557"/>
      <c r="CA41" s="557"/>
      <c r="CB41" s="557"/>
      <c r="CC41" s="557"/>
      <c r="CD41" s="557"/>
      <c r="CE41" s="557"/>
      <c r="CF41" s="1606"/>
    </row>
    <row r="42" spans="1:84" ht="15" hidden="1" customHeight="1">
      <c r="A42" s="554"/>
      <c r="B42" s="555"/>
      <c r="C42" s="555"/>
      <c r="D42" s="2499"/>
      <c r="E42" s="2495" t="s">
        <v>648</v>
      </c>
      <c r="F42" s="2496"/>
      <c r="G42" s="2497"/>
      <c r="H42" s="2491" t="str">
        <f>IF(A41="","",INDEX(DIFFERENTIATION_UNMERGE_AREA,MATCH(A41,DIFFERENTIATION_ID_DIFF,0)))</f>
        <v>Территория 4</v>
      </c>
      <c r="I42" s="2491"/>
      <c r="J42" s="2491"/>
      <c r="K42" s="2491"/>
      <c r="L42" s="2491"/>
      <c r="M42" s="2491"/>
      <c r="N42" s="2491"/>
      <c r="O42" s="2491"/>
      <c r="P42" s="2491"/>
      <c r="Q42" s="2491"/>
      <c r="R42" s="2491"/>
      <c r="S42" s="637"/>
      <c r="T42" s="634"/>
      <c r="U42" s="556"/>
      <c r="V42" s="556"/>
      <c r="W42" s="557"/>
      <c r="X42" s="557"/>
      <c r="Y42" s="557"/>
      <c r="Z42" s="557"/>
      <c r="AA42" s="558"/>
      <c r="AB42" s="559"/>
      <c r="AC42" s="2494"/>
      <c r="AD42" s="560"/>
      <c r="AE42" s="561"/>
      <c r="AF42" s="561"/>
      <c r="AG42" s="562"/>
      <c r="AH42" s="563"/>
      <c r="AI42" s="556"/>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6"/>
      <c r="BM42" s="556"/>
      <c r="BN42" s="556"/>
      <c r="BO42" s="556"/>
      <c r="BP42" s="556"/>
      <c r="BQ42" s="556"/>
      <c r="BR42" s="556"/>
      <c r="BS42" s="556"/>
      <c r="BT42" s="556"/>
      <c r="BU42" s="556"/>
      <c r="BV42" s="557"/>
      <c r="BW42" s="557"/>
      <c r="BX42" s="557"/>
      <c r="BY42" s="557"/>
      <c r="BZ42" s="557"/>
      <c r="CA42" s="557"/>
      <c r="CB42" s="557"/>
      <c r="CC42" s="557"/>
      <c r="CD42" s="557"/>
      <c r="CE42" s="557"/>
      <c r="CF42" s="1606"/>
    </row>
    <row r="43" spans="1:84" ht="15" hidden="1" customHeight="1">
      <c r="A43" s="554"/>
      <c r="B43" s="555"/>
      <c r="C43" s="555"/>
      <c r="D43" s="2499"/>
      <c r="E43" s="2495" t="s">
        <v>649</v>
      </c>
      <c r="F43" s="2496"/>
      <c r="G43" s="2497"/>
      <c r="H43" s="2491" t="str">
        <f>IF(A41="","",INDEX(DIFFERENTIATION_UNMERGE_SYSTEM,MATCH(A41,DIFFERENTIATION_ID_DIFF,0)))</f>
        <v>Рославльский филиал</v>
      </c>
      <c r="I43" s="2491"/>
      <c r="J43" s="2491"/>
      <c r="K43" s="2491"/>
      <c r="L43" s="2491"/>
      <c r="M43" s="2491"/>
      <c r="N43" s="2491"/>
      <c r="O43" s="2491"/>
      <c r="P43" s="2491"/>
      <c r="Q43" s="2491"/>
      <c r="R43" s="2491"/>
      <c r="S43" s="637"/>
      <c r="T43" s="634"/>
      <c r="U43" s="556"/>
      <c r="V43" s="556"/>
      <c r="W43" s="557"/>
      <c r="X43" s="557"/>
      <c r="Y43" s="557"/>
      <c r="Z43" s="557"/>
      <c r="AA43" s="558"/>
      <c r="AB43" s="559"/>
      <c r="AC43" s="2494"/>
      <c r="AD43" s="560"/>
      <c r="AE43" s="561"/>
      <c r="AF43" s="561"/>
      <c r="AG43" s="562"/>
      <c r="AH43" s="563"/>
      <c r="AI43" s="556"/>
      <c r="AJ43" s="556"/>
      <c r="AK43" s="556"/>
      <c r="AL43" s="556"/>
      <c r="AM43" s="556"/>
      <c r="AN43" s="556"/>
      <c r="AO43" s="556"/>
      <c r="AP43" s="556"/>
      <c r="AQ43" s="556"/>
      <c r="AR43" s="556"/>
      <c r="AS43" s="556"/>
      <c r="AT43" s="556"/>
      <c r="AU43" s="556"/>
      <c r="AV43" s="556"/>
      <c r="AW43" s="556"/>
      <c r="AX43" s="556"/>
      <c r="AY43" s="556"/>
      <c r="AZ43" s="556"/>
      <c r="BA43" s="556"/>
      <c r="BB43" s="556"/>
      <c r="BC43" s="556"/>
      <c r="BD43" s="556"/>
      <c r="BE43" s="556"/>
      <c r="BF43" s="556"/>
      <c r="BG43" s="556"/>
      <c r="BH43" s="556"/>
      <c r="BI43" s="556"/>
      <c r="BJ43" s="556"/>
      <c r="BK43" s="556"/>
      <c r="BL43" s="556"/>
      <c r="BM43" s="556"/>
      <c r="BN43" s="556"/>
      <c r="BO43" s="556"/>
      <c r="BP43" s="556"/>
      <c r="BQ43" s="556"/>
      <c r="BR43" s="556"/>
      <c r="BS43" s="556"/>
      <c r="BT43" s="556"/>
      <c r="BU43" s="556"/>
      <c r="BV43" s="557"/>
      <c r="BW43" s="557"/>
      <c r="BX43" s="557"/>
      <c r="BY43" s="557"/>
      <c r="BZ43" s="557"/>
      <c r="CA43" s="557"/>
      <c r="CB43" s="557"/>
      <c r="CC43" s="557"/>
      <c r="CD43" s="557"/>
      <c r="CE43" s="557"/>
      <c r="CF43" s="1606"/>
    </row>
    <row r="44" spans="1:84" ht="24.75" hidden="1" customHeight="1">
      <c r="A44" s="1565"/>
      <c r="B44" s="961"/>
      <c r="C44" s="345"/>
      <c r="D44" s="2499"/>
      <c r="E44" s="2493" t="s">
        <v>705</v>
      </c>
      <c r="F44" s="2493"/>
      <c r="G44" s="2493"/>
      <c r="H44" s="2493"/>
      <c r="I44" s="2493"/>
      <c r="J44" s="2493"/>
      <c r="K44" s="2493"/>
      <c r="L44" s="2493"/>
      <c r="M44" s="2493"/>
      <c r="N44" s="2493"/>
      <c r="O44" s="2493"/>
      <c r="P44" s="2493"/>
      <c r="Q44" s="490">
        <f>SUMIF(T45:T46,"i",Q45:Q46)</f>
        <v>0</v>
      </c>
      <c r="R44" s="869"/>
      <c r="S44" s="1557" t="s">
        <v>706</v>
      </c>
      <c r="T44" s="635" t="s">
        <v>707</v>
      </c>
      <c r="U44" s="2399">
        <v>1</v>
      </c>
      <c r="V44" s="2399" t="str">
        <f>INDEX(B_FHD_FLAG_INDEX_1,1,MATCH(A41,B_FHD_FLAG_DIFFERENTIATION,0))</f>
        <v>отсутствует</v>
      </c>
      <c r="W44" s="961"/>
      <c r="X44" s="961"/>
      <c r="Y44" s="961"/>
      <c r="Z44" s="961"/>
      <c r="AA44" s="1424"/>
      <c r="AB44" s="961"/>
      <c r="AC44" s="2494"/>
      <c r="AD44" s="560"/>
      <c r="AE44" s="961"/>
      <c r="AF44" s="961"/>
      <c r="AG44" s="1424"/>
      <c r="AH44" s="1424"/>
      <c r="AI44" s="1424"/>
      <c r="AJ44" s="1424"/>
      <c r="AK44" s="1424"/>
      <c r="AL44" s="1424"/>
      <c r="AM44" s="1424"/>
      <c r="AN44" s="1424"/>
      <c r="AO44" s="1424"/>
      <c r="AP44" s="1424"/>
      <c r="AQ44" s="1424"/>
      <c r="AR44" s="1424"/>
      <c r="AS44" s="1424"/>
      <c r="AT44" s="1424"/>
      <c r="AU44" s="1424"/>
      <c r="AV44" s="1424"/>
      <c r="AW44" s="1424"/>
      <c r="AX44" s="1424"/>
      <c r="AY44" s="1424"/>
      <c r="AZ44" s="1424"/>
      <c r="BA44" s="1424"/>
      <c r="BB44" s="1424"/>
      <c r="BC44" s="1424"/>
      <c r="BD44" s="1424"/>
      <c r="BE44" s="1424"/>
      <c r="BF44" s="1424"/>
      <c r="BG44" s="1424"/>
      <c r="BH44" s="1424"/>
      <c r="BI44" s="1424"/>
      <c r="BJ44" s="1424"/>
      <c r="BK44" s="1424"/>
      <c r="BL44" s="1424"/>
      <c r="BM44" s="1424"/>
      <c r="BN44" s="1424"/>
      <c r="BO44" s="1424"/>
      <c r="BP44" s="1424"/>
      <c r="BQ44" s="1424"/>
      <c r="BR44" s="1424"/>
      <c r="BS44" s="1424"/>
      <c r="BT44" s="1424"/>
      <c r="BU44" s="1424"/>
      <c r="BV44" s="961"/>
      <c r="BW44" s="961"/>
      <c r="BX44" s="961"/>
      <c r="BY44" s="961"/>
      <c r="BZ44" s="961"/>
      <c r="CA44" s="961"/>
      <c r="CB44" s="961"/>
      <c r="CC44" s="961"/>
      <c r="CD44" s="961"/>
      <c r="CE44" s="961"/>
      <c r="CF44" s="1606"/>
    </row>
    <row r="45" spans="1:84" ht="11.25" hidden="1" customHeight="1">
      <c r="A45" s="1552"/>
      <c r="B45" s="1424"/>
      <c r="C45" s="1424"/>
      <c r="D45" s="2499"/>
      <c r="E45" s="566"/>
      <c r="F45" s="566">
        <v>0</v>
      </c>
      <c r="G45" s="566"/>
      <c r="H45" s="566"/>
      <c r="I45" s="566"/>
      <c r="J45" s="566"/>
      <c r="K45" s="566"/>
      <c r="L45" s="566"/>
      <c r="M45" s="566"/>
      <c r="N45" s="566"/>
      <c r="O45" s="566"/>
      <c r="P45" s="566"/>
      <c r="Q45" s="566"/>
      <c r="R45" s="566"/>
      <c r="S45" s="567"/>
      <c r="T45" s="636"/>
      <c r="U45" s="2399"/>
      <c r="V45" s="2399"/>
      <c r="W45" s="1424"/>
      <c r="X45" s="1424"/>
      <c r="Y45" s="1424"/>
      <c r="Z45" s="1424"/>
      <c r="AA45" s="1424"/>
      <c r="AB45" s="961"/>
      <c r="AC45" s="2494"/>
      <c r="AD45" s="560"/>
      <c r="AE45" s="961"/>
      <c r="AF45" s="961"/>
      <c r="AG45" s="1424"/>
      <c r="AH45" s="1424"/>
      <c r="AI45" s="1424"/>
      <c r="AJ45" s="1424"/>
      <c r="AK45" s="1424"/>
      <c r="AL45" s="1424"/>
      <c r="AM45" s="1424"/>
      <c r="AN45" s="1424"/>
      <c r="AO45" s="1424"/>
      <c r="AP45" s="1424"/>
      <c r="AQ45" s="1424"/>
      <c r="AR45" s="1424"/>
      <c r="AS45" s="1424"/>
      <c r="AT45" s="1424"/>
      <c r="AU45" s="1424"/>
      <c r="AV45" s="1424"/>
      <c r="AW45" s="1424"/>
      <c r="AX45" s="1424"/>
      <c r="AY45" s="1424"/>
      <c r="AZ45" s="1424"/>
      <c r="BA45" s="1424"/>
      <c r="BB45" s="1424"/>
      <c r="BC45" s="1424"/>
      <c r="BD45" s="1424"/>
      <c r="BE45" s="1424"/>
      <c r="BF45" s="1424"/>
      <c r="BG45" s="1424"/>
      <c r="BH45" s="1424"/>
      <c r="BI45" s="1424"/>
      <c r="BJ45" s="1424"/>
      <c r="BK45" s="1424"/>
      <c r="BL45" s="1424"/>
      <c r="BM45" s="1424"/>
      <c r="BN45" s="1424"/>
      <c r="BO45" s="1424"/>
      <c r="BP45" s="1424"/>
      <c r="BQ45" s="1424"/>
      <c r="BR45" s="1424"/>
      <c r="BS45" s="1424"/>
      <c r="BT45" s="1424"/>
      <c r="BU45" s="1424"/>
      <c r="BV45" s="1424"/>
      <c r="BW45" s="1424"/>
      <c r="BX45" s="1424"/>
      <c r="BY45" s="1424"/>
      <c r="BZ45" s="1424"/>
      <c r="CA45" s="1424"/>
      <c r="CB45" s="1424"/>
      <c r="CC45" s="1424"/>
      <c r="CD45" s="1424"/>
      <c r="CE45" s="1424"/>
      <c r="CF45" s="1606"/>
    </row>
    <row r="46" spans="1:84" ht="11.25" hidden="1" customHeight="1">
      <c r="A46" s="1565"/>
      <c r="B46" s="961"/>
      <c r="C46" s="345"/>
      <c r="D46" s="2499"/>
      <c r="E46" s="580" t="s">
        <v>9</v>
      </c>
      <c r="F46" s="969" t="s">
        <v>9</v>
      </c>
      <c r="G46" s="969" t="s">
        <v>710</v>
      </c>
      <c r="H46" s="582" t="s">
        <v>9</v>
      </c>
      <c r="I46" s="582"/>
      <c r="J46" s="582"/>
      <c r="K46" s="582"/>
      <c r="L46" s="582"/>
      <c r="M46" s="582"/>
      <c r="N46" s="582"/>
      <c r="O46" s="582"/>
      <c r="P46" s="582"/>
      <c r="Q46" s="582"/>
      <c r="R46" s="583"/>
      <c r="S46" s="584"/>
      <c r="T46" s="636"/>
      <c r="U46" s="2399"/>
      <c r="V46" s="2399"/>
      <c r="W46" s="961"/>
      <c r="X46" s="961"/>
      <c r="Y46" s="961"/>
      <c r="Z46" s="961"/>
      <c r="AA46" s="1424"/>
      <c r="AB46" s="961"/>
      <c r="AC46" s="2494"/>
      <c r="AD46" s="560"/>
      <c r="AE46" s="961"/>
      <c r="AF46" s="961"/>
      <c r="AG46" s="1424"/>
      <c r="AH46" s="1424"/>
      <c r="AI46" s="1424"/>
      <c r="AJ46" s="1424"/>
      <c r="AK46" s="1424"/>
      <c r="AL46" s="1424"/>
      <c r="AM46" s="1424"/>
      <c r="AN46" s="1424"/>
      <c r="AO46" s="1424"/>
      <c r="AP46" s="1424"/>
      <c r="AQ46" s="1424"/>
      <c r="AR46" s="1424"/>
      <c r="AS46" s="1424"/>
      <c r="AT46" s="1424"/>
      <c r="AU46" s="1424"/>
      <c r="AV46" s="1424"/>
      <c r="AW46" s="1424"/>
      <c r="AX46" s="1424"/>
      <c r="AY46" s="1424"/>
      <c r="AZ46" s="1424"/>
      <c r="BA46" s="1424"/>
      <c r="BB46" s="1424"/>
      <c r="BC46" s="1424"/>
      <c r="BD46" s="1424"/>
      <c r="BE46" s="1424"/>
      <c r="BF46" s="1424"/>
      <c r="BG46" s="1424"/>
      <c r="BH46" s="1424"/>
      <c r="BI46" s="1424"/>
      <c r="BJ46" s="1424"/>
      <c r="BK46" s="1424"/>
      <c r="BL46" s="1424"/>
      <c r="BM46" s="1424"/>
      <c r="BN46" s="1424"/>
      <c r="BO46" s="1424"/>
      <c r="BP46" s="1424"/>
      <c r="BQ46" s="1424"/>
      <c r="BR46" s="1424"/>
      <c r="BS46" s="1424"/>
      <c r="BT46" s="1424"/>
      <c r="BU46" s="1424"/>
      <c r="BV46" s="961"/>
      <c r="BW46" s="961"/>
      <c r="BX46" s="961"/>
      <c r="BY46" s="961"/>
      <c r="BZ46" s="961"/>
      <c r="CA46" s="961"/>
      <c r="CB46" s="961"/>
      <c r="CC46" s="961"/>
      <c r="CD46" s="961"/>
      <c r="CE46" s="961"/>
      <c r="CF46" s="1606"/>
    </row>
    <row r="47" spans="1:84" ht="5.25" hidden="1" customHeight="1">
      <c r="A47" s="1552"/>
      <c r="B47" s="1424"/>
      <c r="C47" s="1424"/>
      <c r="D47" s="2499"/>
      <c r="E47" s="878"/>
      <c r="F47" s="878"/>
      <c r="G47" s="878"/>
      <c r="H47" s="878"/>
      <c r="I47" s="878"/>
      <c r="J47" s="878"/>
      <c r="K47" s="878"/>
      <c r="L47" s="878"/>
      <c r="M47" s="878"/>
      <c r="N47" s="878"/>
      <c r="O47" s="878"/>
      <c r="P47" s="878"/>
      <c r="Q47" s="879"/>
      <c r="R47" s="880"/>
      <c r="S47" s="881"/>
      <c r="T47" s="635" t="s">
        <v>707</v>
      </c>
      <c r="U47" s="2399">
        <v>1</v>
      </c>
      <c r="V47" s="2399" t="s">
        <v>664</v>
      </c>
      <c r="W47" s="1424"/>
      <c r="X47" s="1424"/>
      <c r="Y47" s="1424"/>
      <c r="Z47" s="1424"/>
      <c r="AA47" s="1424"/>
      <c r="AB47" s="1424"/>
      <c r="AC47" s="876"/>
      <c r="AD47" s="877"/>
      <c r="AE47" s="1424"/>
      <c r="AF47" s="1424"/>
      <c r="AG47" s="1424"/>
      <c r="AH47" s="1424"/>
      <c r="AI47" s="1424"/>
      <c r="AJ47" s="1424"/>
      <c r="AK47" s="1424"/>
      <c r="AL47" s="1424"/>
      <c r="AM47" s="1424"/>
      <c r="AN47" s="1424"/>
      <c r="AO47" s="1424"/>
      <c r="AP47" s="1424"/>
      <c r="AQ47" s="1424"/>
      <c r="AR47" s="1424"/>
      <c r="AS47" s="1424"/>
      <c r="AT47" s="1424"/>
      <c r="AU47" s="1424"/>
      <c r="AV47" s="1424"/>
      <c r="AW47" s="1424"/>
      <c r="AX47" s="1424"/>
      <c r="AY47" s="1424"/>
      <c r="AZ47" s="1424"/>
      <c r="BA47" s="1424"/>
      <c r="BB47" s="1424"/>
      <c r="BC47" s="1424"/>
      <c r="BD47" s="1424"/>
      <c r="BE47" s="1424"/>
      <c r="BF47" s="1424"/>
      <c r="BG47" s="1424"/>
      <c r="BH47" s="1424"/>
      <c r="BI47" s="1424"/>
      <c r="BJ47" s="1424"/>
      <c r="BK47" s="1424"/>
      <c r="BL47" s="1424"/>
      <c r="BM47" s="1424"/>
      <c r="BN47" s="1424"/>
      <c r="BO47" s="1424"/>
      <c r="BP47" s="1424"/>
      <c r="BQ47" s="1424"/>
      <c r="BR47" s="1424"/>
      <c r="BS47" s="1424"/>
      <c r="BT47" s="1424"/>
      <c r="BU47" s="1424"/>
      <c r="BV47" s="1424"/>
      <c r="BW47" s="1424"/>
      <c r="BX47" s="1424"/>
      <c r="BY47" s="1424"/>
      <c r="BZ47" s="1424"/>
      <c r="CA47" s="1424"/>
      <c r="CB47" s="1424"/>
      <c r="CC47" s="1424"/>
      <c r="CD47" s="1424"/>
      <c r="CE47" s="1424"/>
      <c r="CF47" s="1104"/>
    </row>
    <row r="48" spans="1:84" ht="5.25" hidden="1" customHeight="1">
      <c r="A48" s="1552"/>
      <c r="B48" s="1424"/>
      <c r="C48" s="1424"/>
      <c r="D48" s="2499"/>
      <c r="E48" s="566"/>
      <c r="F48" s="566"/>
      <c r="G48" s="566"/>
      <c r="H48" s="566"/>
      <c r="I48" s="566"/>
      <c r="J48" s="566"/>
      <c r="K48" s="566"/>
      <c r="L48" s="566"/>
      <c r="M48" s="566"/>
      <c r="N48" s="566"/>
      <c r="O48" s="566"/>
      <c r="P48" s="566"/>
      <c r="Q48" s="566"/>
      <c r="R48" s="566"/>
      <c r="S48" s="567"/>
      <c r="T48" s="636"/>
      <c r="U48" s="2399"/>
      <c r="V48" s="2399"/>
      <c r="W48" s="1424"/>
      <c r="X48" s="1424"/>
      <c r="Y48" s="1424"/>
      <c r="Z48" s="1424"/>
      <c r="AA48" s="1424"/>
      <c r="AB48" s="1424"/>
      <c r="AC48" s="876"/>
      <c r="AD48" s="877"/>
      <c r="AE48" s="1424"/>
      <c r="AF48" s="1424"/>
      <c r="AG48" s="1424"/>
      <c r="AH48" s="1424"/>
      <c r="AI48" s="1424"/>
      <c r="AJ48" s="1424"/>
      <c r="AK48" s="1424"/>
      <c r="AL48" s="1424"/>
      <c r="AM48" s="1424"/>
      <c r="AN48" s="1424"/>
      <c r="AO48" s="1424"/>
      <c r="AP48" s="1424"/>
      <c r="AQ48" s="1424"/>
      <c r="AR48" s="1424"/>
      <c r="AS48" s="1424"/>
      <c r="AT48" s="1424"/>
      <c r="AU48" s="1424"/>
      <c r="AV48" s="1424"/>
      <c r="AW48" s="1424"/>
      <c r="AX48" s="1424"/>
      <c r="AY48" s="1424"/>
      <c r="AZ48" s="1424"/>
      <c r="BA48" s="1424"/>
      <c r="BB48" s="1424"/>
      <c r="BC48" s="1424"/>
      <c r="BD48" s="1424"/>
      <c r="BE48" s="1424"/>
      <c r="BF48" s="1424"/>
      <c r="BG48" s="1424"/>
      <c r="BH48" s="1424"/>
      <c r="BI48" s="1424"/>
      <c r="BJ48" s="1424"/>
      <c r="BK48" s="1424"/>
      <c r="BL48" s="1424"/>
      <c r="BM48" s="1424"/>
      <c r="BN48" s="1424"/>
      <c r="BO48" s="1424"/>
      <c r="BP48" s="1424"/>
      <c r="BQ48" s="1424"/>
      <c r="BR48" s="1424"/>
      <c r="BS48" s="1424"/>
      <c r="BT48" s="1424"/>
      <c r="BU48" s="1424"/>
      <c r="BV48" s="1424"/>
      <c r="BW48" s="1424"/>
      <c r="BX48" s="1424"/>
      <c r="BY48" s="1424"/>
      <c r="BZ48" s="1424"/>
      <c r="CA48" s="1424"/>
      <c r="CB48" s="1424"/>
      <c r="CC48" s="1424"/>
      <c r="CD48" s="1424"/>
      <c r="CE48" s="1424"/>
      <c r="CF48" s="1104"/>
    </row>
    <row r="49" spans="1:84" ht="5.25" hidden="1" customHeight="1">
      <c r="A49" s="1552"/>
      <c r="B49" s="1424"/>
      <c r="C49" s="1424"/>
      <c r="D49" s="2500"/>
      <c r="E49" s="882"/>
      <c r="F49" s="883"/>
      <c r="G49" s="883"/>
      <c r="H49" s="884"/>
      <c r="I49" s="884"/>
      <c r="J49" s="884"/>
      <c r="K49" s="884"/>
      <c r="L49" s="884"/>
      <c r="M49" s="884"/>
      <c r="N49" s="884"/>
      <c r="O49" s="884"/>
      <c r="P49" s="884"/>
      <c r="Q49" s="884"/>
      <c r="R49" s="806"/>
      <c r="S49" s="885"/>
      <c r="T49" s="636"/>
      <c r="U49" s="2399"/>
      <c r="V49" s="2399"/>
      <c r="W49" s="1424"/>
      <c r="X49" s="1424"/>
      <c r="Y49" s="1424"/>
      <c r="Z49" s="1424"/>
      <c r="AA49" s="1424"/>
      <c r="AB49" s="1424"/>
      <c r="AC49" s="876"/>
      <c r="AD49" s="877"/>
      <c r="AE49" s="1424"/>
      <c r="AF49" s="1424"/>
      <c r="AG49" s="1424"/>
      <c r="AH49" s="1424"/>
      <c r="AI49" s="1424"/>
      <c r="AJ49" s="1424"/>
      <c r="AK49" s="1424"/>
      <c r="AL49" s="1424"/>
      <c r="AM49" s="1424"/>
      <c r="AN49" s="1424"/>
      <c r="AO49" s="1424"/>
      <c r="AP49" s="1424"/>
      <c r="AQ49" s="1424"/>
      <c r="AR49" s="1424"/>
      <c r="AS49" s="1424"/>
      <c r="AT49" s="1424"/>
      <c r="AU49" s="1424"/>
      <c r="AV49" s="1424"/>
      <c r="AW49" s="1424"/>
      <c r="AX49" s="1424"/>
      <c r="AY49" s="1424"/>
      <c r="AZ49" s="1424"/>
      <c r="BA49" s="1424"/>
      <c r="BB49" s="1424"/>
      <c r="BC49" s="1424"/>
      <c r="BD49" s="1424"/>
      <c r="BE49" s="1424"/>
      <c r="BF49" s="1424"/>
      <c r="BG49" s="1424"/>
      <c r="BH49" s="1424"/>
      <c r="BI49" s="1424"/>
      <c r="BJ49" s="1424"/>
      <c r="BK49" s="1424"/>
      <c r="BL49" s="1424"/>
      <c r="BM49" s="1424"/>
      <c r="BN49" s="1424"/>
      <c r="BO49" s="1424"/>
      <c r="BP49" s="1424"/>
      <c r="BQ49" s="1424"/>
      <c r="BR49" s="1424"/>
      <c r="BS49" s="1424"/>
      <c r="BT49" s="1424"/>
      <c r="BU49" s="1424"/>
      <c r="BV49" s="1424"/>
      <c r="BW49" s="1424"/>
      <c r="BX49" s="1424"/>
      <c r="BY49" s="1424"/>
      <c r="BZ49" s="1424"/>
      <c r="CA49" s="1424"/>
      <c r="CB49" s="1424"/>
      <c r="CC49" s="1424"/>
      <c r="CD49" s="1424"/>
      <c r="CE49" s="1424"/>
      <c r="CF49" s="1104"/>
    </row>
    <row r="50" spans="1:84" ht="15" hidden="1" customHeight="1">
      <c r="A50" s="554" t="s">
        <v>178</v>
      </c>
      <c r="B50" s="555"/>
      <c r="C50" s="555" t="s">
        <v>9</v>
      </c>
      <c r="D50" s="2498" t="s">
        <v>713</v>
      </c>
      <c r="E50" s="2495" t="s">
        <v>157</v>
      </c>
      <c r="F50" s="2496"/>
      <c r="G50" s="2497"/>
      <c r="H50" s="2491" t="str">
        <f>IF(A50="","",INDEX(DIFFERENTIATION_UNMERGE_VD,MATCH(A50,DIFFERENTIATION_ID_DIFF,0)))</f>
        <v>Производство тепловой энергии. Некомбинированная выработка; Передача. Тепловая энергия; Сбыт. Тепловая энергия</v>
      </c>
      <c r="I50" s="2491"/>
      <c r="J50" s="2491"/>
      <c r="K50" s="2491"/>
      <c r="L50" s="2491"/>
      <c r="M50" s="2491"/>
      <c r="N50" s="2491"/>
      <c r="O50" s="2491"/>
      <c r="P50" s="2491"/>
      <c r="Q50" s="2491"/>
      <c r="R50" s="2491"/>
      <c r="S50" s="637"/>
      <c r="T50" s="634"/>
      <c r="U50" s="556"/>
      <c r="V50" s="556"/>
      <c r="W50" s="557"/>
      <c r="X50" s="557"/>
      <c r="Y50" s="557"/>
      <c r="Z50" s="557"/>
      <c r="AA50" s="558"/>
      <c r="AB50" s="559"/>
      <c r="AC50" s="2494"/>
      <c r="AD50" s="560"/>
      <c r="AE50" s="561" t="s">
        <v>9</v>
      </c>
      <c r="AF50" s="561"/>
      <c r="AG50" s="562" t="s">
        <v>704</v>
      </c>
      <c r="AH50" s="563">
        <v>3</v>
      </c>
      <c r="AI50" s="556"/>
      <c r="AJ50" s="556"/>
      <c r="AK50" s="556"/>
      <c r="AL50" s="556"/>
      <c r="AM50" s="556"/>
      <c r="AN50" s="556"/>
      <c r="AO50" s="556"/>
      <c r="AP50" s="556"/>
      <c r="AQ50" s="556"/>
      <c r="AR50" s="556"/>
      <c r="AS50" s="556"/>
      <c r="AT50" s="556"/>
      <c r="AU50" s="556"/>
      <c r="AV50" s="556"/>
      <c r="AW50" s="556"/>
      <c r="AX50" s="556"/>
      <c r="AY50" s="556"/>
      <c r="AZ50" s="556"/>
      <c r="BA50" s="556"/>
      <c r="BB50" s="556"/>
      <c r="BC50" s="556"/>
      <c r="BD50" s="556"/>
      <c r="BE50" s="556"/>
      <c r="BF50" s="556"/>
      <c r="BG50" s="556"/>
      <c r="BH50" s="556"/>
      <c r="BI50" s="556"/>
      <c r="BJ50" s="556"/>
      <c r="BK50" s="556"/>
      <c r="BL50" s="556"/>
      <c r="BM50" s="556"/>
      <c r="BN50" s="556"/>
      <c r="BO50" s="556"/>
      <c r="BP50" s="556"/>
      <c r="BQ50" s="556"/>
      <c r="BR50" s="556"/>
      <c r="BS50" s="556"/>
      <c r="BT50" s="556"/>
      <c r="BU50" s="556"/>
      <c r="BV50" s="557"/>
      <c r="BW50" s="557"/>
      <c r="BX50" s="557"/>
      <c r="BY50" s="557"/>
      <c r="BZ50" s="557"/>
      <c r="CA50" s="557"/>
      <c r="CB50" s="557"/>
      <c r="CC50" s="557"/>
      <c r="CD50" s="557"/>
      <c r="CE50" s="557"/>
      <c r="CF50" s="1606"/>
    </row>
    <row r="51" spans="1:84" ht="15" hidden="1" customHeight="1">
      <c r="A51" s="554"/>
      <c r="B51" s="555"/>
      <c r="C51" s="555"/>
      <c r="D51" s="2499"/>
      <c r="E51" s="2495" t="s">
        <v>648</v>
      </c>
      <c r="F51" s="2496"/>
      <c r="G51" s="2497"/>
      <c r="H51" s="2491" t="str">
        <f>IF(A50="","",INDEX(DIFFERENTIATION_UNMERGE_AREA,MATCH(A50,DIFFERENTIATION_ID_DIFF,0)))</f>
        <v>Территория 5</v>
      </c>
      <c r="I51" s="2491"/>
      <c r="J51" s="2491"/>
      <c r="K51" s="2491"/>
      <c r="L51" s="2491"/>
      <c r="M51" s="2491"/>
      <c r="N51" s="2491"/>
      <c r="O51" s="2491"/>
      <c r="P51" s="2491"/>
      <c r="Q51" s="2491"/>
      <c r="R51" s="2491"/>
      <c r="S51" s="637"/>
      <c r="T51" s="634"/>
      <c r="U51" s="556"/>
      <c r="V51" s="556"/>
      <c r="W51" s="557"/>
      <c r="X51" s="557"/>
      <c r="Y51" s="557"/>
      <c r="Z51" s="557"/>
      <c r="AA51" s="558"/>
      <c r="AB51" s="559"/>
      <c r="AC51" s="2494"/>
      <c r="AD51" s="560"/>
      <c r="AE51" s="561"/>
      <c r="AF51" s="561"/>
      <c r="AG51" s="562"/>
      <c r="AH51" s="563"/>
      <c r="AI51" s="556"/>
      <c r="AJ51" s="556"/>
      <c r="AK51" s="556"/>
      <c r="AL51" s="556"/>
      <c r="AM51" s="556"/>
      <c r="AN51" s="556"/>
      <c r="AO51" s="556"/>
      <c r="AP51" s="556"/>
      <c r="AQ51" s="556"/>
      <c r="AR51" s="556"/>
      <c r="AS51" s="556"/>
      <c r="AT51" s="556"/>
      <c r="AU51" s="556"/>
      <c r="AV51" s="556"/>
      <c r="AW51" s="556"/>
      <c r="AX51" s="556"/>
      <c r="AY51" s="556"/>
      <c r="AZ51" s="556"/>
      <c r="BA51" s="556"/>
      <c r="BB51" s="556"/>
      <c r="BC51" s="556"/>
      <c r="BD51" s="556"/>
      <c r="BE51" s="556"/>
      <c r="BF51" s="556"/>
      <c r="BG51" s="556"/>
      <c r="BH51" s="556"/>
      <c r="BI51" s="556"/>
      <c r="BJ51" s="556"/>
      <c r="BK51" s="556"/>
      <c r="BL51" s="556"/>
      <c r="BM51" s="556"/>
      <c r="BN51" s="556"/>
      <c r="BO51" s="556"/>
      <c r="BP51" s="556"/>
      <c r="BQ51" s="556"/>
      <c r="BR51" s="556"/>
      <c r="BS51" s="556"/>
      <c r="BT51" s="556"/>
      <c r="BU51" s="556"/>
      <c r="BV51" s="557"/>
      <c r="BW51" s="557"/>
      <c r="BX51" s="557"/>
      <c r="BY51" s="557"/>
      <c r="BZ51" s="557"/>
      <c r="CA51" s="557"/>
      <c r="CB51" s="557"/>
      <c r="CC51" s="557"/>
      <c r="CD51" s="557"/>
      <c r="CE51" s="557"/>
      <c r="CF51" s="1606"/>
    </row>
    <row r="52" spans="1:84" ht="15" hidden="1" customHeight="1">
      <c r="A52" s="554"/>
      <c r="B52" s="555"/>
      <c r="C52" s="555"/>
      <c r="D52" s="2499"/>
      <c r="E52" s="2495" t="s">
        <v>649</v>
      </c>
      <c r="F52" s="2496"/>
      <c r="G52" s="2497"/>
      <c r="H52" s="2491" t="str">
        <f>IF(A50="","",INDEX(DIFFERENTIATION_UNMERGE_SYSTEM,MATCH(A50,DIFFERENTIATION_ID_DIFF,0)))</f>
        <v>котельная г. Рославль, ул. Мичурина</v>
      </c>
      <c r="I52" s="2491"/>
      <c r="J52" s="2491"/>
      <c r="K52" s="2491"/>
      <c r="L52" s="2491"/>
      <c r="M52" s="2491"/>
      <c r="N52" s="2491"/>
      <c r="O52" s="2491"/>
      <c r="P52" s="2491"/>
      <c r="Q52" s="2491"/>
      <c r="R52" s="2491"/>
      <c r="S52" s="637"/>
      <c r="T52" s="634"/>
      <c r="U52" s="556"/>
      <c r="V52" s="556"/>
      <c r="W52" s="557"/>
      <c r="X52" s="557"/>
      <c r="Y52" s="557"/>
      <c r="Z52" s="557"/>
      <c r="AA52" s="558"/>
      <c r="AB52" s="559"/>
      <c r="AC52" s="2494"/>
      <c r="AD52" s="560"/>
      <c r="AE52" s="561"/>
      <c r="AF52" s="561"/>
      <c r="AG52" s="562"/>
      <c r="AH52" s="563"/>
      <c r="AI52" s="556"/>
      <c r="AJ52" s="556"/>
      <c r="AK52" s="556"/>
      <c r="AL52" s="556"/>
      <c r="AM52" s="556"/>
      <c r="AN52" s="556"/>
      <c r="AO52" s="556"/>
      <c r="AP52" s="556"/>
      <c r="AQ52" s="556"/>
      <c r="AR52" s="556"/>
      <c r="AS52" s="556"/>
      <c r="AT52" s="556"/>
      <c r="AU52" s="556"/>
      <c r="AV52" s="556"/>
      <c r="AW52" s="556"/>
      <c r="AX52" s="556"/>
      <c r="AY52" s="556"/>
      <c r="AZ52" s="556"/>
      <c r="BA52" s="556"/>
      <c r="BB52" s="556"/>
      <c r="BC52" s="556"/>
      <c r="BD52" s="556"/>
      <c r="BE52" s="556"/>
      <c r="BF52" s="556"/>
      <c r="BG52" s="556"/>
      <c r="BH52" s="556"/>
      <c r="BI52" s="556"/>
      <c r="BJ52" s="556"/>
      <c r="BK52" s="556"/>
      <c r="BL52" s="556"/>
      <c r="BM52" s="556"/>
      <c r="BN52" s="556"/>
      <c r="BO52" s="556"/>
      <c r="BP52" s="556"/>
      <c r="BQ52" s="556"/>
      <c r="BR52" s="556"/>
      <c r="BS52" s="556"/>
      <c r="BT52" s="556"/>
      <c r="BU52" s="556"/>
      <c r="BV52" s="557"/>
      <c r="BW52" s="557"/>
      <c r="BX52" s="557"/>
      <c r="BY52" s="557"/>
      <c r="BZ52" s="557"/>
      <c r="CA52" s="557"/>
      <c r="CB52" s="557"/>
      <c r="CC52" s="557"/>
      <c r="CD52" s="557"/>
      <c r="CE52" s="557"/>
      <c r="CF52" s="1606"/>
    </row>
    <row r="53" spans="1:84" ht="24.75" hidden="1" customHeight="1">
      <c r="A53" s="1565"/>
      <c r="B53" s="961"/>
      <c r="C53" s="345"/>
      <c r="D53" s="2499"/>
      <c r="E53" s="2493" t="s">
        <v>705</v>
      </c>
      <c r="F53" s="2493"/>
      <c r="G53" s="2493"/>
      <c r="H53" s="2493"/>
      <c r="I53" s="2493"/>
      <c r="J53" s="2493"/>
      <c r="K53" s="2493"/>
      <c r="L53" s="2493"/>
      <c r="M53" s="2493"/>
      <c r="N53" s="2493"/>
      <c r="O53" s="2493"/>
      <c r="P53" s="2493"/>
      <c r="Q53" s="490">
        <f>SUMIF(T54:T55,"i",Q54:Q55)</f>
        <v>0</v>
      </c>
      <c r="R53" s="869"/>
      <c r="S53" s="1557" t="s">
        <v>706</v>
      </c>
      <c r="T53" s="635" t="s">
        <v>707</v>
      </c>
      <c r="U53" s="2399">
        <v>1</v>
      </c>
      <c r="V53" s="2399" t="str">
        <f>INDEX(B_FHD_FLAG_INDEX_1,1,MATCH(A50,B_FHD_FLAG_DIFFERENTIATION,0))</f>
        <v>отсутствует</v>
      </c>
      <c r="W53" s="961"/>
      <c r="X53" s="961"/>
      <c r="Y53" s="961"/>
      <c r="Z53" s="961"/>
      <c r="AA53" s="1424"/>
      <c r="AB53" s="961"/>
      <c r="AC53" s="2494"/>
      <c r="AD53" s="560"/>
      <c r="AE53" s="961"/>
      <c r="AF53" s="961"/>
      <c r="AG53" s="1424"/>
      <c r="AH53" s="1424"/>
      <c r="AI53" s="1424"/>
      <c r="AJ53" s="1424"/>
      <c r="AK53" s="1424"/>
      <c r="AL53" s="1424"/>
      <c r="AM53" s="1424"/>
      <c r="AN53" s="1424"/>
      <c r="AO53" s="1424"/>
      <c r="AP53" s="1424"/>
      <c r="AQ53" s="1424"/>
      <c r="AR53" s="1424"/>
      <c r="AS53" s="1424"/>
      <c r="AT53" s="1424"/>
      <c r="AU53" s="1424"/>
      <c r="AV53" s="1424"/>
      <c r="AW53" s="1424"/>
      <c r="AX53" s="1424"/>
      <c r="AY53" s="1424"/>
      <c r="AZ53" s="1424"/>
      <c r="BA53" s="1424"/>
      <c r="BB53" s="1424"/>
      <c r="BC53" s="1424"/>
      <c r="BD53" s="1424"/>
      <c r="BE53" s="1424"/>
      <c r="BF53" s="1424"/>
      <c r="BG53" s="1424"/>
      <c r="BH53" s="1424"/>
      <c r="BI53" s="1424"/>
      <c r="BJ53" s="1424"/>
      <c r="BK53" s="1424"/>
      <c r="BL53" s="1424"/>
      <c r="BM53" s="1424"/>
      <c r="BN53" s="1424"/>
      <c r="BO53" s="1424"/>
      <c r="BP53" s="1424"/>
      <c r="BQ53" s="1424"/>
      <c r="BR53" s="1424"/>
      <c r="BS53" s="1424"/>
      <c r="BT53" s="1424"/>
      <c r="BU53" s="1424"/>
      <c r="BV53" s="961"/>
      <c r="BW53" s="961"/>
      <c r="BX53" s="961"/>
      <c r="BY53" s="961"/>
      <c r="BZ53" s="961"/>
      <c r="CA53" s="961"/>
      <c r="CB53" s="961"/>
      <c r="CC53" s="961"/>
      <c r="CD53" s="961"/>
      <c r="CE53" s="961"/>
      <c r="CF53" s="1606"/>
    </row>
    <row r="54" spans="1:84" ht="11.25" hidden="1" customHeight="1">
      <c r="A54" s="1552"/>
      <c r="B54" s="1424"/>
      <c r="C54" s="1424"/>
      <c r="D54" s="2499"/>
      <c r="E54" s="566"/>
      <c r="F54" s="566">
        <v>0</v>
      </c>
      <c r="G54" s="566"/>
      <c r="H54" s="566"/>
      <c r="I54" s="566"/>
      <c r="J54" s="566"/>
      <c r="K54" s="566"/>
      <c r="L54" s="566"/>
      <c r="M54" s="566"/>
      <c r="N54" s="566"/>
      <c r="O54" s="566"/>
      <c r="P54" s="566"/>
      <c r="Q54" s="566"/>
      <c r="R54" s="566"/>
      <c r="S54" s="567"/>
      <c r="T54" s="636"/>
      <c r="U54" s="2399"/>
      <c r="V54" s="2399"/>
      <c r="W54" s="1424"/>
      <c r="X54" s="1424"/>
      <c r="Y54" s="1424"/>
      <c r="Z54" s="1424"/>
      <c r="AA54" s="1424"/>
      <c r="AB54" s="961"/>
      <c r="AC54" s="2494"/>
      <c r="AD54" s="560"/>
      <c r="AE54" s="961"/>
      <c r="AF54" s="961"/>
      <c r="AG54" s="1424"/>
      <c r="AH54" s="1424"/>
      <c r="AI54" s="1424"/>
      <c r="AJ54" s="1424"/>
      <c r="AK54" s="1424"/>
      <c r="AL54" s="1424"/>
      <c r="AM54" s="1424"/>
      <c r="AN54" s="1424"/>
      <c r="AO54" s="1424"/>
      <c r="AP54" s="1424"/>
      <c r="AQ54" s="1424"/>
      <c r="AR54" s="1424"/>
      <c r="AS54" s="1424"/>
      <c r="AT54" s="1424"/>
      <c r="AU54" s="1424"/>
      <c r="AV54" s="1424"/>
      <c r="AW54" s="1424"/>
      <c r="AX54" s="1424"/>
      <c r="AY54" s="1424"/>
      <c r="AZ54" s="1424"/>
      <c r="BA54" s="1424"/>
      <c r="BB54" s="1424"/>
      <c r="BC54" s="1424"/>
      <c r="BD54" s="1424"/>
      <c r="BE54" s="1424"/>
      <c r="BF54" s="1424"/>
      <c r="BG54" s="1424"/>
      <c r="BH54" s="1424"/>
      <c r="BI54" s="1424"/>
      <c r="BJ54" s="1424"/>
      <c r="BK54" s="1424"/>
      <c r="BL54" s="1424"/>
      <c r="BM54" s="1424"/>
      <c r="BN54" s="1424"/>
      <c r="BO54" s="1424"/>
      <c r="BP54" s="1424"/>
      <c r="BQ54" s="1424"/>
      <c r="BR54" s="1424"/>
      <c r="BS54" s="1424"/>
      <c r="BT54" s="1424"/>
      <c r="BU54" s="1424"/>
      <c r="BV54" s="1424"/>
      <c r="BW54" s="1424"/>
      <c r="BX54" s="1424"/>
      <c r="BY54" s="1424"/>
      <c r="BZ54" s="1424"/>
      <c r="CA54" s="1424"/>
      <c r="CB54" s="1424"/>
      <c r="CC54" s="1424"/>
      <c r="CD54" s="1424"/>
      <c r="CE54" s="1424"/>
      <c r="CF54" s="1606"/>
    </row>
    <row r="55" spans="1:84" ht="11.25" hidden="1" customHeight="1">
      <c r="A55" s="1565"/>
      <c r="B55" s="961"/>
      <c r="C55" s="345"/>
      <c r="D55" s="2499"/>
      <c r="E55" s="580" t="s">
        <v>9</v>
      </c>
      <c r="F55" s="969" t="s">
        <v>9</v>
      </c>
      <c r="G55" s="969" t="s">
        <v>710</v>
      </c>
      <c r="H55" s="582" t="s">
        <v>9</v>
      </c>
      <c r="I55" s="582"/>
      <c r="J55" s="582"/>
      <c r="K55" s="582"/>
      <c r="L55" s="582"/>
      <c r="M55" s="582"/>
      <c r="N55" s="582"/>
      <c r="O55" s="582"/>
      <c r="P55" s="582"/>
      <c r="Q55" s="582"/>
      <c r="R55" s="583"/>
      <c r="S55" s="584"/>
      <c r="T55" s="636"/>
      <c r="U55" s="2399"/>
      <c r="V55" s="2399"/>
      <c r="W55" s="961"/>
      <c r="X55" s="961"/>
      <c r="Y55" s="961"/>
      <c r="Z55" s="961"/>
      <c r="AA55" s="1424"/>
      <c r="AB55" s="961"/>
      <c r="AC55" s="2494"/>
      <c r="AD55" s="560"/>
      <c r="AE55" s="961"/>
      <c r="AF55" s="961"/>
      <c r="AG55" s="1424"/>
      <c r="AH55" s="1424"/>
      <c r="AI55" s="1424"/>
      <c r="AJ55" s="1424"/>
      <c r="AK55" s="1424"/>
      <c r="AL55" s="1424"/>
      <c r="AM55" s="1424"/>
      <c r="AN55" s="1424"/>
      <c r="AO55" s="1424"/>
      <c r="AP55" s="1424"/>
      <c r="AQ55" s="1424"/>
      <c r="AR55" s="1424"/>
      <c r="AS55" s="1424"/>
      <c r="AT55" s="1424"/>
      <c r="AU55" s="1424"/>
      <c r="AV55" s="1424"/>
      <c r="AW55" s="1424"/>
      <c r="AX55" s="1424"/>
      <c r="AY55" s="1424"/>
      <c r="AZ55" s="1424"/>
      <c r="BA55" s="1424"/>
      <c r="BB55" s="1424"/>
      <c r="BC55" s="1424"/>
      <c r="BD55" s="1424"/>
      <c r="BE55" s="1424"/>
      <c r="BF55" s="1424"/>
      <c r="BG55" s="1424"/>
      <c r="BH55" s="1424"/>
      <c r="BI55" s="1424"/>
      <c r="BJ55" s="1424"/>
      <c r="BK55" s="1424"/>
      <c r="BL55" s="1424"/>
      <c r="BM55" s="1424"/>
      <c r="BN55" s="1424"/>
      <c r="BO55" s="1424"/>
      <c r="BP55" s="1424"/>
      <c r="BQ55" s="1424"/>
      <c r="BR55" s="1424"/>
      <c r="BS55" s="1424"/>
      <c r="BT55" s="1424"/>
      <c r="BU55" s="1424"/>
      <c r="BV55" s="961"/>
      <c r="BW55" s="961"/>
      <c r="BX55" s="961"/>
      <c r="BY55" s="961"/>
      <c r="BZ55" s="961"/>
      <c r="CA55" s="961"/>
      <c r="CB55" s="961"/>
      <c r="CC55" s="961"/>
      <c r="CD55" s="961"/>
      <c r="CE55" s="961"/>
      <c r="CF55" s="1606"/>
    </row>
    <row r="56" spans="1:84" ht="5.25" hidden="1" customHeight="1">
      <c r="A56" s="1552"/>
      <c r="B56" s="1424"/>
      <c r="C56" s="1424"/>
      <c r="D56" s="2499"/>
      <c r="E56" s="878"/>
      <c r="F56" s="878"/>
      <c r="G56" s="878"/>
      <c r="H56" s="878"/>
      <c r="I56" s="878"/>
      <c r="J56" s="878"/>
      <c r="K56" s="878"/>
      <c r="L56" s="878"/>
      <c r="M56" s="878"/>
      <c r="N56" s="878"/>
      <c r="O56" s="878"/>
      <c r="P56" s="878"/>
      <c r="Q56" s="879"/>
      <c r="R56" s="880"/>
      <c r="S56" s="881"/>
      <c r="T56" s="635" t="s">
        <v>707</v>
      </c>
      <c r="U56" s="2399">
        <v>1</v>
      </c>
      <c r="V56" s="2399" t="s">
        <v>664</v>
      </c>
      <c r="W56" s="1424"/>
      <c r="X56" s="1424"/>
      <c r="Y56" s="1424"/>
      <c r="Z56" s="1424"/>
      <c r="AA56" s="1424"/>
      <c r="AB56" s="1424"/>
      <c r="AC56" s="876"/>
      <c r="AD56" s="877"/>
      <c r="AE56" s="1424"/>
      <c r="AF56" s="1424"/>
      <c r="AG56" s="1424"/>
      <c r="AH56" s="1424"/>
      <c r="AI56" s="1424"/>
      <c r="AJ56" s="1424"/>
      <c r="AK56" s="1424"/>
      <c r="AL56" s="1424"/>
      <c r="AM56" s="1424"/>
      <c r="AN56" s="1424"/>
      <c r="AO56" s="1424"/>
      <c r="AP56" s="1424"/>
      <c r="AQ56" s="1424"/>
      <c r="AR56" s="1424"/>
      <c r="AS56" s="1424"/>
      <c r="AT56" s="1424"/>
      <c r="AU56" s="1424"/>
      <c r="AV56" s="1424"/>
      <c r="AW56" s="1424"/>
      <c r="AX56" s="1424"/>
      <c r="AY56" s="1424"/>
      <c r="AZ56" s="1424"/>
      <c r="BA56" s="1424"/>
      <c r="BB56" s="1424"/>
      <c r="BC56" s="1424"/>
      <c r="BD56" s="1424"/>
      <c r="BE56" s="1424"/>
      <c r="BF56" s="1424"/>
      <c r="BG56" s="1424"/>
      <c r="BH56" s="1424"/>
      <c r="BI56" s="1424"/>
      <c r="BJ56" s="1424"/>
      <c r="BK56" s="1424"/>
      <c r="BL56" s="1424"/>
      <c r="BM56" s="1424"/>
      <c r="BN56" s="1424"/>
      <c r="BO56" s="1424"/>
      <c r="BP56" s="1424"/>
      <c r="BQ56" s="1424"/>
      <c r="BR56" s="1424"/>
      <c r="BS56" s="1424"/>
      <c r="BT56" s="1424"/>
      <c r="BU56" s="1424"/>
      <c r="BV56" s="1424"/>
      <c r="BW56" s="1424"/>
      <c r="BX56" s="1424"/>
      <c r="BY56" s="1424"/>
      <c r="BZ56" s="1424"/>
      <c r="CA56" s="1424"/>
      <c r="CB56" s="1424"/>
      <c r="CC56" s="1424"/>
      <c r="CD56" s="1424"/>
      <c r="CE56" s="1424"/>
      <c r="CF56" s="1104"/>
    </row>
    <row r="57" spans="1:84" ht="5.25" hidden="1" customHeight="1">
      <c r="A57" s="1552"/>
      <c r="B57" s="1424"/>
      <c r="C57" s="1424"/>
      <c r="D57" s="2499"/>
      <c r="E57" s="566"/>
      <c r="F57" s="566"/>
      <c r="G57" s="566"/>
      <c r="H57" s="566"/>
      <c r="I57" s="566"/>
      <c r="J57" s="566"/>
      <c r="K57" s="566"/>
      <c r="L57" s="566"/>
      <c r="M57" s="566"/>
      <c r="N57" s="566"/>
      <c r="O57" s="566"/>
      <c r="P57" s="566"/>
      <c r="Q57" s="566"/>
      <c r="R57" s="566"/>
      <c r="S57" s="567"/>
      <c r="T57" s="636"/>
      <c r="U57" s="2399"/>
      <c r="V57" s="2399"/>
      <c r="W57" s="1424"/>
      <c r="X57" s="1424"/>
      <c r="Y57" s="1424"/>
      <c r="Z57" s="1424"/>
      <c r="AA57" s="1424"/>
      <c r="AB57" s="1424"/>
      <c r="AC57" s="876"/>
      <c r="AD57" s="877"/>
      <c r="AE57" s="1424"/>
      <c r="AF57" s="1424"/>
      <c r="AG57" s="1424"/>
      <c r="AH57" s="1424"/>
      <c r="AI57" s="1424"/>
      <c r="AJ57" s="1424"/>
      <c r="AK57" s="1424"/>
      <c r="AL57" s="1424"/>
      <c r="AM57" s="1424"/>
      <c r="AN57" s="1424"/>
      <c r="AO57" s="1424"/>
      <c r="AP57" s="1424"/>
      <c r="AQ57" s="1424"/>
      <c r="AR57" s="1424"/>
      <c r="AS57" s="1424"/>
      <c r="AT57" s="1424"/>
      <c r="AU57" s="1424"/>
      <c r="AV57" s="1424"/>
      <c r="AW57" s="1424"/>
      <c r="AX57" s="1424"/>
      <c r="AY57" s="1424"/>
      <c r="AZ57" s="1424"/>
      <c r="BA57" s="1424"/>
      <c r="BB57" s="1424"/>
      <c r="BC57" s="1424"/>
      <c r="BD57" s="1424"/>
      <c r="BE57" s="1424"/>
      <c r="BF57" s="1424"/>
      <c r="BG57" s="1424"/>
      <c r="BH57" s="1424"/>
      <c r="BI57" s="1424"/>
      <c r="BJ57" s="1424"/>
      <c r="BK57" s="1424"/>
      <c r="BL57" s="1424"/>
      <c r="BM57" s="1424"/>
      <c r="BN57" s="1424"/>
      <c r="BO57" s="1424"/>
      <c r="BP57" s="1424"/>
      <c r="BQ57" s="1424"/>
      <c r="BR57" s="1424"/>
      <c r="BS57" s="1424"/>
      <c r="BT57" s="1424"/>
      <c r="BU57" s="1424"/>
      <c r="BV57" s="1424"/>
      <c r="BW57" s="1424"/>
      <c r="BX57" s="1424"/>
      <c r="BY57" s="1424"/>
      <c r="BZ57" s="1424"/>
      <c r="CA57" s="1424"/>
      <c r="CB57" s="1424"/>
      <c r="CC57" s="1424"/>
      <c r="CD57" s="1424"/>
      <c r="CE57" s="1424"/>
      <c r="CF57" s="1104"/>
    </row>
    <row r="58" spans="1:84" ht="5.25" hidden="1" customHeight="1">
      <c r="A58" s="1552"/>
      <c r="B58" s="1424"/>
      <c r="C58" s="1424"/>
      <c r="D58" s="2500"/>
      <c r="E58" s="882"/>
      <c r="F58" s="883"/>
      <c r="G58" s="883"/>
      <c r="H58" s="884"/>
      <c r="I58" s="884"/>
      <c r="J58" s="884"/>
      <c r="K58" s="884"/>
      <c r="L58" s="884"/>
      <c r="M58" s="884"/>
      <c r="N58" s="884"/>
      <c r="O58" s="884"/>
      <c r="P58" s="884"/>
      <c r="Q58" s="884"/>
      <c r="R58" s="806"/>
      <c r="S58" s="885"/>
      <c r="T58" s="636"/>
      <c r="U58" s="2399"/>
      <c r="V58" s="2399"/>
      <c r="W58" s="1424"/>
      <c r="X58" s="1424"/>
      <c r="Y58" s="1424"/>
      <c r="Z58" s="1424"/>
      <c r="AA58" s="1424"/>
      <c r="AB58" s="1424"/>
      <c r="AC58" s="876"/>
      <c r="AD58" s="877"/>
      <c r="AE58" s="1424"/>
      <c r="AF58" s="1424"/>
      <c r="AG58" s="1424"/>
      <c r="AH58" s="1424"/>
      <c r="AI58" s="1424"/>
      <c r="AJ58" s="1424"/>
      <c r="AK58" s="1424"/>
      <c r="AL58" s="1424"/>
      <c r="AM58" s="1424"/>
      <c r="AN58" s="1424"/>
      <c r="AO58" s="1424"/>
      <c r="AP58" s="1424"/>
      <c r="AQ58" s="1424"/>
      <c r="AR58" s="1424"/>
      <c r="AS58" s="1424"/>
      <c r="AT58" s="1424"/>
      <c r="AU58" s="1424"/>
      <c r="AV58" s="1424"/>
      <c r="AW58" s="1424"/>
      <c r="AX58" s="1424"/>
      <c r="AY58" s="1424"/>
      <c r="AZ58" s="1424"/>
      <c r="BA58" s="1424"/>
      <c r="BB58" s="1424"/>
      <c r="BC58" s="1424"/>
      <c r="BD58" s="1424"/>
      <c r="BE58" s="1424"/>
      <c r="BF58" s="1424"/>
      <c r="BG58" s="1424"/>
      <c r="BH58" s="1424"/>
      <c r="BI58" s="1424"/>
      <c r="BJ58" s="1424"/>
      <c r="BK58" s="1424"/>
      <c r="BL58" s="1424"/>
      <c r="BM58" s="1424"/>
      <c r="BN58" s="1424"/>
      <c r="BO58" s="1424"/>
      <c r="BP58" s="1424"/>
      <c r="BQ58" s="1424"/>
      <c r="BR58" s="1424"/>
      <c r="BS58" s="1424"/>
      <c r="BT58" s="1424"/>
      <c r="BU58" s="1424"/>
      <c r="BV58" s="1424"/>
      <c r="BW58" s="1424"/>
      <c r="BX58" s="1424"/>
      <c r="BY58" s="1424"/>
      <c r="BZ58" s="1424"/>
      <c r="CA58" s="1424"/>
      <c r="CB58" s="1424"/>
      <c r="CC58" s="1424"/>
      <c r="CD58" s="1424"/>
      <c r="CE58" s="1424"/>
      <c r="CF58" s="1104"/>
    </row>
    <row r="59" spans="1:84" ht="15" hidden="1" customHeight="1">
      <c r="A59" s="554" t="s">
        <v>180</v>
      </c>
      <c r="B59" s="555"/>
      <c r="C59" s="555" t="s">
        <v>9</v>
      </c>
      <c r="D59" s="2498" t="s">
        <v>714</v>
      </c>
      <c r="E59" s="2495" t="s">
        <v>157</v>
      </c>
      <c r="F59" s="2496"/>
      <c r="G59" s="2497"/>
      <c r="H59" s="2491" t="str">
        <f>IF(A59="","",INDEX(DIFFERENTIATION_UNMERGE_VD,MATCH(A59,DIFFERENTIATION_ID_DIFF,0)))</f>
        <v>Производство тепловой энергии. Некомбинированная выработка; Передача. Тепловая энергия; Сбыт. Тепловая энергия</v>
      </c>
      <c r="I59" s="2491"/>
      <c r="J59" s="2491"/>
      <c r="K59" s="2491"/>
      <c r="L59" s="2491"/>
      <c r="M59" s="2491"/>
      <c r="N59" s="2491"/>
      <c r="O59" s="2491"/>
      <c r="P59" s="2491"/>
      <c r="Q59" s="2491"/>
      <c r="R59" s="2491"/>
      <c r="S59" s="637"/>
      <c r="T59" s="634"/>
      <c r="U59" s="556"/>
      <c r="V59" s="556"/>
      <c r="W59" s="557"/>
      <c r="X59" s="557"/>
      <c r="Y59" s="557"/>
      <c r="Z59" s="557"/>
      <c r="AA59" s="558"/>
      <c r="AB59" s="559"/>
      <c r="AC59" s="2494"/>
      <c r="AD59" s="560"/>
      <c r="AE59" s="561" t="s">
        <v>9</v>
      </c>
      <c r="AF59" s="561"/>
      <c r="AG59" s="562" t="s">
        <v>704</v>
      </c>
      <c r="AH59" s="563">
        <v>3</v>
      </c>
      <c r="AI59" s="556"/>
      <c r="AJ59" s="556"/>
      <c r="AK59" s="556"/>
      <c r="AL59" s="556"/>
      <c r="AM59" s="556"/>
      <c r="AN59" s="556"/>
      <c r="AO59" s="556"/>
      <c r="AP59" s="556"/>
      <c r="AQ59" s="556"/>
      <c r="AR59" s="556"/>
      <c r="AS59" s="556"/>
      <c r="AT59" s="556"/>
      <c r="AU59" s="556"/>
      <c r="AV59" s="556"/>
      <c r="AW59" s="556"/>
      <c r="AX59" s="556"/>
      <c r="AY59" s="556"/>
      <c r="AZ59" s="556"/>
      <c r="BA59" s="556"/>
      <c r="BB59" s="556"/>
      <c r="BC59" s="556"/>
      <c r="BD59" s="556"/>
      <c r="BE59" s="556"/>
      <c r="BF59" s="556"/>
      <c r="BG59" s="556"/>
      <c r="BH59" s="556"/>
      <c r="BI59" s="556"/>
      <c r="BJ59" s="556"/>
      <c r="BK59" s="556"/>
      <c r="BL59" s="556"/>
      <c r="BM59" s="556"/>
      <c r="BN59" s="556"/>
      <c r="BO59" s="556"/>
      <c r="BP59" s="556"/>
      <c r="BQ59" s="556"/>
      <c r="BR59" s="556"/>
      <c r="BS59" s="556"/>
      <c r="BT59" s="556"/>
      <c r="BU59" s="556"/>
      <c r="BV59" s="557"/>
      <c r="BW59" s="557"/>
      <c r="BX59" s="557"/>
      <c r="BY59" s="557"/>
      <c r="BZ59" s="557"/>
      <c r="CA59" s="557"/>
      <c r="CB59" s="557"/>
      <c r="CC59" s="557"/>
      <c r="CD59" s="557"/>
      <c r="CE59" s="557"/>
      <c r="CF59" s="1606"/>
    </row>
    <row r="60" spans="1:84" ht="15" hidden="1" customHeight="1">
      <c r="A60" s="554"/>
      <c r="B60" s="555"/>
      <c r="C60" s="555"/>
      <c r="D60" s="2499"/>
      <c r="E60" s="2495" t="s">
        <v>648</v>
      </c>
      <c r="F60" s="2496"/>
      <c r="G60" s="2497"/>
      <c r="H60" s="2491" t="str">
        <f>IF(A59="","",INDEX(DIFFERENTIATION_UNMERGE_AREA,MATCH(A59,DIFFERENTIATION_ID_DIFF,0)))</f>
        <v>Территория 6</v>
      </c>
      <c r="I60" s="2491"/>
      <c r="J60" s="2491"/>
      <c r="K60" s="2491"/>
      <c r="L60" s="2491"/>
      <c r="M60" s="2491"/>
      <c r="N60" s="2491"/>
      <c r="O60" s="2491"/>
      <c r="P60" s="2491"/>
      <c r="Q60" s="2491"/>
      <c r="R60" s="2491"/>
      <c r="S60" s="637"/>
      <c r="T60" s="634"/>
      <c r="U60" s="556"/>
      <c r="V60" s="556"/>
      <c r="W60" s="557"/>
      <c r="X60" s="557"/>
      <c r="Y60" s="557"/>
      <c r="Z60" s="557"/>
      <c r="AA60" s="558"/>
      <c r="AB60" s="559"/>
      <c r="AC60" s="2494"/>
      <c r="AD60" s="560"/>
      <c r="AE60" s="561"/>
      <c r="AF60" s="561"/>
      <c r="AG60" s="562"/>
      <c r="AH60" s="563"/>
      <c r="AI60" s="556"/>
      <c r="AJ60" s="556"/>
      <c r="AK60" s="556"/>
      <c r="AL60" s="556"/>
      <c r="AM60" s="556"/>
      <c r="AN60" s="556"/>
      <c r="AO60" s="556"/>
      <c r="AP60" s="556"/>
      <c r="AQ60" s="556"/>
      <c r="AR60" s="556"/>
      <c r="AS60" s="556"/>
      <c r="AT60" s="556"/>
      <c r="AU60" s="556"/>
      <c r="AV60" s="556"/>
      <c r="AW60" s="556"/>
      <c r="AX60" s="556"/>
      <c r="AY60" s="556"/>
      <c r="AZ60" s="556"/>
      <c r="BA60" s="556"/>
      <c r="BB60" s="556"/>
      <c r="BC60" s="556"/>
      <c r="BD60" s="556"/>
      <c r="BE60" s="556"/>
      <c r="BF60" s="556"/>
      <c r="BG60" s="556"/>
      <c r="BH60" s="556"/>
      <c r="BI60" s="556"/>
      <c r="BJ60" s="556"/>
      <c r="BK60" s="556"/>
      <c r="BL60" s="556"/>
      <c r="BM60" s="556"/>
      <c r="BN60" s="556"/>
      <c r="BO60" s="556"/>
      <c r="BP60" s="556"/>
      <c r="BQ60" s="556"/>
      <c r="BR60" s="556"/>
      <c r="BS60" s="556"/>
      <c r="BT60" s="556"/>
      <c r="BU60" s="556"/>
      <c r="BV60" s="557"/>
      <c r="BW60" s="557"/>
      <c r="BX60" s="557"/>
      <c r="BY60" s="557"/>
      <c r="BZ60" s="557"/>
      <c r="CA60" s="557"/>
      <c r="CB60" s="557"/>
      <c r="CC60" s="557"/>
      <c r="CD60" s="557"/>
      <c r="CE60" s="557"/>
      <c r="CF60" s="1606"/>
    </row>
    <row r="61" spans="1:84" ht="15" hidden="1" customHeight="1">
      <c r="A61" s="554"/>
      <c r="B61" s="555"/>
      <c r="C61" s="555"/>
      <c r="D61" s="2499"/>
      <c r="E61" s="2495" t="s">
        <v>649</v>
      </c>
      <c r="F61" s="2496"/>
      <c r="G61" s="2497"/>
      <c r="H61" s="2491" t="str">
        <f>IF(A59="","",INDEX(DIFFERENTIATION_UNMERGE_SYSTEM,MATCH(A59,DIFFERENTIATION_ID_DIFF,0)))</f>
        <v>котельная д. Даньково</v>
      </c>
      <c r="I61" s="2491"/>
      <c r="J61" s="2491"/>
      <c r="K61" s="2491"/>
      <c r="L61" s="2491"/>
      <c r="M61" s="2491"/>
      <c r="N61" s="2491"/>
      <c r="O61" s="2491"/>
      <c r="P61" s="2491"/>
      <c r="Q61" s="2491"/>
      <c r="R61" s="2491"/>
      <c r="S61" s="637"/>
      <c r="T61" s="634"/>
      <c r="U61" s="556"/>
      <c r="V61" s="556"/>
      <c r="W61" s="557"/>
      <c r="X61" s="557"/>
      <c r="Y61" s="557"/>
      <c r="Z61" s="557"/>
      <c r="AA61" s="558"/>
      <c r="AB61" s="559"/>
      <c r="AC61" s="2494"/>
      <c r="AD61" s="560"/>
      <c r="AE61" s="561"/>
      <c r="AF61" s="561"/>
      <c r="AG61" s="562"/>
      <c r="AH61" s="563"/>
      <c r="AI61" s="556"/>
      <c r="AJ61" s="556"/>
      <c r="AK61" s="556"/>
      <c r="AL61" s="556"/>
      <c r="AM61" s="556"/>
      <c r="AN61" s="556"/>
      <c r="AO61" s="556"/>
      <c r="AP61" s="556"/>
      <c r="AQ61" s="556"/>
      <c r="AR61" s="556"/>
      <c r="AS61" s="556"/>
      <c r="AT61" s="556"/>
      <c r="AU61" s="556"/>
      <c r="AV61" s="556"/>
      <c r="AW61" s="556"/>
      <c r="AX61" s="556"/>
      <c r="AY61" s="556"/>
      <c r="AZ61" s="556"/>
      <c r="BA61" s="556"/>
      <c r="BB61" s="556"/>
      <c r="BC61" s="556"/>
      <c r="BD61" s="556"/>
      <c r="BE61" s="556"/>
      <c r="BF61" s="556"/>
      <c r="BG61" s="556"/>
      <c r="BH61" s="556"/>
      <c r="BI61" s="556"/>
      <c r="BJ61" s="556"/>
      <c r="BK61" s="556"/>
      <c r="BL61" s="556"/>
      <c r="BM61" s="556"/>
      <c r="BN61" s="556"/>
      <c r="BO61" s="556"/>
      <c r="BP61" s="556"/>
      <c r="BQ61" s="556"/>
      <c r="BR61" s="556"/>
      <c r="BS61" s="556"/>
      <c r="BT61" s="556"/>
      <c r="BU61" s="556"/>
      <c r="BV61" s="557"/>
      <c r="BW61" s="557"/>
      <c r="BX61" s="557"/>
      <c r="BY61" s="557"/>
      <c r="BZ61" s="557"/>
      <c r="CA61" s="557"/>
      <c r="CB61" s="557"/>
      <c r="CC61" s="557"/>
      <c r="CD61" s="557"/>
      <c r="CE61" s="557"/>
      <c r="CF61" s="1606"/>
    </row>
    <row r="62" spans="1:84" ht="24.75" hidden="1" customHeight="1">
      <c r="A62" s="1565"/>
      <c r="B62" s="961"/>
      <c r="C62" s="345"/>
      <c r="D62" s="2499"/>
      <c r="E62" s="2493" t="s">
        <v>705</v>
      </c>
      <c r="F62" s="2493"/>
      <c r="G62" s="2493"/>
      <c r="H62" s="2493"/>
      <c r="I62" s="2493"/>
      <c r="J62" s="2493"/>
      <c r="K62" s="2493"/>
      <c r="L62" s="2493"/>
      <c r="M62" s="2493"/>
      <c r="N62" s="2493"/>
      <c r="O62" s="2493"/>
      <c r="P62" s="2493"/>
      <c r="Q62" s="490">
        <f>SUMIF(T63:T64,"i",Q63:Q64)</f>
        <v>0</v>
      </c>
      <c r="R62" s="869"/>
      <c r="S62" s="1557" t="s">
        <v>706</v>
      </c>
      <c r="T62" s="635" t="s">
        <v>707</v>
      </c>
      <c r="U62" s="2399">
        <v>1</v>
      </c>
      <c r="V62" s="2399" t="str">
        <f>INDEX(B_FHD_FLAG_INDEX_1,1,MATCH(A59,B_FHD_FLAG_DIFFERENTIATION,0))</f>
        <v>отсутствует</v>
      </c>
      <c r="W62" s="961"/>
      <c r="X62" s="961"/>
      <c r="Y62" s="961"/>
      <c r="Z62" s="961"/>
      <c r="AA62" s="1424"/>
      <c r="AB62" s="961"/>
      <c r="AC62" s="2494"/>
      <c r="AD62" s="560"/>
      <c r="AE62" s="961"/>
      <c r="AF62" s="961"/>
      <c r="AG62" s="1424"/>
      <c r="AH62" s="1424"/>
      <c r="AI62" s="1424"/>
      <c r="AJ62" s="1424"/>
      <c r="AK62" s="1424"/>
      <c r="AL62" s="1424"/>
      <c r="AM62" s="1424"/>
      <c r="AN62" s="1424"/>
      <c r="AO62" s="1424"/>
      <c r="AP62" s="1424"/>
      <c r="AQ62" s="1424"/>
      <c r="AR62" s="1424"/>
      <c r="AS62" s="1424"/>
      <c r="AT62" s="1424"/>
      <c r="AU62" s="1424"/>
      <c r="AV62" s="1424"/>
      <c r="AW62" s="1424"/>
      <c r="AX62" s="1424"/>
      <c r="AY62" s="1424"/>
      <c r="AZ62" s="1424"/>
      <c r="BA62" s="1424"/>
      <c r="BB62" s="1424"/>
      <c r="BC62" s="1424"/>
      <c r="BD62" s="1424"/>
      <c r="BE62" s="1424"/>
      <c r="BF62" s="1424"/>
      <c r="BG62" s="1424"/>
      <c r="BH62" s="1424"/>
      <c r="BI62" s="1424"/>
      <c r="BJ62" s="1424"/>
      <c r="BK62" s="1424"/>
      <c r="BL62" s="1424"/>
      <c r="BM62" s="1424"/>
      <c r="BN62" s="1424"/>
      <c r="BO62" s="1424"/>
      <c r="BP62" s="1424"/>
      <c r="BQ62" s="1424"/>
      <c r="BR62" s="1424"/>
      <c r="BS62" s="1424"/>
      <c r="BT62" s="1424"/>
      <c r="BU62" s="1424"/>
      <c r="BV62" s="961"/>
      <c r="BW62" s="961"/>
      <c r="BX62" s="961"/>
      <c r="BY62" s="961"/>
      <c r="BZ62" s="961"/>
      <c r="CA62" s="961"/>
      <c r="CB62" s="961"/>
      <c r="CC62" s="961"/>
      <c r="CD62" s="961"/>
      <c r="CE62" s="961"/>
      <c r="CF62" s="1606"/>
    </row>
    <row r="63" spans="1:84" ht="11.25" hidden="1" customHeight="1">
      <c r="A63" s="1552"/>
      <c r="B63" s="1424"/>
      <c r="C63" s="1424"/>
      <c r="D63" s="2499"/>
      <c r="E63" s="566"/>
      <c r="F63" s="566">
        <v>0</v>
      </c>
      <c r="G63" s="566"/>
      <c r="H63" s="566"/>
      <c r="I63" s="566"/>
      <c r="J63" s="566"/>
      <c r="K63" s="566"/>
      <c r="L63" s="566"/>
      <c r="M63" s="566"/>
      <c r="N63" s="566"/>
      <c r="O63" s="566"/>
      <c r="P63" s="566"/>
      <c r="Q63" s="566"/>
      <c r="R63" s="566"/>
      <c r="S63" s="567"/>
      <c r="T63" s="636"/>
      <c r="U63" s="2399"/>
      <c r="V63" s="2399"/>
      <c r="W63" s="1424"/>
      <c r="X63" s="1424"/>
      <c r="Y63" s="1424"/>
      <c r="Z63" s="1424"/>
      <c r="AA63" s="1424"/>
      <c r="AB63" s="961"/>
      <c r="AC63" s="2494"/>
      <c r="AD63" s="560"/>
      <c r="AE63" s="961"/>
      <c r="AF63" s="961"/>
      <c r="AG63" s="1424"/>
      <c r="AH63" s="1424"/>
      <c r="AI63" s="1424"/>
      <c r="AJ63" s="1424"/>
      <c r="AK63" s="1424"/>
      <c r="AL63" s="1424"/>
      <c r="AM63" s="1424"/>
      <c r="AN63" s="1424"/>
      <c r="AO63" s="1424"/>
      <c r="AP63" s="1424"/>
      <c r="AQ63" s="1424"/>
      <c r="AR63" s="1424"/>
      <c r="AS63" s="1424"/>
      <c r="AT63" s="1424"/>
      <c r="AU63" s="1424"/>
      <c r="AV63" s="1424"/>
      <c r="AW63" s="1424"/>
      <c r="AX63" s="1424"/>
      <c r="AY63" s="1424"/>
      <c r="AZ63" s="1424"/>
      <c r="BA63" s="1424"/>
      <c r="BB63" s="1424"/>
      <c r="BC63" s="1424"/>
      <c r="BD63" s="1424"/>
      <c r="BE63" s="1424"/>
      <c r="BF63" s="1424"/>
      <c r="BG63" s="1424"/>
      <c r="BH63" s="1424"/>
      <c r="BI63" s="1424"/>
      <c r="BJ63" s="1424"/>
      <c r="BK63" s="1424"/>
      <c r="BL63" s="1424"/>
      <c r="BM63" s="1424"/>
      <c r="BN63" s="1424"/>
      <c r="BO63" s="1424"/>
      <c r="BP63" s="1424"/>
      <c r="BQ63" s="1424"/>
      <c r="BR63" s="1424"/>
      <c r="BS63" s="1424"/>
      <c r="BT63" s="1424"/>
      <c r="BU63" s="1424"/>
      <c r="BV63" s="1424"/>
      <c r="BW63" s="1424"/>
      <c r="BX63" s="1424"/>
      <c r="BY63" s="1424"/>
      <c r="BZ63" s="1424"/>
      <c r="CA63" s="1424"/>
      <c r="CB63" s="1424"/>
      <c r="CC63" s="1424"/>
      <c r="CD63" s="1424"/>
      <c r="CE63" s="1424"/>
      <c r="CF63" s="1606"/>
    </row>
    <row r="64" spans="1:84" ht="11.25" hidden="1" customHeight="1">
      <c r="A64" s="1565"/>
      <c r="B64" s="961"/>
      <c r="C64" s="345"/>
      <c r="D64" s="2499"/>
      <c r="E64" s="580" t="s">
        <v>9</v>
      </c>
      <c r="F64" s="969" t="s">
        <v>9</v>
      </c>
      <c r="G64" s="969" t="s">
        <v>710</v>
      </c>
      <c r="H64" s="582" t="s">
        <v>9</v>
      </c>
      <c r="I64" s="582"/>
      <c r="J64" s="582"/>
      <c r="K64" s="582"/>
      <c r="L64" s="582"/>
      <c r="M64" s="582"/>
      <c r="N64" s="582"/>
      <c r="O64" s="582"/>
      <c r="P64" s="582"/>
      <c r="Q64" s="582"/>
      <c r="R64" s="583"/>
      <c r="S64" s="584"/>
      <c r="T64" s="636"/>
      <c r="U64" s="2399"/>
      <c r="V64" s="2399"/>
      <c r="W64" s="961"/>
      <c r="X64" s="961"/>
      <c r="Y64" s="961"/>
      <c r="Z64" s="961"/>
      <c r="AA64" s="1424"/>
      <c r="AB64" s="961"/>
      <c r="AC64" s="2494"/>
      <c r="AD64" s="560"/>
      <c r="AE64" s="961"/>
      <c r="AF64" s="961"/>
      <c r="AG64" s="1424"/>
      <c r="AH64" s="1424"/>
      <c r="AI64" s="1424"/>
      <c r="AJ64" s="1424"/>
      <c r="AK64" s="1424"/>
      <c r="AL64" s="1424"/>
      <c r="AM64" s="1424"/>
      <c r="AN64" s="1424"/>
      <c r="AO64" s="1424"/>
      <c r="AP64" s="1424"/>
      <c r="AQ64" s="1424"/>
      <c r="AR64" s="1424"/>
      <c r="AS64" s="1424"/>
      <c r="AT64" s="1424"/>
      <c r="AU64" s="1424"/>
      <c r="AV64" s="1424"/>
      <c r="AW64" s="1424"/>
      <c r="AX64" s="1424"/>
      <c r="AY64" s="1424"/>
      <c r="AZ64" s="1424"/>
      <c r="BA64" s="1424"/>
      <c r="BB64" s="1424"/>
      <c r="BC64" s="1424"/>
      <c r="BD64" s="1424"/>
      <c r="BE64" s="1424"/>
      <c r="BF64" s="1424"/>
      <c r="BG64" s="1424"/>
      <c r="BH64" s="1424"/>
      <c r="BI64" s="1424"/>
      <c r="BJ64" s="1424"/>
      <c r="BK64" s="1424"/>
      <c r="BL64" s="1424"/>
      <c r="BM64" s="1424"/>
      <c r="BN64" s="1424"/>
      <c r="BO64" s="1424"/>
      <c r="BP64" s="1424"/>
      <c r="BQ64" s="1424"/>
      <c r="BR64" s="1424"/>
      <c r="BS64" s="1424"/>
      <c r="BT64" s="1424"/>
      <c r="BU64" s="1424"/>
      <c r="BV64" s="961"/>
      <c r="BW64" s="961"/>
      <c r="BX64" s="961"/>
      <c r="BY64" s="961"/>
      <c r="BZ64" s="961"/>
      <c r="CA64" s="961"/>
      <c r="CB64" s="961"/>
      <c r="CC64" s="961"/>
      <c r="CD64" s="961"/>
      <c r="CE64" s="961"/>
      <c r="CF64" s="1606"/>
    </row>
    <row r="65" spans="1:84" ht="5.25" hidden="1" customHeight="1">
      <c r="A65" s="1552"/>
      <c r="B65" s="1424"/>
      <c r="C65" s="1424"/>
      <c r="D65" s="2499"/>
      <c r="E65" s="878"/>
      <c r="F65" s="878"/>
      <c r="G65" s="878"/>
      <c r="H65" s="878"/>
      <c r="I65" s="878"/>
      <c r="J65" s="878"/>
      <c r="K65" s="878"/>
      <c r="L65" s="878"/>
      <c r="M65" s="878"/>
      <c r="N65" s="878"/>
      <c r="O65" s="878"/>
      <c r="P65" s="878"/>
      <c r="Q65" s="879"/>
      <c r="R65" s="880"/>
      <c r="S65" s="881"/>
      <c r="T65" s="635" t="s">
        <v>707</v>
      </c>
      <c r="U65" s="2399">
        <v>1</v>
      </c>
      <c r="V65" s="2399" t="s">
        <v>664</v>
      </c>
      <c r="W65" s="1424"/>
      <c r="X65" s="1424"/>
      <c r="Y65" s="1424"/>
      <c r="Z65" s="1424"/>
      <c r="AA65" s="1424"/>
      <c r="AB65" s="1424"/>
      <c r="AC65" s="876"/>
      <c r="AD65" s="877"/>
      <c r="AE65" s="1424"/>
      <c r="AF65" s="1424"/>
      <c r="AG65" s="1424"/>
      <c r="AH65" s="1424"/>
      <c r="AI65" s="1424"/>
      <c r="AJ65" s="1424"/>
      <c r="AK65" s="1424"/>
      <c r="AL65" s="1424"/>
      <c r="AM65" s="1424"/>
      <c r="AN65" s="1424"/>
      <c r="AO65" s="1424"/>
      <c r="AP65" s="1424"/>
      <c r="AQ65" s="1424"/>
      <c r="AR65" s="1424"/>
      <c r="AS65" s="1424"/>
      <c r="AT65" s="1424"/>
      <c r="AU65" s="1424"/>
      <c r="AV65" s="1424"/>
      <c r="AW65" s="1424"/>
      <c r="AX65" s="1424"/>
      <c r="AY65" s="1424"/>
      <c r="AZ65" s="1424"/>
      <c r="BA65" s="1424"/>
      <c r="BB65" s="1424"/>
      <c r="BC65" s="1424"/>
      <c r="BD65" s="1424"/>
      <c r="BE65" s="1424"/>
      <c r="BF65" s="1424"/>
      <c r="BG65" s="1424"/>
      <c r="BH65" s="1424"/>
      <c r="BI65" s="1424"/>
      <c r="BJ65" s="1424"/>
      <c r="BK65" s="1424"/>
      <c r="BL65" s="1424"/>
      <c r="BM65" s="1424"/>
      <c r="BN65" s="1424"/>
      <c r="BO65" s="1424"/>
      <c r="BP65" s="1424"/>
      <c r="BQ65" s="1424"/>
      <c r="BR65" s="1424"/>
      <c r="BS65" s="1424"/>
      <c r="BT65" s="1424"/>
      <c r="BU65" s="1424"/>
      <c r="BV65" s="1424"/>
      <c r="BW65" s="1424"/>
      <c r="BX65" s="1424"/>
      <c r="BY65" s="1424"/>
      <c r="BZ65" s="1424"/>
      <c r="CA65" s="1424"/>
      <c r="CB65" s="1424"/>
      <c r="CC65" s="1424"/>
      <c r="CD65" s="1424"/>
      <c r="CE65" s="1424"/>
      <c r="CF65" s="1104"/>
    </row>
    <row r="66" spans="1:84" ht="5.25" hidden="1" customHeight="1">
      <c r="A66" s="1552"/>
      <c r="B66" s="1424"/>
      <c r="C66" s="1424"/>
      <c r="D66" s="2499"/>
      <c r="E66" s="566"/>
      <c r="F66" s="566"/>
      <c r="G66" s="566"/>
      <c r="H66" s="566"/>
      <c r="I66" s="566"/>
      <c r="J66" s="566"/>
      <c r="K66" s="566"/>
      <c r="L66" s="566"/>
      <c r="M66" s="566"/>
      <c r="N66" s="566"/>
      <c r="O66" s="566"/>
      <c r="P66" s="566"/>
      <c r="Q66" s="566"/>
      <c r="R66" s="566"/>
      <c r="S66" s="567"/>
      <c r="T66" s="636"/>
      <c r="U66" s="2399"/>
      <c r="V66" s="2399"/>
      <c r="W66" s="1424"/>
      <c r="X66" s="1424"/>
      <c r="Y66" s="1424"/>
      <c r="Z66" s="1424"/>
      <c r="AA66" s="1424"/>
      <c r="AB66" s="1424"/>
      <c r="AC66" s="876"/>
      <c r="AD66" s="877"/>
      <c r="AE66" s="1424"/>
      <c r="AF66" s="1424"/>
      <c r="AG66" s="1424"/>
      <c r="AH66" s="1424"/>
      <c r="AI66" s="1424"/>
      <c r="AJ66" s="1424"/>
      <c r="AK66" s="1424"/>
      <c r="AL66" s="1424"/>
      <c r="AM66" s="1424"/>
      <c r="AN66" s="1424"/>
      <c r="AO66" s="1424"/>
      <c r="AP66" s="1424"/>
      <c r="AQ66" s="1424"/>
      <c r="AR66" s="1424"/>
      <c r="AS66" s="1424"/>
      <c r="AT66" s="1424"/>
      <c r="AU66" s="1424"/>
      <c r="AV66" s="1424"/>
      <c r="AW66" s="1424"/>
      <c r="AX66" s="1424"/>
      <c r="AY66" s="1424"/>
      <c r="AZ66" s="1424"/>
      <c r="BA66" s="1424"/>
      <c r="BB66" s="1424"/>
      <c r="BC66" s="1424"/>
      <c r="BD66" s="1424"/>
      <c r="BE66" s="1424"/>
      <c r="BF66" s="1424"/>
      <c r="BG66" s="1424"/>
      <c r="BH66" s="1424"/>
      <c r="BI66" s="1424"/>
      <c r="BJ66" s="1424"/>
      <c r="BK66" s="1424"/>
      <c r="BL66" s="1424"/>
      <c r="BM66" s="1424"/>
      <c r="BN66" s="1424"/>
      <c r="BO66" s="1424"/>
      <c r="BP66" s="1424"/>
      <c r="BQ66" s="1424"/>
      <c r="BR66" s="1424"/>
      <c r="BS66" s="1424"/>
      <c r="BT66" s="1424"/>
      <c r="BU66" s="1424"/>
      <c r="BV66" s="1424"/>
      <c r="BW66" s="1424"/>
      <c r="BX66" s="1424"/>
      <c r="BY66" s="1424"/>
      <c r="BZ66" s="1424"/>
      <c r="CA66" s="1424"/>
      <c r="CB66" s="1424"/>
      <c r="CC66" s="1424"/>
      <c r="CD66" s="1424"/>
      <c r="CE66" s="1424"/>
      <c r="CF66" s="1104"/>
    </row>
    <row r="67" spans="1:84" ht="5.25" hidden="1" customHeight="1">
      <c r="A67" s="1552"/>
      <c r="B67" s="1424"/>
      <c r="C67" s="1424"/>
      <c r="D67" s="2500"/>
      <c r="E67" s="882"/>
      <c r="F67" s="883"/>
      <c r="G67" s="883"/>
      <c r="H67" s="884"/>
      <c r="I67" s="884"/>
      <c r="J67" s="884"/>
      <c r="K67" s="884"/>
      <c r="L67" s="884"/>
      <c r="M67" s="884"/>
      <c r="N67" s="884"/>
      <c r="O67" s="884"/>
      <c r="P67" s="884"/>
      <c r="Q67" s="884"/>
      <c r="R67" s="806"/>
      <c r="S67" s="885"/>
      <c r="T67" s="636"/>
      <c r="U67" s="2399"/>
      <c r="V67" s="2399"/>
      <c r="W67" s="1424"/>
      <c r="X67" s="1424"/>
      <c r="Y67" s="1424"/>
      <c r="Z67" s="1424"/>
      <c r="AA67" s="1424"/>
      <c r="AB67" s="1424"/>
      <c r="AC67" s="876"/>
      <c r="AD67" s="877"/>
      <c r="AE67" s="1424"/>
      <c r="AF67" s="1424"/>
      <c r="AG67" s="1424"/>
      <c r="AH67" s="1424"/>
      <c r="AI67" s="1424"/>
      <c r="AJ67" s="1424"/>
      <c r="AK67" s="1424"/>
      <c r="AL67" s="1424"/>
      <c r="AM67" s="1424"/>
      <c r="AN67" s="1424"/>
      <c r="AO67" s="1424"/>
      <c r="AP67" s="1424"/>
      <c r="AQ67" s="1424"/>
      <c r="AR67" s="1424"/>
      <c r="AS67" s="1424"/>
      <c r="AT67" s="1424"/>
      <c r="AU67" s="1424"/>
      <c r="AV67" s="1424"/>
      <c r="AW67" s="1424"/>
      <c r="AX67" s="1424"/>
      <c r="AY67" s="1424"/>
      <c r="AZ67" s="1424"/>
      <c r="BA67" s="1424"/>
      <c r="BB67" s="1424"/>
      <c r="BC67" s="1424"/>
      <c r="BD67" s="1424"/>
      <c r="BE67" s="1424"/>
      <c r="BF67" s="1424"/>
      <c r="BG67" s="1424"/>
      <c r="BH67" s="1424"/>
      <c r="BI67" s="1424"/>
      <c r="BJ67" s="1424"/>
      <c r="BK67" s="1424"/>
      <c r="BL67" s="1424"/>
      <c r="BM67" s="1424"/>
      <c r="BN67" s="1424"/>
      <c r="BO67" s="1424"/>
      <c r="BP67" s="1424"/>
      <c r="BQ67" s="1424"/>
      <c r="BR67" s="1424"/>
      <c r="BS67" s="1424"/>
      <c r="BT67" s="1424"/>
      <c r="BU67" s="1424"/>
      <c r="BV67" s="1424"/>
      <c r="BW67" s="1424"/>
      <c r="BX67" s="1424"/>
      <c r="BY67" s="1424"/>
      <c r="BZ67" s="1424"/>
      <c r="CA67" s="1424"/>
      <c r="CB67" s="1424"/>
      <c r="CC67" s="1424"/>
      <c r="CD67" s="1424"/>
      <c r="CE67" s="1424"/>
      <c r="CF67" s="1104"/>
    </row>
    <row r="68" spans="1:84" ht="15" hidden="1" customHeight="1">
      <c r="A68" s="554" t="s">
        <v>182</v>
      </c>
      <c r="B68" s="555"/>
      <c r="C68" s="555" t="s">
        <v>9</v>
      </c>
      <c r="D68" s="2498" t="s">
        <v>715</v>
      </c>
      <c r="E68" s="2495" t="s">
        <v>157</v>
      </c>
      <c r="F68" s="2496"/>
      <c r="G68" s="2497"/>
      <c r="H68" s="2491" t="str">
        <f>IF(A68="","",INDEX(DIFFERENTIATION_UNMERGE_VD,MATCH(A68,DIFFERENTIATION_ID_DIFF,0)))</f>
        <v>Производство тепловой энергии. Некомбинированная выработка; Передача. Тепловая энергия; Сбыт. Тепловая энергия</v>
      </c>
      <c r="I68" s="2491"/>
      <c r="J68" s="2491"/>
      <c r="K68" s="2491"/>
      <c r="L68" s="2491"/>
      <c r="M68" s="2491"/>
      <c r="N68" s="2491"/>
      <c r="O68" s="2491"/>
      <c r="P68" s="2491"/>
      <c r="Q68" s="2491"/>
      <c r="R68" s="2491"/>
      <c r="S68" s="637"/>
      <c r="T68" s="634"/>
      <c r="U68" s="556"/>
      <c r="V68" s="556"/>
      <c r="W68" s="557"/>
      <c r="X68" s="557"/>
      <c r="Y68" s="557"/>
      <c r="Z68" s="557"/>
      <c r="AA68" s="558"/>
      <c r="AB68" s="559"/>
      <c r="AC68" s="2494"/>
      <c r="AD68" s="560"/>
      <c r="AE68" s="561" t="s">
        <v>9</v>
      </c>
      <c r="AF68" s="561"/>
      <c r="AG68" s="562" t="s">
        <v>704</v>
      </c>
      <c r="AH68" s="563">
        <v>3</v>
      </c>
      <c r="AI68" s="556"/>
      <c r="AJ68" s="556"/>
      <c r="AK68" s="556"/>
      <c r="AL68" s="556"/>
      <c r="AM68" s="556"/>
      <c r="AN68" s="556"/>
      <c r="AO68" s="556"/>
      <c r="AP68" s="556"/>
      <c r="AQ68" s="556"/>
      <c r="AR68" s="556"/>
      <c r="AS68" s="556"/>
      <c r="AT68" s="556"/>
      <c r="AU68" s="556"/>
      <c r="AV68" s="556"/>
      <c r="AW68" s="556"/>
      <c r="AX68" s="556"/>
      <c r="AY68" s="556"/>
      <c r="AZ68" s="556"/>
      <c r="BA68" s="556"/>
      <c r="BB68" s="556"/>
      <c r="BC68" s="556"/>
      <c r="BD68" s="556"/>
      <c r="BE68" s="556"/>
      <c r="BF68" s="556"/>
      <c r="BG68" s="556"/>
      <c r="BH68" s="556"/>
      <c r="BI68" s="556"/>
      <c r="BJ68" s="556"/>
      <c r="BK68" s="556"/>
      <c r="BL68" s="556"/>
      <c r="BM68" s="556"/>
      <c r="BN68" s="556"/>
      <c r="BO68" s="556"/>
      <c r="BP68" s="556"/>
      <c r="BQ68" s="556"/>
      <c r="BR68" s="556"/>
      <c r="BS68" s="556"/>
      <c r="BT68" s="556"/>
      <c r="BU68" s="556"/>
      <c r="BV68" s="557"/>
      <c r="BW68" s="557"/>
      <c r="BX68" s="557"/>
      <c r="BY68" s="557"/>
      <c r="BZ68" s="557"/>
      <c r="CA68" s="557"/>
      <c r="CB68" s="557"/>
      <c r="CC68" s="557"/>
      <c r="CD68" s="557"/>
      <c r="CE68" s="557"/>
      <c r="CF68" s="1606"/>
    </row>
    <row r="69" spans="1:84" ht="15" hidden="1" customHeight="1">
      <c r="A69" s="554"/>
      <c r="B69" s="555"/>
      <c r="C69" s="555"/>
      <c r="D69" s="2499"/>
      <c r="E69" s="2495" t="s">
        <v>648</v>
      </c>
      <c r="F69" s="2496"/>
      <c r="G69" s="2497"/>
      <c r="H69" s="2491" t="str">
        <f>IF(A68="","",INDEX(DIFFERENTIATION_UNMERGE_AREA,MATCH(A68,DIFFERENTIATION_ID_DIFF,0)))</f>
        <v>Территория 6</v>
      </c>
      <c r="I69" s="2491"/>
      <c r="J69" s="2491"/>
      <c r="K69" s="2491"/>
      <c r="L69" s="2491"/>
      <c r="M69" s="2491"/>
      <c r="N69" s="2491"/>
      <c r="O69" s="2491"/>
      <c r="P69" s="2491"/>
      <c r="Q69" s="2491"/>
      <c r="R69" s="2491"/>
      <c r="S69" s="637"/>
      <c r="T69" s="634"/>
      <c r="U69" s="556"/>
      <c r="V69" s="556"/>
      <c r="W69" s="557"/>
      <c r="X69" s="557"/>
      <c r="Y69" s="557"/>
      <c r="Z69" s="557"/>
      <c r="AA69" s="558"/>
      <c r="AB69" s="559"/>
      <c r="AC69" s="2494"/>
      <c r="AD69" s="560"/>
      <c r="AE69" s="561"/>
      <c r="AF69" s="561"/>
      <c r="AG69" s="562"/>
      <c r="AH69" s="563"/>
      <c r="AI69" s="556"/>
      <c r="AJ69" s="556"/>
      <c r="AK69" s="556"/>
      <c r="AL69" s="556"/>
      <c r="AM69" s="556"/>
      <c r="AN69" s="556"/>
      <c r="AO69" s="556"/>
      <c r="AP69" s="556"/>
      <c r="AQ69" s="556"/>
      <c r="AR69" s="556"/>
      <c r="AS69" s="556"/>
      <c r="AT69" s="556"/>
      <c r="AU69" s="556"/>
      <c r="AV69" s="556"/>
      <c r="AW69" s="556"/>
      <c r="AX69" s="556"/>
      <c r="AY69" s="556"/>
      <c r="AZ69" s="556"/>
      <c r="BA69" s="556"/>
      <c r="BB69" s="556"/>
      <c r="BC69" s="556"/>
      <c r="BD69" s="556"/>
      <c r="BE69" s="556"/>
      <c r="BF69" s="556"/>
      <c r="BG69" s="556"/>
      <c r="BH69" s="556"/>
      <c r="BI69" s="556"/>
      <c r="BJ69" s="556"/>
      <c r="BK69" s="556"/>
      <c r="BL69" s="556"/>
      <c r="BM69" s="556"/>
      <c r="BN69" s="556"/>
      <c r="BO69" s="556"/>
      <c r="BP69" s="556"/>
      <c r="BQ69" s="556"/>
      <c r="BR69" s="556"/>
      <c r="BS69" s="556"/>
      <c r="BT69" s="556"/>
      <c r="BU69" s="556"/>
      <c r="BV69" s="557"/>
      <c r="BW69" s="557"/>
      <c r="BX69" s="557"/>
      <c r="BY69" s="557"/>
      <c r="BZ69" s="557"/>
      <c r="CA69" s="557"/>
      <c r="CB69" s="557"/>
      <c r="CC69" s="557"/>
      <c r="CD69" s="557"/>
      <c r="CE69" s="557"/>
      <c r="CF69" s="1606"/>
    </row>
    <row r="70" spans="1:84" ht="15" hidden="1" customHeight="1">
      <c r="A70" s="554"/>
      <c r="B70" s="555"/>
      <c r="C70" s="555"/>
      <c r="D70" s="2499"/>
      <c r="E70" s="2495" t="s">
        <v>649</v>
      </c>
      <c r="F70" s="2496"/>
      <c r="G70" s="2497"/>
      <c r="H70" s="2491" t="str">
        <f>IF(A68="","",INDEX(DIFFERENTIATION_UNMERGE_SYSTEM,MATCH(A68,DIFFERENTIATION_ID_DIFF,0)))</f>
        <v>котельная д. Пересна</v>
      </c>
      <c r="I70" s="2491"/>
      <c r="J70" s="2491"/>
      <c r="K70" s="2491"/>
      <c r="L70" s="2491"/>
      <c r="M70" s="2491"/>
      <c r="N70" s="2491"/>
      <c r="O70" s="2491"/>
      <c r="P70" s="2491"/>
      <c r="Q70" s="2491"/>
      <c r="R70" s="2491"/>
      <c r="S70" s="637"/>
      <c r="T70" s="634"/>
      <c r="U70" s="556"/>
      <c r="V70" s="556"/>
      <c r="W70" s="557"/>
      <c r="X70" s="557"/>
      <c r="Y70" s="557"/>
      <c r="Z70" s="557"/>
      <c r="AA70" s="558"/>
      <c r="AB70" s="559"/>
      <c r="AC70" s="2494"/>
      <c r="AD70" s="560"/>
      <c r="AE70" s="561"/>
      <c r="AF70" s="561"/>
      <c r="AG70" s="562"/>
      <c r="AH70" s="563"/>
      <c r="AI70" s="556"/>
      <c r="AJ70" s="556"/>
      <c r="AK70" s="556"/>
      <c r="AL70" s="556"/>
      <c r="AM70" s="556"/>
      <c r="AN70" s="556"/>
      <c r="AO70" s="556"/>
      <c r="AP70" s="556"/>
      <c r="AQ70" s="556"/>
      <c r="AR70" s="556"/>
      <c r="AS70" s="556"/>
      <c r="AT70" s="556"/>
      <c r="AU70" s="556"/>
      <c r="AV70" s="556"/>
      <c r="AW70" s="556"/>
      <c r="AX70" s="556"/>
      <c r="AY70" s="556"/>
      <c r="AZ70" s="556"/>
      <c r="BA70" s="556"/>
      <c r="BB70" s="556"/>
      <c r="BC70" s="556"/>
      <c r="BD70" s="556"/>
      <c r="BE70" s="556"/>
      <c r="BF70" s="556"/>
      <c r="BG70" s="556"/>
      <c r="BH70" s="556"/>
      <c r="BI70" s="556"/>
      <c r="BJ70" s="556"/>
      <c r="BK70" s="556"/>
      <c r="BL70" s="556"/>
      <c r="BM70" s="556"/>
      <c r="BN70" s="556"/>
      <c r="BO70" s="556"/>
      <c r="BP70" s="556"/>
      <c r="BQ70" s="556"/>
      <c r="BR70" s="556"/>
      <c r="BS70" s="556"/>
      <c r="BT70" s="556"/>
      <c r="BU70" s="556"/>
      <c r="BV70" s="557"/>
      <c r="BW70" s="557"/>
      <c r="BX70" s="557"/>
      <c r="BY70" s="557"/>
      <c r="BZ70" s="557"/>
      <c r="CA70" s="557"/>
      <c r="CB70" s="557"/>
      <c r="CC70" s="557"/>
      <c r="CD70" s="557"/>
      <c r="CE70" s="557"/>
      <c r="CF70" s="1606"/>
    </row>
    <row r="71" spans="1:84" ht="24.75" hidden="1" customHeight="1">
      <c r="A71" s="1565"/>
      <c r="B71" s="961"/>
      <c r="C71" s="345"/>
      <c r="D71" s="2499"/>
      <c r="E71" s="2493" t="s">
        <v>705</v>
      </c>
      <c r="F71" s="2493"/>
      <c r="G71" s="2493"/>
      <c r="H71" s="2493"/>
      <c r="I71" s="2493"/>
      <c r="J71" s="2493"/>
      <c r="K71" s="2493"/>
      <c r="L71" s="2493"/>
      <c r="M71" s="2493"/>
      <c r="N71" s="2493"/>
      <c r="O71" s="2493"/>
      <c r="P71" s="2493"/>
      <c r="Q71" s="490">
        <f>SUMIF(T72:T73,"i",Q72:Q73)</f>
        <v>0</v>
      </c>
      <c r="R71" s="869"/>
      <c r="S71" s="1557" t="s">
        <v>706</v>
      </c>
      <c r="T71" s="635" t="s">
        <v>707</v>
      </c>
      <c r="U71" s="2399">
        <v>1</v>
      </c>
      <c r="V71" s="2399" t="str">
        <f>INDEX(B_FHD_FLAG_INDEX_1,1,MATCH(A68,B_FHD_FLAG_DIFFERENTIATION,0))</f>
        <v>отсутствует</v>
      </c>
      <c r="W71" s="961"/>
      <c r="X71" s="961"/>
      <c r="Y71" s="961"/>
      <c r="Z71" s="961"/>
      <c r="AA71" s="1424"/>
      <c r="AB71" s="961"/>
      <c r="AC71" s="2494"/>
      <c r="AD71" s="560"/>
      <c r="AE71" s="961"/>
      <c r="AF71" s="961"/>
      <c r="AG71" s="1424"/>
      <c r="AH71" s="1424"/>
      <c r="AI71" s="1424"/>
      <c r="AJ71" s="1424"/>
      <c r="AK71" s="1424"/>
      <c r="AL71" s="1424"/>
      <c r="AM71" s="1424"/>
      <c r="AN71" s="1424"/>
      <c r="AO71" s="1424"/>
      <c r="AP71" s="1424"/>
      <c r="AQ71" s="1424"/>
      <c r="AR71" s="1424"/>
      <c r="AS71" s="1424"/>
      <c r="AT71" s="1424"/>
      <c r="AU71" s="1424"/>
      <c r="AV71" s="1424"/>
      <c r="AW71" s="1424"/>
      <c r="AX71" s="1424"/>
      <c r="AY71" s="1424"/>
      <c r="AZ71" s="1424"/>
      <c r="BA71" s="1424"/>
      <c r="BB71" s="1424"/>
      <c r="BC71" s="1424"/>
      <c r="BD71" s="1424"/>
      <c r="BE71" s="1424"/>
      <c r="BF71" s="1424"/>
      <c r="BG71" s="1424"/>
      <c r="BH71" s="1424"/>
      <c r="BI71" s="1424"/>
      <c r="BJ71" s="1424"/>
      <c r="BK71" s="1424"/>
      <c r="BL71" s="1424"/>
      <c r="BM71" s="1424"/>
      <c r="BN71" s="1424"/>
      <c r="BO71" s="1424"/>
      <c r="BP71" s="1424"/>
      <c r="BQ71" s="1424"/>
      <c r="BR71" s="1424"/>
      <c r="BS71" s="1424"/>
      <c r="BT71" s="1424"/>
      <c r="BU71" s="1424"/>
      <c r="BV71" s="961"/>
      <c r="BW71" s="961"/>
      <c r="BX71" s="961"/>
      <c r="BY71" s="961"/>
      <c r="BZ71" s="961"/>
      <c r="CA71" s="961"/>
      <c r="CB71" s="961"/>
      <c r="CC71" s="961"/>
      <c r="CD71" s="961"/>
      <c r="CE71" s="961"/>
      <c r="CF71" s="1606"/>
    </row>
    <row r="72" spans="1:84" ht="11.25" hidden="1" customHeight="1">
      <c r="A72" s="1552"/>
      <c r="B72" s="1424"/>
      <c r="C72" s="1424"/>
      <c r="D72" s="2499"/>
      <c r="E72" s="566"/>
      <c r="F72" s="566">
        <v>0</v>
      </c>
      <c r="G72" s="566"/>
      <c r="H72" s="566"/>
      <c r="I72" s="566"/>
      <c r="J72" s="566"/>
      <c r="K72" s="566"/>
      <c r="L72" s="566"/>
      <c r="M72" s="566"/>
      <c r="N72" s="566"/>
      <c r="O72" s="566"/>
      <c r="P72" s="566"/>
      <c r="Q72" s="566"/>
      <c r="R72" s="566"/>
      <c r="S72" s="567"/>
      <c r="T72" s="636"/>
      <c r="U72" s="2399"/>
      <c r="V72" s="2399"/>
      <c r="W72" s="1424"/>
      <c r="X72" s="1424"/>
      <c r="Y72" s="1424"/>
      <c r="Z72" s="1424"/>
      <c r="AA72" s="1424"/>
      <c r="AB72" s="961"/>
      <c r="AC72" s="2494"/>
      <c r="AD72" s="560"/>
      <c r="AE72" s="961"/>
      <c r="AF72" s="961"/>
      <c r="AG72" s="1424"/>
      <c r="AH72" s="1424"/>
      <c r="AI72" s="1424"/>
      <c r="AJ72" s="1424"/>
      <c r="AK72" s="1424"/>
      <c r="AL72" s="1424"/>
      <c r="AM72" s="1424"/>
      <c r="AN72" s="1424"/>
      <c r="AO72" s="1424"/>
      <c r="AP72" s="1424"/>
      <c r="AQ72" s="1424"/>
      <c r="AR72" s="1424"/>
      <c r="AS72" s="1424"/>
      <c r="AT72" s="1424"/>
      <c r="AU72" s="1424"/>
      <c r="AV72" s="1424"/>
      <c r="AW72" s="1424"/>
      <c r="AX72" s="1424"/>
      <c r="AY72" s="1424"/>
      <c r="AZ72" s="1424"/>
      <c r="BA72" s="1424"/>
      <c r="BB72" s="1424"/>
      <c r="BC72" s="1424"/>
      <c r="BD72" s="1424"/>
      <c r="BE72" s="1424"/>
      <c r="BF72" s="1424"/>
      <c r="BG72" s="1424"/>
      <c r="BH72" s="1424"/>
      <c r="BI72" s="1424"/>
      <c r="BJ72" s="1424"/>
      <c r="BK72" s="1424"/>
      <c r="BL72" s="1424"/>
      <c r="BM72" s="1424"/>
      <c r="BN72" s="1424"/>
      <c r="BO72" s="1424"/>
      <c r="BP72" s="1424"/>
      <c r="BQ72" s="1424"/>
      <c r="BR72" s="1424"/>
      <c r="BS72" s="1424"/>
      <c r="BT72" s="1424"/>
      <c r="BU72" s="1424"/>
      <c r="BV72" s="1424"/>
      <c r="BW72" s="1424"/>
      <c r="BX72" s="1424"/>
      <c r="BY72" s="1424"/>
      <c r="BZ72" s="1424"/>
      <c r="CA72" s="1424"/>
      <c r="CB72" s="1424"/>
      <c r="CC72" s="1424"/>
      <c r="CD72" s="1424"/>
      <c r="CE72" s="1424"/>
      <c r="CF72" s="1606"/>
    </row>
    <row r="73" spans="1:84" ht="11.25" hidden="1" customHeight="1">
      <c r="A73" s="1565"/>
      <c r="B73" s="961"/>
      <c r="C73" s="345"/>
      <c r="D73" s="2499"/>
      <c r="E73" s="580" t="s">
        <v>9</v>
      </c>
      <c r="F73" s="969" t="s">
        <v>9</v>
      </c>
      <c r="G73" s="969" t="s">
        <v>710</v>
      </c>
      <c r="H73" s="582" t="s">
        <v>9</v>
      </c>
      <c r="I73" s="582"/>
      <c r="J73" s="582"/>
      <c r="K73" s="582"/>
      <c r="L73" s="582"/>
      <c r="M73" s="582"/>
      <c r="N73" s="582"/>
      <c r="O73" s="582"/>
      <c r="P73" s="582"/>
      <c r="Q73" s="582"/>
      <c r="R73" s="583"/>
      <c r="S73" s="584"/>
      <c r="T73" s="636"/>
      <c r="U73" s="2399"/>
      <c r="V73" s="2399"/>
      <c r="W73" s="961"/>
      <c r="X73" s="961"/>
      <c r="Y73" s="961"/>
      <c r="Z73" s="961"/>
      <c r="AA73" s="1424"/>
      <c r="AB73" s="961"/>
      <c r="AC73" s="2494"/>
      <c r="AD73" s="560"/>
      <c r="AE73" s="961"/>
      <c r="AF73" s="961"/>
      <c r="AG73" s="1424"/>
      <c r="AH73" s="1424"/>
      <c r="AI73" s="1424"/>
      <c r="AJ73" s="1424"/>
      <c r="AK73" s="1424"/>
      <c r="AL73" s="1424"/>
      <c r="AM73" s="1424"/>
      <c r="AN73" s="1424"/>
      <c r="AO73" s="1424"/>
      <c r="AP73" s="1424"/>
      <c r="AQ73" s="1424"/>
      <c r="AR73" s="1424"/>
      <c r="AS73" s="1424"/>
      <c r="AT73" s="1424"/>
      <c r="AU73" s="1424"/>
      <c r="AV73" s="1424"/>
      <c r="AW73" s="1424"/>
      <c r="AX73" s="1424"/>
      <c r="AY73" s="1424"/>
      <c r="AZ73" s="1424"/>
      <c r="BA73" s="1424"/>
      <c r="BB73" s="1424"/>
      <c r="BC73" s="1424"/>
      <c r="BD73" s="1424"/>
      <c r="BE73" s="1424"/>
      <c r="BF73" s="1424"/>
      <c r="BG73" s="1424"/>
      <c r="BH73" s="1424"/>
      <c r="BI73" s="1424"/>
      <c r="BJ73" s="1424"/>
      <c r="BK73" s="1424"/>
      <c r="BL73" s="1424"/>
      <c r="BM73" s="1424"/>
      <c r="BN73" s="1424"/>
      <c r="BO73" s="1424"/>
      <c r="BP73" s="1424"/>
      <c r="BQ73" s="1424"/>
      <c r="BR73" s="1424"/>
      <c r="BS73" s="1424"/>
      <c r="BT73" s="1424"/>
      <c r="BU73" s="1424"/>
      <c r="BV73" s="961"/>
      <c r="BW73" s="961"/>
      <c r="BX73" s="961"/>
      <c r="BY73" s="961"/>
      <c r="BZ73" s="961"/>
      <c r="CA73" s="961"/>
      <c r="CB73" s="961"/>
      <c r="CC73" s="961"/>
      <c r="CD73" s="961"/>
      <c r="CE73" s="961"/>
      <c r="CF73" s="1606"/>
    </row>
    <row r="74" spans="1:84" ht="5.25" hidden="1" customHeight="1">
      <c r="A74" s="1552"/>
      <c r="B74" s="1424"/>
      <c r="C74" s="1424"/>
      <c r="D74" s="2499"/>
      <c r="E74" s="878"/>
      <c r="F74" s="878"/>
      <c r="G74" s="878"/>
      <c r="H74" s="878"/>
      <c r="I74" s="878"/>
      <c r="J74" s="878"/>
      <c r="K74" s="878"/>
      <c r="L74" s="878"/>
      <c r="M74" s="878"/>
      <c r="N74" s="878"/>
      <c r="O74" s="878"/>
      <c r="P74" s="878"/>
      <c r="Q74" s="879"/>
      <c r="R74" s="880"/>
      <c r="S74" s="881"/>
      <c r="T74" s="635" t="s">
        <v>707</v>
      </c>
      <c r="U74" s="2399">
        <v>1</v>
      </c>
      <c r="V74" s="2399" t="s">
        <v>664</v>
      </c>
      <c r="W74" s="1424"/>
      <c r="X74" s="1424"/>
      <c r="Y74" s="1424"/>
      <c r="Z74" s="1424"/>
      <c r="AA74" s="1424"/>
      <c r="AB74" s="1424"/>
      <c r="AC74" s="876"/>
      <c r="AD74" s="877"/>
      <c r="AE74" s="1424"/>
      <c r="AF74" s="1424"/>
      <c r="AG74" s="1424"/>
      <c r="AH74" s="1424"/>
      <c r="AI74" s="1424"/>
      <c r="AJ74" s="1424"/>
      <c r="AK74" s="1424"/>
      <c r="AL74" s="1424"/>
      <c r="AM74" s="1424"/>
      <c r="AN74" s="1424"/>
      <c r="AO74" s="1424"/>
      <c r="AP74" s="1424"/>
      <c r="AQ74" s="1424"/>
      <c r="AR74" s="1424"/>
      <c r="AS74" s="1424"/>
      <c r="AT74" s="1424"/>
      <c r="AU74" s="1424"/>
      <c r="AV74" s="1424"/>
      <c r="AW74" s="1424"/>
      <c r="AX74" s="1424"/>
      <c r="AY74" s="1424"/>
      <c r="AZ74" s="1424"/>
      <c r="BA74" s="1424"/>
      <c r="BB74" s="1424"/>
      <c r="BC74" s="1424"/>
      <c r="BD74" s="1424"/>
      <c r="BE74" s="1424"/>
      <c r="BF74" s="1424"/>
      <c r="BG74" s="1424"/>
      <c r="BH74" s="1424"/>
      <c r="BI74" s="1424"/>
      <c r="BJ74" s="1424"/>
      <c r="BK74" s="1424"/>
      <c r="BL74" s="1424"/>
      <c r="BM74" s="1424"/>
      <c r="BN74" s="1424"/>
      <c r="BO74" s="1424"/>
      <c r="BP74" s="1424"/>
      <c r="BQ74" s="1424"/>
      <c r="BR74" s="1424"/>
      <c r="BS74" s="1424"/>
      <c r="BT74" s="1424"/>
      <c r="BU74" s="1424"/>
      <c r="BV74" s="1424"/>
      <c r="BW74" s="1424"/>
      <c r="BX74" s="1424"/>
      <c r="BY74" s="1424"/>
      <c r="BZ74" s="1424"/>
      <c r="CA74" s="1424"/>
      <c r="CB74" s="1424"/>
      <c r="CC74" s="1424"/>
      <c r="CD74" s="1424"/>
      <c r="CE74" s="1424"/>
      <c r="CF74" s="1104"/>
    </row>
    <row r="75" spans="1:84" ht="5.25" hidden="1" customHeight="1">
      <c r="A75" s="1552"/>
      <c r="B75" s="1424"/>
      <c r="C75" s="1424"/>
      <c r="D75" s="2499"/>
      <c r="E75" s="566"/>
      <c r="F75" s="566"/>
      <c r="G75" s="566"/>
      <c r="H75" s="566"/>
      <c r="I75" s="566"/>
      <c r="J75" s="566"/>
      <c r="K75" s="566"/>
      <c r="L75" s="566"/>
      <c r="M75" s="566"/>
      <c r="N75" s="566"/>
      <c r="O75" s="566"/>
      <c r="P75" s="566"/>
      <c r="Q75" s="566"/>
      <c r="R75" s="566"/>
      <c r="S75" s="567"/>
      <c r="T75" s="636"/>
      <c r="U75" s="2399"/>
      <c r="V75" s="2399"/>
      <c r="W75" s="1424"/>
      <c r="X75" s="1424"/>
      <c r="Y75" s="1424"/>
      <c r="Z75" s="1424"/>
      <c r="AA75" s="1424"/>
      <c r="AB75" s="1424"/>
      <c r="AC75" s="876"/>
      <c r="AD75" s="877"/>
      <c r="AE75" s="1424"/>
      <c r="AF75" s="1424"/>
      <c r="AG75" s="1424"/>
      <c r="AH75" s="1424"/>
      <c r="AI75" s="1424"/>
      <c r="AJ75" s="1424"/>
      <c r="AK75" s="1424"/>
      <c r="AL75" s="1424"/>
      <c r="AM75" s="1424"/>
      <c r="AN75" s="1424"/>
      <c r="AO75" s="1424"/>
      <c r="AP75" s="1424"/>
      <c r="AQ75" s="1424"/>
      <c r="AR75" s="1424"/>
      <c r="AS75" s="1424"/>
      <c r="AT75" s="1424"/>
      <c r="AU75" s="1424"/>
      <c r="AV75" s="1424"/>
      <c r="AW75" s="1424"/>
      <c r="AX75" s="1424"/>
      <c r="AY75" s="1424"/>
      <c r="AZ75" s="1424"/>
      <c r="BA75" s="1424"/>
      <c r="BB75" s="1424"/>
      <c r="BC75" s="1424"/>
      <c r="BD75" s="1424"/>
      <c r="BE75" s="1424"/>
      <c r="BF75" s="1424"/>
      <c r="BG75" s="1424"/>
      <c r="BH75" s="1424"/>
      <c r="BI75" s="1424"/>
      <c r="BJ75" s="1424"/>
      <c r="BK75" s="1424"/>
      <c r="BL75" s="1424"/>
      <c r="BM75" s="1424"/>
      <c r="BN75" s="1424"/>
      <c r="BO75" s="1424"/>
      <c r="BP75" s="1424"/>
      <c r="BQ75" s="1424"/>
      <c r="BR75" s="1424"/>
      <c r="BS75" s="1424"/>
      <c r="BT75" s="1424"/>
      <c r="BU75" s="1424"/>
      <c r="BV75" s="1424"/>
      <c r="BW75" s="1424"/>
      <c r="BX75" s="1424"/>
      <c r="BY75" s="1424"/>
      <c r="BZ75" s="1424"/>
      <c r="CA75" s="1424"/>
      <c r="CB75" s="1424"/>
      <c r="CC75" s="1424"/>
      <c r="CD75" s="1424"/>
      <c r="CE75" s="1424"/>
      <c r="CF75" s="1104"/>
    </row>
    <row r="76" spans="1:84" ht="5.25" hidden="1" customHeight="1">
      <c r="A76" s="1552"/>
      <c r="B76" s="1424"/>
      <c r="C76" s="1424"/>
      <c r="D76" s="2500"/>
      <c r="E76" s="882"/>
      <c r="F76" s="883"/>
      <c r="G76" s="883"/>
      <c r="H76" s="884"/>
      <c r="I76" s="884"/>
      <c r="J76" s="884"/>
      <c r="K76" s="884"/>
      <c r="L76" s="884"/>
      <c r="M76" s="884"/>
      <c r="N76" s="884"/>
      <c r="O76" s="884"/>
      <c r="P76" s="884"/>
      <c r="Q76" s="884"/>
      <c r="R76" s="806"/>
      <c r="S76" s="885"/>
      <c r="T76" s="636"/>
      <c r="U76" s="2399"/>
      <c r="V76" s="2399"/>
      <c r="W76" s="1424"/>
      <c r="X76" s="1424"/>
      <c r="Y76" s="1424"/>
      <c r="Z76" s="1424"/>
      <c r="AA76" s="1424"/>
      <c r="AB76" s="1424"/>
      <c r="AC76" s="876"/>
      <c r="AD76" s="877"/>
      <c r="AE76" s="1424"/>
      <c r="AF76" s="1424"/>
      <c r="AG76" s="1424"/>
      <c r="AH76" s="1424"/>
      <c r="AI76" s="1424"/>
      <c r="AJ76" s="1424"/>
      <c r="AK76" s="1424"/>
      <c r="AL76" s="1424"/>
      <c r="AM76" s="1424"/>
      <c r="AN76" s="1424"/>
      <c r="AO76" s="1424"/>
      <c r="AP76" s="1424"/>
      <c r="AQ76" s="1424"/>
      <c r="AR76" s="1424"/>
      <c r="AS76" s="1424"/>
      <c r="AT76" s="1424"/>
      <c r="AU76" s="1424"/>
      <c r="AV76" s="1424"/>
      <c r="AW76" s="1424"/>
      <c r="AX76" s="1424"/>
      <c r="AY76" s="1424"/>
      <c r="AZ76" s="1424"/>
      <c r="BA76" s="1424"/>
      <c r="BB76" s="1424"/>
      <c r="BC76" s="1424"/>
      <c r="BD76" s="1424"/>
      <c r="BE76" s="1424"/>
      <c r="BF76" s="1424"/>
      <c r="BG76" s="1424"/>
      <c r="BH76" s="1424"/>
      <c r="BI76" s="1424"/>
      <c r="BJ76" s="1424"/>
      <c r="BK76" s="1424"/>
      <c r="BL76" s="1424"/>
      <c r="BM76" s="1424"/>
      <c r="BN76" s="1424"/>
      <c r="BO76" s="1424"/>
      <c r="BP76" s="1424"/>
      <c r="BQ76" s="1424"/>
      <c r="BR76" s="1424"/>
      <c r="BS76" s="1424"/>
      <c r="BT76" s="1424"/>
      <c r="BU76" s="1424"/>
      <c r="BV76" s="1424"/>
      <c r="BW76" s="1424"/>
      <c r="BX76" s="1424"/>
      <c r="BY76" s="1424"/>
      <c r="BZ76" s="1424"/>
      <c r="CA76" s="1424"/>
      <c r="CB76" s="1424"/>
      <c r="CC76" s="1424"/>
      <c r="CD76" s="1424"/>
      <c r="CE76" s="1424"/>
      <c r="CF76" s="1104"/>
    </row>
    <row r="77" spans="1:84" ht="15" hidden="1" customHeight="1">
      <c r="A77" s="554" t="s">
        <v>184</v>
      </c>
      <c r="B77" s="555"/>
      <c r="C77" s="555" t="s">
        <v>9</v>
      </c>
      <c r="D77" s="2498" t="s">
        <v>716</v>
      </c>
      <c r="E77" s="2495" t="s">
        <v>157</v>
      </c>
      <c r="F77" s="2496"/>
      <c r="G77" s="2497"/>
      <c r="H77" s="2491" t="str">
        <f>IF(A77="","",INDEX(DIFFERENTIATION_UNMERGE_VD,MATCH(A77,DIFFERENTIATION_ID_DIFF,0)))</f>
        <v>Производство тепловой энергии. Некомбинированная выработка; Передача. Тепловая энергия; Сбыт. Тепловая энергия</v>
      </c>
      <c r="I77" s="2491"/>
      <c r="J77" s="2491"/>
      <c r="K77" s="2491"/>
      <c r="L77" s="2491"/>
      <c r="M77" s="2491"/>
      <c r="N77" s="2491"/>
      <c r="O77" s="2491"/>
      <c r="P77" s="2491"/>
      <c r="Q77" s="2491"/>
      <c r="R77" s="2491"/>
      <c r="S77" s="637"/>
      <c r="T77" s="634"/>
      <c r="U77" s="556"/>
      <c r="V77" s="556"/>
      <c r="W77" s="557"/>
      <c r="X77" s="557"/>
      <c r="Y77" s="557"/>
      <c r="Z77" s="557"/>
      <c r="AA77" s="558"/>
      <c r="AB77" s="559"/>
      <c r="AC77" s="2494"/>
      <c r="AD77" s="560"/>
      <c r="AE77" s="561" t="s">
        <v>9</v>
      </c>
      <c r="AF77" s="561"/>
      <c r="AG77" s="562" t="s">
        <v>704</v>
      </c>
      <c r="AH77" s="563">
        <v>3</v>
      </c>
      <c r="AI77" s="556"/>
      <c r="AJ77" s="556"/>
      <c r="AK77" s="556"/>
      <c r="AL77" s="556"/>
      <c r="AM77" s="556"/>
      <c r="AN77" s="556"/>
      <c r="AO77" s="556"/>
      <c r="AP77" s="556"/>
      <c r="AQ77" s="556"/>
      <c r="AR77" s="556"/>
      <c r="AS77" s="556"/>
      <c r="AT77" s="556"/>
      <c r="AU77" s="556"/>
      <c r="AV77" s="556"/>
      <c r="AW77" s="556"/>
      <c r="AX77" s="556"/>
      <c r="AY77" s="556"/>
      <c r="AZ77" s="556"/>
      <c r="BA77" s="556"/>
      <c r="BB77" s="556"/>
      <c r="BC77" s="556"/>
      <c r="BD77" s="556"/>
      <c r="BE77" s="556"/>
      <c r="BF77" s="556"/>
      <c r="BG77" s="556"/>
      <c r="BH77" s="556"/>
      <c r="BI77" s="556"/>
      <c r="BJ77" s="556"/>
      <c r="BK77" s="556"/>
      <c r="BL77" s="556"/>
      <c r="BM77" s="556"/>
      <c r="BN77" s="556"/>
      <c r="BO77" s="556"/>
      <c r="BP77" s="556"/>
      <c r="BQ77" s="556"/>
      <c r="BR77" s="556"/>
      <c r="BS77" s="556"/>
      <c r="BT77" s="556"/>
      <c r="BU77" s="556"/>
      <c r="BV77" s="557"/>
      <c r="BW77" s="557"/>
      <c r="BX77" s="557"/>
      <c r="BY77" s="557"/>
      <c r="BZ77" s="557"/>
      <c r="CA77" s="557"/>
      <c r="CB77" s="557"/>
      <c r="CC77" s="557"/>
      <c r="CD77" s="557"/>
      <c r="CE77" s="557"/>
      <c r="CF77" s="1606"/>
    </row>
    <row r="78" spans="1:84" ht="15" hidden="1" customHeight="1">
      <c r="A78" s="554"/>
      <c r="B78" s="555"/>
      <c r="C78" s="555"/>
      <c r="D78" s="2499"/>
      <c r="E78" s="2495" t="s">
        <v>648</v>
      </c>
      <c r="F78" s="2496"/>
      <c r="G78" s="2497"/>
      <c r="H78" s="2491" t="str">
        <f>IF(A77="","",INDEX(DIFFERENTIATION_UNMERGE_AREA,MATCH(A77,DIFFERENTIATION_ID_DIFF,0)))</f>
        <v>Территория 6</v>
      </c>
      <c r="I78" s="2491"/>
      <c r="J78" s="2491"/>
      <c r="K78" s="2491"/>
      <c r="L78" s="2491"/>
      <c r="M78" s="2491"/>
      <c r="N78" s="2491"/>
      <c r="O78" s="2491"/>
      <c r="P78" s="2491"/>
      <c r="Q78" s="2491"/>
      <c r="R78" s="2491"/>
      <c r="S78" s="637"/>
      <c r="T78" s="634"/>
      <c r="U78" s="556"/>
      <c r="V78" s="556"/>
      <c r="W78" s="557"/>
      <c r="X78" s="557"/>
      <c r="Y78" s="557"/>
      <c r="Z78" s="557"/>
      <c r="AA78" s="558"/>
      <c r="AB78" s="559"/>
      <c r="AC78" s="2494"/>
      <c r="AD78" s="560"/>
      <c r="AE78" s="561"/>
      <c r="AF78" s="561"/>
      <c r="AG78" s="562"/>
      <c r="AH78" s="563"/>
      <c r="AI78" s="556"/>
      <c r="AJ78" s="556"/>
      <c r="AK78" s="556"/>
      <c r="AL78" s="556"/>
      <c r="AM78" s="556"/>
      <c r="AN78" s="556"/>
      <c r="AO78" s="556"/>
      <c r="AP78" s="556"/>
      <c r="AQ78" s="556"/>
      <c r="AR78" s="556"/>
      <c r="AS78" s="556"/>
      <c r="AT78" s="556"/>
      <c r="AU78" s="556"/>
      <c r="AV78" s="556"/>
      <c r="AW78" s="556"/>
      <c r="AX78" s="556"/>
      <c r="AY78" s="556"/>
      <c r="AZ78" s="556"/>
      <c r="BA78" s="556"/>
      <c r="BB78" s="556"/>
      <c r="BC78" s="556"/>
      <c r="BD78" s="556"/>
      <c r="BE78" s="556"/>
      <c r="BF78" s="556"/>
      <c r="BG78" s="556"/>
      <c r="BH78" s="556"/>
      <c r="BI78" s="556"/>
      <c r="BJ78" s="556"/>
      <c r="BK78" s="556"/>
      <c r="BL78" s="556"/>
      <c r="BM78" s="556"/>
      <c r="BN78" s="556"/>
      <c r="BO78" s="556"/>
      <c r="BP78" s="556"/>
      <c r="BQ78" s="556"/>
      <c r="BR78" s="556"/>
      <c r="BS78" s="556"/>
      <c r="BT78" s="556"/>
      <c r="BU78" s="556"/>
      <c r="BV78" s="557"/>
      <c r="BW78" s="557"/>
      <c r="BX78" s="557"/>
      <c r="BY78" s="557"/>
      <c r="BZ78" s="557"/>
      <c r="CA78" s="557"/>
      <c r="CB78" s="557"/>
      <c r="CC78" s="557"/>
      <c r="CD78" s="557"/>
      <c r="CE78" s="557"/>
      <c r="CF78" s="1606"/>
    </row>
    <row r="79" spans="1:84" ht="15" hidden="1" customHeight="1">
      <c r="A79" s="554"/>
      <c r="B79" s="555"/>
      <c r="C79" s="555"/>
      <c r="D79" s="2499"/>
      <c r="E79" s="2495" t="s">
        <v>649</v>
      </c>
      <c r="F79" s="2496"/>
      <c r="G79" s="2497"/>
      <c r="H79" s="2491" t="str">
        <f>IF(A77="","",INDEX(DIFFERENTIATION_UNMERGE_SYSTEM,MATCH(A77,DIFFERENTIATION_ID_DIFF,0)))</f>
        <v>котельная г. Починок, ул. Садовая</v>
      </c>
      <c r="I79" s="2491"/>
      <c r="J79" s="2491"/>
      <c r="K79" s="2491"/>
      <c r="L79" s="2491"/>
      <c r="M79" s="2491"/>
      <c r="N79" s="2491"/>
      <c r="O79" s="2491"/>
      <c r="P79" s="2491"/>
      <c r="Q79" s="2491"/>
      <c r="R79" s="2491"/>
      <c r="S79" s="637"/>
      <c r="T79" s="634"/>
      <c r="U79" s="556"/>
      <c r="V79" s="556"/>
      <c r="W79" s="557"/>
      <c r="X79" s="557"/>
      <c r="Y79" s="557"/>
      <c r="Z79" s="557"/>
      <c r="AA79" s="558"/>
      <c r="AB79" s="559"/>
      <c r="AC79" s="2494"/>
      <c r="AD79" s="560"/>
      <c r="AE79" s="561"/>
      <c r="AF79" s="561"/>
      <c r="AG79" s="562"/>
      <c r="AH79" s="563"/>
      <c r="AI79" s="556"/>
      <c r="AJ79" s="556"/>
      <c r="AK79" s="556"/>
      <c r="AL79" s="556"/>
      <c r="AM79" s="556"/>
      <c r="AN79" s="556"/>
      <c r="AO79" s="556"/>
      <c r="AP79" s="556"/>
      <c r="AQ79" s="556"/>
      <c r="AR79" s="556"/>
      <c r="AS79" s="556"/>
      <c r="AT79" s="556"/>
      <c r="AU79" s="556"/>
      <c r="AV79" s="556"/>
      <c r="AW79" s="556"/>
      <c r="AX79" s="556"/>
      <c r="AY79" s="556"/>
      <c r="AZ79" s="556"/>
      <c r="BA79" s="556"/>
      <c r="BB79" s="556"/>
      <c r="BC79" s="556"/>
      <c r="BD79" s="556"/>
      <c r="BE79" s="556"/>
      <c r="BF79" s="556"/>
      <c r="BG79" s="556"/>
      <c r="BH79" s="556"/>
      <c r="BI79" s="556"/>
      <c r="BJ79" s="556"/>
      <c r="BK79" s="556"/>
      <c r="BL79" s="556"/>
      <c r="BM79" s="556"/>
      <c r="BN79" s="556"/>
      <c r="BO79" s="556"/>
      <c r="BP79" s="556"/>
      <c r="BQ79" s="556"/>
      <c r="BR79" s="556"/>
      <c r="BS79" s="556"/>
      <c r="BT79" s="556"/>
      <c r="BU79" s="556"/>
      <c r="BV79" s="557"/>
      <c r="BW79" s="557"/>
      <c r="BX79" s="557"/>
      <c r="BY79" s="557"/>
      <c r="BZ79" s="557"/>
      <c r="CA79" s="557"/>
      <c r="CB79" s="557"/>
      <c r="CC79" s="557"/>
      <c r="CD79" s="557"/>
      <c r="CE79" s="557"/>
      <c r="CF79" s="1606"/>
    </row>
    <row r="80" spans="1:84" ht="24.75" hidden="1" customHeight="1">
      <c r="A80" s="1565"/>
      <c r="B80" s="961"/>
      <c r="C80" s="345"/>
      <c r="D80" s="2499"/>
      <c r="E80" s="2493" t="s">
        <v>705</v>
      </c>
      <c r="F80" s="2493"/>
      <c r="G80" s="2493"/>
      <c r="H80" s="2493"/>
      <c r="I80" s="2493"/>
      <c r="J80" s="2493"/>
      <c r="K80" s="2493"/>
      <c r="L80" s="2493"/>
      <c r="M80" s="2493"/>
      <c r="N80" s="2493"/>
      <c r="O80" s="2493"/>
      <c r="P80" s="2493"/>
      <c r="Q80" s="490">
        <f>SUMIF(T81:T82,"i",Q81:Q82)</f>
        <v>0</v>
      </c>
      <c r="R80" s="869"/>
      <c r="S80" s="1557" t="s">
        <v>706</v>
      </c>
      <c r="T80" s="635" t="s">
        <v>707</v>
      </c>
      <c r="U80" s="2399">
        <v>1</v>
      </c>
      <c r="V80" s="2399" t="str">
        <f>INDEX(B_FHD_FLAG_INDEX_1,1,MATCH(A77,B_FHD_FLAG_DIFFERENTIATION,0))</f>
        <v>отсутствует</v>
      </c>
      <c r="W80" s="961"/>
      <c r="X80" s="961"/>
      <c r="Y80" s="961"/>
      <c r="Z80" s="961"/>
      <c r="AA80" s="1424"/>
      <c r="AB80" s="961"/>
      <c r="AC80" s="2494"/>
      <c r="AD80" s="560"/>
      <c r="AE80" s="961"/>
      <c r="AF80" s="961"/>
      <c r="AG80" s="1424"/>
      <c r="AH80" s="1424"/>
      <c r="AI80" s="1424"/>
      <c r="AJ80" s="1424"/>
      <c r="AK80" s="1424"/>
      <c r="AL80" s="1424"/>
      <c r="AM80" s="1424"/>
      <c r="AN80" s="1424"/>
      <c r="AO80" s="1424"/>
      <c r="AP80" s="1424"/>
      <c r="AQ80" s="1424"/>
      <c r="AR80" s="1424"/>
      <c r="AS80" s="1424"/>
      <c r="AT80" s="1424"/>
      <c r="AU80" s="1424"/>
      <c r="AV80" s="1424"/>
      <c r="AW80" s="1424"/>
      <c r="AX80" s="1424"/>
      <c r="AY80" s="1424"/>
      <c r="AZ80" s="1424"/>
      <c r="BA80" s="1424"/>
      <c r="BB80" s="1424"/>
      <c r="BC80" s="1424"/>
      <c r="BD80" s="1424"/>
      <c r="BE80" s="1424"/>
      <c r="BF80" s="1424"/>
      <c r="BG80" s="1424"/>
      <c r="BH80" s="1424"/>
      <c r="BI80" s="1424"/>
      <c r="BJ80" s="1424"/>
      <c r="BK80" s="1424"/>
      <c r="BL80" s="1424"/>
      <c r="BM80" s="1424"/>
      <c r="BN80" s="1424"/>
      <c r="BO80" s="1424"/>
      <c r="BP80" s="1424"/>
      <c r="BQ80" s="1424"/>
      <c r="BR80" s="1424"/>
      <c r="BS80" s="1424"/>
      <c r="BT80" s="1424"/>
      <c r="BU80" s="1424"/>
      <c r="BV80" s="961"/>
      <c r="BW80" s="961"/>
      <c r="BX80" s="961"/>
      <c r="BY80" s="961"/>
      <c r="BZ80" s="961"/>
      <c r="CA80" s="961"/>
      <c r="CB80" s="961"/>
      <c r="CC80" s="961"/>
      <c r="CD80" s="961"/>
      <c r="CE80" s="961"/>
      <c r="CF80" s="1606"/>
    </row>
    <row r="81" spans="1:84" ht="11.25" hidden="1" customHeight="1">
      <c r="A81" s="1552"/>
      <c r="B81" s="1424"/>
      <c r="C81" s="1424"/>
      <c r="D81" s="2499"/>
      <c r="E81" s="566"/>
      <c r="F81" s="566">
        <v>0</v>
      </c>
      <c r="G81" s="566"/>
      <c r="H81" s="566"/>
      <c r="I81" s="566"/>
      <c r="J81" s="566"/>
      <c r="K81" s="566"/>
      <c r="L81" s="566"/>
      <c r="M81" s="566"/>
      <c r="N81" s="566"/>
      <c r="O81" s="566"/>
      <c r="P81" s="566"/>
      <c r="Q81" s="566"/>
      <c r="R81" s="566"/>
      <c r="S81" s="567"/>
      <c r="T81" s="636"/>
      <c r="U81" s="2399"/>
      <c r="V81" s="2399"/>
      <c r="W81" s="1424"/>
      <c r="X81" s="1424"/>
      <c r="Y81" s="1424"/>
      <c r="Z81" s="1424"/>
      <c r="AA81" s="1424"/>
      <c r="AB81" s="961"/>
      <c r="AC81" s="2494"/>
      <c r="AD81" s="560"/>
      <c r="AE81" s="961"/>
      <c r="AF81" s="961"/>
      <c r="AG81" s="1424"/>
      <c r="AH81" s="1424"/>
      <c r="AI81" s="1424"/>
      <c r="AJ81" s="1424"/>
      <c r="AK81" s="1424"/>
      <c r="AL81" s="1424"/>
      <c r="AM81" s="1424"/>
      <c r="AN81" s="1424"/>
      <c r="AO81" s="1424"/>
      <c r="AP81" s="1424"/>
      <c r="AQ81" s="1424"/>
      <c r="AR81" s="1424"/>
      <c r="AS81" s="1424"/>
      <c r="AT81" s="1424"/>
      <c r="AU81" s="1424"/>
      <c r="AV81" s="1424"/>
      <c r="AW81" s="1424"/>
      <c r="AX81" s="1424"/>
      <c r="AY81" s="1424"/>
      <c r="AZ81" s="1424"/>
      <c r="BA81" s="1424"/>
      <c r="BB81" s="1424"/>
      <c r="BC81" s="1424"/>
      <c r="BD81" s="1424"/>
      <c r="BE81" s="1424"/>
      <c r="BF81" s="1424"/>
      <c r="BG81" s="1424"/>
      <c r="BH81" s="1424"/>
      <c r="BI81" s="1424"/>
      <c r="BJ81" s="1424"/>
      <c r="BK81" s="1424"/>
      <c r="BL81" s="1424"/>
      <c r="BM81" s="1424"/>
      <c r="BN81" s="1424"/>
      <c r="BO81" s="1424"/>
      <c r="BP81" s="1424"/>
      <c r="BQ81" s="1424"/>
      <c r="BR81" s="1424"/>
      <c r="BS81" s="1424"/>
      <c r="BT81" s="1424"/>
      <c r="BU81" s="1424"/>
      <c r="BV81" s="1424"/>
      <c r="BW81" s="1424"/>
      <c r="BX81" s="1424"/>
      <c r="BY81" s="1424"/>
      <c r="BZ81" s="1424"/>
      <c r="CA81" s="1424"/>
      <c r="CB81" s="1424"/>
      <c r="CC81" s="1424"/>
      <c r="CD81" s="1424"/>
      <c r="CE81" s="1424"/>
      <c r="CF81" s="1606"/>
    </row>
    <row r="82" spans="1:84" ht="11.25" hidden="1" customHeight="1">
      <c r="A82" s="1565"/>
      <c r="B82" s="961"/>
      <c r="C82" s="345"/>
      <c r="D82" s="2499"/>
      <c r="E82" s="580" t="s">
        <v>9</v>
      </c>
      <c r="F82" s="969" t="s">
        <v>9</v>
      </c>
      <c r="G82" s="969" t="s">
        <v>710</v>
      </c>
      <c r="H82" s="582" t="s">
        <v>9</v>
      </c>
      <c r="I82" s="582"/>
      <c r="J82" s="582"/>
      <c r="K82" s="582"/>
      <c r="L82" s="582"/>
      <c r="M82" s="582"/>
      <c r="N82" s="582"/>
      <c r="O82" s="582"/>
      <c r="P82" s="582"/>
      <c r="Q82" s="582"/>
      <c r="R82" s="583"/>
      <c r="S82" s="584"/>
      <c r="T82" s="636"/>
      <c r="U82" s="2399"/>
      <c r="V82" s="2399"/>
      <c r="W82" s="961"/>
      <c r="X82" s="961"/>
      <c r="Y82" s="961"/>
      <c r="Z82" s="961"/>
      <c r="AA82" s="1424"/>
      <c r="AB82" s="961"/>
      <c r="AC82" s="2494"/>
      <c r="AD82" s="560"/>
      <c r="AE82" s="961"/>
      <c r="AF82" s="961"/>
      <c r="AG82" s="1424"/>
      <c r="AH82" s="1424"/>
      <c r="AI82" s="1424"/>
      <c r="AJ82" s="1424"/>
      <c r="AK82" s="1424"/>
      <c r="AL82" s="1424"/>
      <c r="AM82" s="1424"/>
      <c r="AN82" s="1424"/>
      <c r="AO82" s="1424"/>
      <c r="AP82" s="1424"/>
      <c r="AQ82" s="1424"/>
      <c r="AR82" s="1424"/>
      <c r="AS82" s="1424"/>
      <c r="AT82" s="1424"/>
      <c r="AU82" s="1424"/>
      <c r="AV82" s="1424"/>
      <c r="AW82" s="1424"/>
      <c r="AX82" s="1424"/>
      <c r="AY82" s="1424"/>
      <c r="AZ82" s="1424"/>
      <c r="BA82" s="1424"/>
      <c r="BB82" s="1424"/>
      <c r="BC82" s="1424"/>
      <c r="BD82" s="1424"/>
      <c r="BE82" s="1424"/>
      <c r="BF82" s="1424"/>
      <c r="BG82" s="1424"/>
      <c r="BH82" s="1424"/>
      <c r="BI82" s="1424"/>
      <c r="BJ82" s="1424"/>
      <c r="BK82" s="1424"/>
      <c r="BL82" s="1424"/>
      <c r="BM82" s="1424"/>
      <c r="BN82" s="1424"/>
      <c r="BO82" s="1424"/>
      <c r="BP82" s="1424"/>
      <c r="BQ82" s="1424"/>
      <c r="BR82" s="1424"/>
      <c r="BS82" s="1424"/>
      <c r="BT82" s="1424"/>
      <c r="BU82" s="1424"/>
      <c r="BV82" s="961"/>
      <c r="BW82" s="961"/>
      <c r="BX82" s="961"/>
      <c r="BY82" s="961"/>
      <c r="BZ82" s="961"/>
      <c r="CA82" s="961"/>
      <c r="CB82" s="961"/>
      <c r="CC82" s="961"/>
      <c r="CD82" s="961"/>
      <c r="CE82" s="961"/>
      <c r="CF82" s="1606"/>
    </row>
    <row r="83" spans="1:84" ht="5.25" hidden="1" customHeight="1">
      <c r="A83" s="1552"/>
      <c r="B83" s="1424"/>
      <c r="C83" s="1424"/>
      <c r="D83" s="2499"/>
      <c r="E83" s="878"/>
      <c r="F83" s="878"/>
      <c r="G83" s="878"/>
      <c r="H83" s="878"/>
      <c r="I83" s="878"/>
      <c r="J83" s="878"/>
      <c r="K83" s="878"/>
      <c r="L83" s="878"/>
      <c r="M83" s="878"/>
      <c r="N83" s="878"/>
      <c r="O83" s="878"/>
      <c r="P83" s="878"/>
      <c r="Q83" s="879"/>
      <c r="R83" s="880"/>
      <c r="S83" s="881"/>
      <c r="T83" s="635" t="s">
        <v>707</v>
      </c>
      <c r="U83" s="2399">
        <v>1</v>
      </c>
      <c r="V83" s="2399" t="s">
        <v>664</v>
      </c>
      <c r="W83" s="1424"/>
      <c r="X83" s="1424"/>
      <c r="Y83" s="1424"/>
      <c r="Z83" s="1424"/>
      <c r="AA83" s="1424"/>
      <c r="AB83" s="1424"/>
      <c r="AC83" s="876"/>
      <c r="AD83" s="877"/>
      <c r="AE83" s="1424"/>
      <c r="AF83" s="1424"/>
      <c r="AG83" s="1424"/>
      <c r="AH83" s="1424"/>
      <c r="AI83" s="1424"/>
      <c r="AJ83" s="1424"/>
      <c r="AK83" s="1424"/>
      <c r="AL83" s="1424"/>
      <c r="AM83" s="1424"/>
      <c r="AN83" s="1424"/>
      <c r="AO83" s="1424"/>
      <c r="AP83" s="1424"/>
      <c r="AQ83" s="1424"/>
      <c r="AR83" s="1424"/>
      <c r="AS83" s="1424"/>
      <c r="AT83" s="1424"/>
      <c r="AU83" s="1424"/>
      <c r="AV83" s="1424"/>
      <c r="AW83" s="1424"/>
      <c r="AX83" s="1424"/>
      <c r="AY83" s="1424"/>
      <c r="AZ83" s="1424"/>
      <c r="BA83" s="1424"/>
      <c r="BB83" s="1424"/>
      <c r="BC83" s="1424"/>
      <c r="BD83" s="1424"/>
      <c r="BE83" s="1424"/>
      <c r="BF83" s="1424"/>
      <c r="BG83" s="1424"/>
      <c r="BH83" s="1424"/>
      <c r="BI83" s="1424"/>
      <c r="BJ83" s="1424"/>
      <c r="BK83" s="1424"/>
      <c r="BL83" s="1424"/>
      <c r="BM83" s="1424"/>
      <c r="BN83" s="1424"/>
      <c r="BO83" s="1424"/>
      <c r="BP83" s="1424"/>
      <c r="BQ83" s="1424"/>
      <c r="BR83" s="1424"/>
      <c r="BS83" s="1424"/>
      <c r="BT83" s="1424"/>
      <c r="BU83" s="1424"/>
      <c r="BV83" s="1424"/>
      <c r="BW83" s="1424"/>
      <c r="BX83" s="1424"/>
      <c r="BY83" s="1424"/>
      <c r="BZ83" s="1424"/>
      <c r="CA83" s="1424"/>
      <c r="CB83" s="1424"/>
      <c r="CC83" s="1424"/>
      <c r="CD83" s="1424"/>
      <c r="CE83" s="1424"/>
      <c r="CF83" s="1104"/>
    </row>
    <row r="84" spans="1:84" ht="5.25" hidden="1" customHeight="1">
      <c r="A84" s="1552"/>
      <c r="B84" s="1424"/>
      <c r="C84" s="1424"/>
      <c r="D84" s="2499"/>
      <c r="E84" s="566"/>
      <c r="F84" s="566"/>
      <c r="G84" s="566"/>
      <c r="H84" s="566"/>
      <c r="I84" s="566"/>
      <c r="J84" s="566"/>
      <c r="K84" s="566"/>
      <c r="L84" s="566"/>
      <c r="M84" s="566"/>
      <c r="N84" s="566"/>
      <c r="O84" s="566"/>
      <c r="P84" s="566"/>
      <c r="Q84" s="566"/>
      <c r="R84" s="566"/>
      <c r="S84" s="567"/>
      <c r="T84" s="636"/>
      <c r="U84" s="2399"/>
      <c r="V84" s="2399"/>
      <c r="W84" s="1424"/>
      <c r="X84" s="1424"/>
      <c r="Y84" s="1424"/>
      <c r="Z84" s="1424"/>
      <c r="AA84" s="1424"/>
      <c r="AB84" s="1424"/>
      <c r="AC84" s="876"/>
      <c r="AD84" s="877"/>
      <c r="AE84" s="1424"/>
      <c r="AF84" s="1424"/>
      <c r="AG84" s="1424"/>
      <c r="AH84" s="1424"/>
      <c r="AI84" s="1424"/>
      <c r="AJ84" s="1424"/>
      <c r="AK84" s="1424"/>
      <c r="AL84" s="1424"/>
      <c r="AM84" s="1424"/>
      <c r="AN84" s="1424"/>
      <c r="AO84" s="1424"/>
      <c r="AP84" s="1424"/>
      <c r="AQ84" s="1424"/>
      <c r="AR84" s="1424"/>
      <c r="AS84" s="1424"/>
      <c r="AT84" s="1424"/>
      <c r="AU84" s="1424"/>
      <c r="AV84" s="1424"/>
      <c r="AW84" s="1424"/>
      <c r="AX84" s="1424"/>
      <c r="AY84" s="1424"/>
      <c r="AZ84" s="1424"/>
      <c r="BA84" s="1424"/>
      <c r="BB84" s="1424"/>
      <c r="BC84" s="1424"/>
      <c r="BD84" s="1424"/>
      <c r="BE84" s="1424"/>
      <c r="BF84" s="1424"/>
      <c r="BG84" s="1424"/>
      <c r="BH84" s="1424"/>
      <c r="BI84" s="1424"/>
      <c r="BJ84" s="1424"/>
      <c r="BK84" s="1424"/>
      <c r="BL84" s="1424"/>
      <c r="BM84" s="1424"/>
      <c r="BN84" s="1424"/>
      <c r="BO84" s="1424"/>
      <c r="BP84" s="1424"/>
      <c r="BQ84" s="1424"/>
      <c r="BR84" s="1424"/>
      <c r="BS84" s="1424"/>
      <c r="BT84" s="1424"/>
      <c r="BU84" s="1424"/>
      <c r="BV84" s="1424"/>
      <c r="BW84" s="1424"/>
      <c r="BX84" s="1424"/>
      <c r="BY84" s="1424"/>
      <c r="BZ84" s="1424"/>
      <c r="CA84" s="1424"/>
      <c r="CB84" s="1424"/>
      <c r="CC84" s="1424"/>
      <c r="CD84" s="1424"/>
      <c r="CE84" s="1424"/>
      <c r="CF84" s="1104"/>
    </row>
    <row r="85" spans="1:84" ht="5.25" hidden="1" customHeight="1">
      <c r="A85" s="1552"/>
      <c r="B85" s="1424"/>
      <c r="C85" s="1424"/>
      <c r="D85" s="2500"/>
      <c r="E85" s="882"/>
      <c r="F85" s="883"/>
      <c r="G85" s="883"/>
      <c r="H85" s="884"/>
      <c r="I85" s="884"/>
      <c r="J85" s="884"/>
      <c r="K85" s="884"/>
      <c r="L85" s="884"/>
      <c r="M85" s="884"/>
      <c r="N85" s="884"/>
      <c r="O85" s="884"/>
      <c r="P85" s="884"/>
      <c r="Q85" s="884"/>
      <c r="R85" s="806"/>
      <c r="S85" s="885"/>
      <c r="T85" s="636"/>
      <c r="U85" s="2399"/>
      <c r="V85" s="2399"/>
      <c r="W85" s="1424"/>
      <c r="X85" s="1424"/>
      <c r="Y85" s="1424"/>
      <c r="Z85" s="1424"/>
      <c r="AA85" s="1424"/>
      <c r="AB85" s="1424"/>
      <c r="AC85" s="876"/>
      <c r="AD85" s="877"/>
      <c r="AE85" s="1424"/>
      <c r="AF85" s="1424"/>
      <c r="AG85" s="1424"/>
      <c r="AH85" s="1424"/>
      <c r="AI85" s="1424"/>
      <c r="AJ85" s="1424"/>
      <c r="AK85" s="1424"/>
      <c r="AL85" s="1424"/>
      <c r="AM85" s="1424"/>
      <c r="AN85" s="1424"/>
      <c r="AO85" s="1424"/>
      <c r="AP85" s="1424"/>
      <c r="AQ85" s="1424"/>
      <c r="AR85" s="1424"/>
      <c r="AS85" s="1424"/>
      <c r="AT85" s="1424"/>
      <c r="AU85" s="1424"/>
      <c r="AV85" s="1424"/>
      <c r="AW85" s="1424"/>
      <c r="AX85" s="1424"/>
      <c r="AY85" s="1424"/>
      <c r="AZ85" s="1424"/>
      <c r="BA85" s="1424"/>
      <c r="BB85" s="1424"/>
      <c r="BC85" s="1424"/>
      <c r="BD85" s="1424"/>
      <c r="BE85" s="1424"/>
      <c r="BF85" s="1424"/>
      <c r="BG85" s="1424"/>
      <c r="BH85" s="1424"/>
      <c r="BI85" s="1424"/>
      <c r="BJ85" s="1424"/>
      <c r="BK85" s="1424"/>
      <c r="BL85" s="1424"/>
      <c r="BM85" s="1424"/>
      <c r="BN85" s="1424"/>
      <c r="BO85" s="1424"/>
      <c r="BP85" s="1424"/>
      <c r="BQ85" s="1424"/>
      <c r="BR85" s="1424"/>
      <c r="BS85" s="1424"/>
      <c r="BT85" s="1424"/>
      <c r="BU85" s="1424"/>
      <c r="BV85" s="1424"/>
      <c r="BW85" s="1424"/>
      <c r="BX85" s="1424"/>
      <c r="BY85" s="1424"/>
      <c r="BZ85" s="1424"/>
      <c r="CA85" s="1424"/>
      <c r="CB85" s="1424"/>
      <c r="CC85" s="1424"/>
      <c r="CD85" s="1424"/>
      <c r="CE85" s="1424"/>
      <c r="CF85" s="1104"/>
    </row>
    <row r="86" spans="1:84" ht="15" hidden="1" customHeight="1">
      <c r="A86" s="554" t="s">
        <v>186</v>
      </c>
      <c r="B86" s="555"/>
      <c r="C86" s="555" t="s">
        <v>9</v>
      </c>
      <c r="D86" s="2498" t="s">
        <v>717</v>
      </c>
      <c r="E86" s="2495" t="s">
        <v>157</v>
      </c>
      <c r="F86" s="2496"/>
      <c r="G86" s="2497"/>
      <c r="H86" s="2491" t="str">
        <f>IF(A86="","",INDEX(DIFFERENTIATION_UNMERGE_VD,MATCH(A86,DIFFERENTIATION_ID_DIFF,0)))</f>
        <v>Производство тепловой энергии. Некомбинированная выработка; Передача. Тепловая энергия; Сбыт. Тепловая энергия</v>
      </c>
      <c r="I86" s="2491"/>
      <c r="J86" s="2491"/>
      <c r="K86" s="2491"/>
      <c r="L86" s="2491"/>
      <c r="M86" s="2491"/>
      <c r="N86" s="2491"/>
      <c r="O86" s="2491"/>
      <c r="P86" s="2491"/>
      <c r="Q86" s="2491"/>
      <c r="R86" s="2491"/>
      <c r="S86" s="637"/>
      <c r="T86" s="634"/>
      <c r="U86" s="556"/>
      <c r="V86" s="556"/>
      <c r="W86" s="557"/>
      <c r="X86" s="557"/>
      <c r="Y86" s="557"/>
      <c r="Z86" s="557"/>
      <c r="AA86" s="558"/>
      <c r="AB86" s="559"/>
      <c r="AC86" s="2494"/>
      <c r="AD86" s="560"/>
      <c r="AE86" s="561" t="s">
        <v>9</v>
      </c>
      <c r="AF86" s="561"/>
      <c r="AG86" s="562" t="s">
        <v>704</v>
      </c>
      <c r="AH86" s="563">
        <v>3</v>
      </c>
      <c r="AI86" s="556"/>
      <c r="AJ86" s="556"/>
      <c r="AK86" s="556"/>
      <c r="AL86" s="556"/>
      <c r="AM86" s="556"/>
      <c r="AN86" s="556"/>
      <c r="AO86" s="556"/>
      <c r="AP86" s="556"/>
      <c r="AQ86" s="556"/>
      <c r="AR86" s="556"/>
      <c r="AS86" s="556"/>
      <c r="AT86" s="556"/>
      <c r="AU86" s="556"/>
      <c r="AV86" s="556"/>
      <c r="AW86" s="556"/>
      <c r="AX86" s="556"/>
      <c r="AY86" s="556"/>
      <c r="AZ86" s="556"/>
      <c r="BA86" s="556"/>
      <c r="BB86" s="556"/>
      <c r="BC86" s="556"/>
      <c r="BD86" s="556"/>
      <c r="BE86" s="556"/>
      <c r="BF86" s="556"/>
      <c r="BG86" s="556"/>
      <c r="BH86" s="556"/>
      <c r="BI86" s="556"/>
      <c r="BJ86" s="556"/>
      <c r="BK86" s="556"/>
      <c r="BL86" s="556"/>
      <c r="BM86" s="556"/>
      <c r="BN86" s="556"/>
      <c r="BO86" s="556"/>
      <c r="BP86" s="556"/>
      <c r="BQ86" s="556"/>
      <c r="BR86" s="556"/>
      <c r="BS86" s="556"/>
      <c r="BT86" s="556"/>
      <c r="BU86" s="556"/>
      <c r="BV86" s="557"/>
      <c r="BW86" s="557"/>
      <c r="BX86" s="557"/>
      <c r="BY86" s="557"/>
      <c r="BZ86" s="557"/>
      <c r="CA86" s="557"/>
      <c r="CB86" s="557"/>
      <c r="CC86" s="557"/>
      <c r="CD86" s="557"/>
      <c r="CE86" s="557"/>
      <c r="CF86" s="1606"/>
    </row>
    <row r="87" spans="1:84" ht="15" hidden="1" customHeight="1">
      <c r="A87" s="554"/>
      <c r="B87" s="555"/>
      <c r="C87" s="555"/>
      <c r="D87" s="2499"/>
      <c r="E87" s="2495" t="s">
        <v>648</v>
      </c>
      <c r="F87" s="2496"/>
      <c r="G87" s="2497"/>
      <c r="H87" s="2491" t="str">
        <f>IF(A86="","",INDEX(DIFFERENTIATION_UNMERGE_AREA,MATCH(A86,DIFFERENTIATION_ID_DIFF,0)))</f>
        <v>Территория 7</v>
      </c>
      <c r="I87" s="2491"/>
      <c r="J87" s="2491"/>
      <c r="K87" s="2491"/>
      <c r="L87" s="2491"/>
      <c r="M87" s="2491"/>
      <c r="N87" s="2491"/>
      <c r="O87" s="2491"/>
      <c r="P87" s="2491"/>
      <c r="Q87" s="2491"/>
      <c r="R87" s="2491"/>
      <c r="S87" s="637"/>
      <c r="T87" s="634"/>
      <c r="U87" s="556"/>
      <c r="V87" s="556"/>
      <c r="W87" s="557"/>
      <c r="X87" s="557"/>
      <c r="Y87" s="557"/>
      <c r="Z87" s="557"/>
      <c r="AA87" s="558"/>
      <c r="AB87" s="559"/>
      <c r="AC87" s="2494"/>
      <c r="AD87" s="560"/>
      <c r="AE87" s="561"/>
      <c r="AF87" s="561"/>
      <c r="AG87" s="562"/>
      <c r="AH87" s="563"/>
      <c r="AI87" s="556"/>
      <c r="AJ87" s="556"/>
      <c r="AK87" s="556"/>
      <c r="AL87" s="556"/>
      <c r="AM87" s="556"/>
      <c r="AN87" s="556"/>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7"/>
      <c r="BW87" s="557"/>
      <c r="BX87" s="557"/>
      <c r="BY87" s="557"/>
      <c r="BZ87" s="557"/>
      <c r="CA87" s="557"/>
      <c r="CB87" s="557"/>
      <c r="CC87" s="557"/>
      <c r="CD87" s="557"/>
      <c r="CE87" s="557"/>
      <c r="CF87" s="1606"/>
    </row>
    <row r="88" spans="1:84" ht="15" hidden="1" customHeight="1">
      <c r="A88" s="554"/>
      <c r="B88" s="555"/>
      <c r="C88" s="555"/>
      <c r="D88" s="2499"/>
      <c r="E88" s="2495" t="s">
        <v>649</v>
      </c>
      <c r="F88" s="2496"/>
      <c r="G88" s="2497"/>
      <c r="H88" s="2491" t="str">
        <f>IF(A86="","",INDEX(DIFFERENTIATION_UNMERGE_SYSTEM,MATCH(A86,DIFFERENTIATION_ID_DIFF,0)))</f>
        <v>Сафоновский филиал</v>
      </c>
      <c r="I88" s="2491"/>
      <c r="J88" s="2491"/>
      <c r="K88" s="2491"/>
      <c r="L88" s="2491"/>
      <c r="M88" s="2491"/>
      <c r="N88" s="2491"/>
      <c r="O88" s="2491"/>
      <c r="P88" s="2491"/>
      <c r="Q88" s="2491"/>
      <c r="R88" s="2491"/>
      <c r="S88" s="637"/>
      <c r="T88" s="634"/>
      <c r="U88" s="556"/>
      <c r="V88" s="556"/>
      <c r="W88" s="557"/>
      <c r="X88" s="557"/>
      <c r="Y88" s="557"/>
      <c r="Z88" s="557"/>
      <c r="AA88" s="558"/>
      <c r="AB88" s="559"/>
      <c r="AC88" s="2494"/>
      <c r="AD88" s="560"/>
      <c r="AE88" s="561"/>
      <c r="AF88" s="561"/>
      <c r="AG88" s="562"/>
      <c r="AH88" s="563"/>
      <c r="AI88" s="556"/>
      <c r="AJ88" s="556"/>
      <c r="AK88" s="556"/>
      <c r="AL88" s="556"/>
      <c r="AM88" s="556"/>
      <c r="AN88" s="556"/>
      <c r="AO88" s="556"/>
      <c r="AP88" s="556"/>
      <c r="AQ88" s="556"/>
      <c r="AR88" s="556"/>
      <c r="AS88" s="556"/>
      <c r="AT88" s="556"/>
      <c r="AU88" s="556"/>
      <c r="AV88" s="556"/>
      <c r="AW88" s="556"/>
      <c r="AX88" s="556"/>
      <c r="AY88" s="556"/>
      <c r="AZ88" s="556"/>
      <c r="BA88" s="556"/>
      <c r="BB88" s="556"/>
      <c r="BC88" s="556"/>
      <c r="BD88" s="556"/>
      <c r="BE88" s="556"/>
      <c r="BF88" s="556"/>
      <c r="BG88" s="556"/>
      <c r="BH88" s="556"/>
      <c r="BI88" s="556"/>
      <c r="BJ88" s="556"/>
      <c r="BK88" s="556"/>
      <c r="BL88" s="556"/>
      <c r="BM88" s="556"/>
      <c r="BN88" s="556"/>
      <c r="BO88" s="556"/>
      <c r="BP88" s="556"/>
      <c r="BQ88" s="556"/>
      <c r="BR88" s="556"/>
      <c r="BS88" s="556"/>
      <c r="BT88" s="556"/>
      <c r="BU88" s="556"/>
      <c r="BV88" s="557"/>
      <c r="BW88" s="557"/>
      <c r="BX88" s="557"/>
      <c r="BY88" s="557"/>
      <c r="BZ88" s="557"/>
      <c r="CA88" s="557"/>
      <c r="CB88" s="557"/>
      <c r="CC88" s="557"/>
      <c r="CD88" s="557"/>
      <c r="CE88" s="557"/>
      <c r="CF88" s="1606"/>
    </row>
    <row r="89" spans="1:84" ht="24.75" hidden="1" customHeight="1">
      <c r="A89" s="1565"/>
      <c r="B89" s="961"/>
      <c r="C89" s="345"/>
      <c r="D89" s="2499"/>
      <c r="E89" s="2493" t="s">
        <v>705</v>
      </c>
      <c r="F89" s="2493"/>
      <c r="G89" s="2493"/>
      <c r="H89" s="2493"/>
      <c r="I89" s="2493"/>
      <c r="J89" s="2493"/>
      <c r="K89" s="2493"/>
      <c r="L89" s="2493"/>
      <c r="M89" s="2493"/>
      <c r="N89" s="2493"/>
      <c r="O89" s="2493"/>
      <c r="P89" s="2493"/>
      <c r="Q89" s="490">
        <f>SUMIF(T90:T91,"i",Q90:Q91)</f>
        <v>0</v>
      </c>
      <c r="R89" s="869"/>
      <c r="S89" s="1557" t="s">
        <v>706</v>
      </c>
      <c r="T89" s="635" t="s">
        <v>707</v>
      </c>
      <c r="U89" s="2399">
        <v>1</v>
      </c>
      <c r="V89" s="2399" t="str">
        <f>INDEX(B_FHD_FLAG_INDEX_1,1,MATCH(A86,B_FHD_FLAG_DIFFERENTIATION,0))</f>
        <v>отсутствует</v>
      </c>
      <c r="W89" s="961"/>
      <c r="X89" s="961"/>
      <c r="Y89" s="961"/>
      <c r="Z89" s="961"/>
      <c r="AA89" s="1424"/>
      <c r="AB89" s="961"/>
      <c r="AC89" s="2494"/>
      <c r="AD89" s="560"/>
      <c r="AE89" s="961"/>
      <c r="AF89" s="961"/>
      <c r="AG89" s="1424"/>
      <c r="AH89" s="1424"/>
      <c r="AI89" s="1424"/>
      <c r="AJ89" s="1424"/>
      <c r="AK89" s="1424"/>
      <c r="AL89" s="1424"/>
      <c r="AM89" s="1424"/>
      <c r="AN89" s="1424"/>
      <c r="AO89" s="1424"/>
      <c r="AP89" s="1424"/>
      <c r="AQ89" s="1424"/>
      <c r="AR89" s="1424"/>
      <c r="AS89" s="1424"/>
      <c r="AT89" s="1424"/>
      <c r="AU89" s="1424"/>
      <c r="AV89" s="1424"/>
      <c r="AW89" s="1424"/>
      <c r="AX89" s="1424"/>
      <c r="AY89" s="1424"/>
      <c r="AZ89" s="1424"/>
      <c r="BA89" s="1424"/>
      <c r="BB89" s="1424"/>
      <c r="BC89" s="1424"/>
      <c r="BD89" s="1424"/>
      <c r="BE89" s="1424"/>
      <c r="BF89" s="1424"/>
      <c r="BG89" s="1424"/>
      <c r="BH89" s="1424"/>
      <c r="BI89" s="1424"/>
      <c r="BJ89" s="1424"/>
      <c r="BK89" s="1424"/>
      <c r="BL89" s="1424"/>
      <c r="BM89" s="1424"/>
      <c r="BN89" s="1424"/>
      <c r="BO89" s="1424"/>
      <c r="BP89" s="1424"/>
      <c r="BQ89" s="1424"/>
      <c r="BR89" s="1424"/>
      <c r="BS89" s="1424"/>
      <c r="BT89" s="1424"/>
      <c r="BU89" s="1424"/>
      <c r="BV89" s="961"/>
      <c r="BW89" s="961"/>
      <c r="BX89" s="961"/>
      <c r="BY89" s="961"/>
      <c r="BZ89" s="961"/>
      <c r="CA89" s="961"/>
      <c r="CB89" s="961"/>
      <c r="CC89" s="961"/>
      <c r="CD89" s="961"/>
      <c r="CE89" s="961"/>
      <c r="CF89" s="1606"/>
    </row>
    <row r="90" spans="1:84" ht="11.25" hidden="1" customHeight="1">
      <c r="A90" s="1552"/>
      <c r="B90" s="1424"/>
      <c r="C90" s="1424"/>
      <c r="D90" s="2499"/>
      <c r="E90" s="566"/>
      <c r="F90" s="566">
        <v>0</v>
      </c>
      <c r="G90" s="566"/>
      <c r="H90" s="566"/>
      <c r="I90" s="566"/>
      <c r="J90" s="566"/>
      <c r="K90" s="566"/>
      <c r="L90" s="566"/>
      <c r="M90" s="566"/>
      <c r="N90" s="566"/>
      <c r="O90" s="566"/>
      <c r="P90" s="566"/>
      <c r="Q90" s="566"/>
      <c r="R90" s="566"/>
      <c r="S90" s="567"/>
      <c r="T90" s="636"/>
      <c r="U90" s="2399"/>
      <c r="V90" s="2399"/>
      <c r="W90" s="1424"/>
      <c r="X90" s="1424"/>
      <c r="Y90" s="1424"/>
      <c r="Z90" s="1424"/>
      <c r="AA90" s="1424"/>
      <c r="AB90" s="961"/>
      <c r="AC90" s="2494"/>
      <c r="AD90" s="560"/>
      <c r="AE90" s="961"/>
      <c r="AF90" s="961"/>
      <c r="AG90" s="1424"/>
      <c r="AH90" s="1424"/>
      <c r="AI90" s="1424"/>
      <c r="AJ90" s="1424"/>
      <c r="AK90" s="1424"/>
      <c r="AL90" s="1424"/>
      <c r="AM90" s="1424"/>
      <c r="AN90" s="1424"/>
      <c r="AO90" s="1424"/>
      <c r="AP90" s="1424"/>
      <c r="AQ90" s="1424"/>
      <c r="AR90" s="1424"/>
      <c r="AS90" s="1424"/>
      <c r="AT90" s="1424"/>
      <c r="AU90" s="1424"/>
      <c r="AV90" s="1424"/>
      <c r="AW90" s="1424"/>
      <c r="AX90" s="1424"/>
      <c r="AY90" s="1424"/>
      <c r="AZ90" s="1424"/>
      <c r="BA90" s="1424"/>
      <c r="BB90" s="1424"/>
      <c r="BC90" s="1424"/>
      <c r="BD90" s="1424"/>
      <c r="BE90" s="1424"/>
      <c r="BF90" s="1424"/>
      <c r="BG90" s="1424"/>
      <c r="BH90" s="1424"/>
      <c r="BI90" s="1424"/>
      <c r="BJ90" s="1424"/>
      <c r="BK90" s="1424"/>
      <c r="BL90" s="1424"/>
      <c r="BM90" s="1424"/>
      <c r="BN90" s="1424"/>
      <c r="BO90" s="1424"/>
      <c r="BP90" s="1424"/>
      <c r="BQ90" s="1424"/>
      <c r="BR90" s="1424"/>
      <c r="BS90" s="1424"/>
      <c r="BT90" s="1424"/>
      <c r="BU90" s="1424"/>
      <c r="BV90" s="1424"/>
      <c r="BW90" s="1424"/>
      <c r="BX90" s="1424"/>
      <c r="BY90" s="1424"/>
      <c r="BZ90" s="1424"/>
      <c r="CA90" s="1424"/>
      <c r="CB90" s="1424"/>
      <c r="CC90" s="1424"/>
      <c r="CD90" s="1424"/>
      <c r="CE90" s="1424"/>
      <c r="CF90" s="1606"/>
    </row>
    <row r="91" spans="1:84" ht="11.25" hidden="1" customHeight="1">
      <c r="A91" s="1565"/>
      <c r="B91" s="961"/>
      <c r="C91" s="345"/>
      <c r="D91" s="2499"/>
      <c r="E91" s="580" t="s">
        <v>9</v>
      </c>
      <c r="F91" s="969" t="s">
        <v>9</v>
      </c>
      <c r="G91" s="969" t="s">
        <v>710</v>
      </c>
      <c r="H91" s="582" t="s">
        <v>9</v>
      </c>
      <c r="I91" s="582"/>
      <c r="J91" s="582"/>
      <c r="K91" s="582"/>
      <c r="L91" s="582"/>
      <c r="M91" s="582"/>
      <c r="N91" s="582"/>
      <c r="O91" s="582"/>
      <c r="P91" s="582"/>
      <c r="Q91" s="582"/>
      <c r="R91" s="583"/>
      <c r="S91" s="584"/>
      <c r="T91" s="636"/>
      <c r="U91" s="2399"/>
      <c r="V91" s="2399"/>
      <c r="W91" s="961"/>
      <c r="X91" s="961"/>
      <c r="Y91" s="961"/>
      <c r="Z91" s="961"/>
      <c r="AA91" s="1424"/>
      <c r="AB91" s="961"/>
      <c r="AC91" s="2494"/>
      <c r="AD91" s="560"/>
      <c r="AE91" s="961"/>
      <c r="AF91" s="961"/>
      <c r="AG91" s="1424"/>
      <c r="AH91" s="1424"/>
      <c r="AI91" s="1424"/>
      <c r="AJ91" s="1424"/>
      <c r="AK91" s="1424"/>
      <c r="AL91" s="1424"/>
      <c r="AM91" s="1424"/>
      <c r="AN91" s="1424"/>
      <c r="AO91" s="1424"/>
      <c r="AP91" s="1424"/>
      <c r="AQ91" s="1424"/>
      <c r="AR91" s="1424"/>
      <c r="AS91" s="1424"/>
      <c r="AT91" s="1424"/>
      <c r="AU91" s="1424"/>
      <c r="AV91" s="1424"/>
      <c r="AW91" s="1424"/>
      <c r="AX91" s="1424"/>
      <c r="AY91" s="1424"/>
      <c r="AZ91" s="1424"/>
      <c r="BA91" s="1424"/>
      <c r="BB91" s="1424"/>
      <c r="BC91" s="1424"/>
      <c r="BD91" s="1424"/>
      <c r="BE91" s="1424"/>
      <c r="BF91" s="1424"/>
      <c r="BG91" s="1424"/>
      <c r="BH91" s="1424"/>
      <c r="BI91" s="1424"/>
      <c r="BJ91" s="1424"/>
      <c r="BK91" s="1424"/>
      <c r="BL91" s="1424"/>
      <c r="BM91" s="1424"/>
      <c r="BN91" s="1424"/>
      <c r="BO91" s="1424"/>
      <c r="BP91" s="1424"/>
      <c r="BQ91" s="1424"/>
      <c r="BR91" s="1424"/>
      <c r="BS91" s="1424"/>
      <c r="BT91" s="1424"/>
      <c r="BU91" s="1424"/>
      <c r="BV91" s="961"/>
      <c r="BW91" s="961"/>
      <c r="BX91" s="961"/>
      <c r="BY91" s="961"/>
      <c r="BZ91" s="961"/>
      <c r="CA91" s="961"/>
      <c r="CB91" s="961"/>
      <c r="CC91" s="961"/>
      <c r="CD91" s="961"/>
      <c r="CE91" s="961"/>
      <c r="CF91" s="1606"/>
    </row>
    <row r="92" spans="1:84" ht="5.25" hidden="1" customHeight="1">
      <c r="A92" s="1552"/>
      <c r="B92" s="1424"/>
      <c r="C92" s="1424"/>
      <c r="D92" s="2499"/>
      <c r="E92" s="878"/>
      <c r="F92" s="878"/>
      <c r="G92" s="878"/>
      <c r="H92" s="878"/>
      <c r="I92" s="878"/>
      <c r="J92" s="878"/>
      <c r="K92" s="878"/>
      <c r="L92" s="878"/>
      <c r="M92" s="878"/>
      <c r="N92" s="878"/>
      <c r="O92" s="878"/>
      <c r="P92" s="878"/>
      <c r="Q92" s="879"/>
      <c r="R92" s="880"/>
      <c r="S92" s="881"/>
      <c r="T92" s="635" t="s">
        <v>707</v>
      </c>
      <c r="U92" s="2399">
        <v>1</v>
      </c>
      <c r="V92" s="2399" t="s">
        <v>664</v>
      </c>
      <c r="W92" s="1424"/>
      <c r="X92" s="1424"/>
      <c r="Y92" s="1424"/>
      <c r="Z92" s="1424"/>
      <c r="AA92" s="1424"/>
      <c r="AB92" s="1424"/>
      <c r="AC92" s="876"/>
      <c r="AD92" s="877"/>
      <c r="AE92" s="1424"/>
      <c r="AF92" s="1424"/>
      <c r="AG92" s="1424"/>
      <c r="AH92" s="1424"/>
      <c r="AI92" s="1424"/>
      <c r="AJ92" s="1424"/>
      <c r="AK92" s="1424"/>
      <c r="AL92" s="1424"/>
      <c r="AM92" s="1424"/>
      <c r="AN92" s="1424"/>
      <c r="AO92" s="1424"/>
      <c r="AP92" s="1424"/>
      <c r="AQ92" s="1424"/>
      <c r="AR92" s="1424"/>
      <c r="AS92" s="1424"/>
      <c r="AT92" s="1424"/>
      <c r="AU92" s="1424"/>
      <c r="AV92" s="1424"/>
      <c r="AW92" s="1424"/>
      <c r="AX92" s="1424"/>
      <c r="AY92" s="1424"/>
      <c r="AZ92" s="1424"/>
      <c r="BA92" s="1424"/>
      <c r="BB92" s="1424"/>
      <c r="BC92" s="1424"/>
      <c r="BD92" s="1424"/>
      <c r="BE92" s="1424"/>
      <c r="BF92" s="1424"/>
      <c r="BG92" s="1424"/>
      <c r="BH92" s="1424"/>
      <c r="BI92" s="1424"/>
      <c r="BJ92" s="1424"/>
      <c r="BK92" s="1424"/>
      <c r="BL92" s="1424"/>
      <c r="BM92" s="1424"/>
      <c r="BN92" s="1424"/>
      <c r="BO92" s="1424"/>
      <c r="BP92" s="1424"/>
      <c r="BQ92" s="1424"/>
      <c r="BR92" s="1424"/>
      <c r="BS92" s="1424"/>
      <c r="BT92" s="1424"/>
      <c r="BU92" s="1424"/>
      <c r="BV92" s="1424"/>
      <c r="BW92" s="1424"/>
      <c r="BX92" s="1424"/>
      <c r="BY92" s="1424"/>
      <c r="BZ92" s="1424"/>
      <c r="CA92" s="1424"/>
      <c r="CB92" s="1424"/>
      <c r="CC92" s="1424"/>
      <c r="CD92" s="1424"/>
      <c r="CE92" s="1424"/>
      <c r="CF92" s="1104"/>
    </row>
    <row r="93" spans="1:84" ht="5.25" hidden="1" customHeight="1">
      <c r="A93" s="1552"/>
      <c r="B93" s="1424"/>
      <c r="C93" s="1424"/>
      <c r="D93" s="2499"/>
      <c r="E93" s="566"/>
      <c r="F93" s="566"/>
      <c r="G93" s="566"/>
      <c r="H93" s="566"/>
      <c r="I93" s="566"/>
      <c r="J93" s="566"/>
      <c r="K93" s="566"/>
      <c r="L93" s="566"/>
      <c r="M93" s="566"/>
      <c r="N93" s="566"/>
      <c r="O93" s="566"/>
      <c r="P93" s="566"/>
      <c r="Q93" s="566"/>
      <c r="R93" s="566"/>
      <c r="S93" s="567"/>
      <c r="T93" s="636"/>
      <c r="U93" s="2399"/>
      <c r="V93" s="2399"/>
      <c r="W93" s="1424"/>
      <c r="X93" s="1424"/>
      <c r="Y93" s="1424"/>
      <c r="Z93" s="1424"/>
      <c r="AA93" s="1424"/>
      <c r="AB93" s="1424"/>
      <c r="AC93" s="876"/>
      <c r="AD93" s="877"/>
      <c r="AE93" s="1424"/>
      <c r="AF93" s="1424"/>
      <c r="AG93" s="1424"/>
      <c r="AH93" s="1424"/>
      <c r="AI93" s="1424"/>
      <c r="AJ93" s="1424"/>
      <c r="AK93" s="1424"/>
      <c r="AL93" s="1424"/>
      <c r="AM93" s="1424"/>
      <c r="AN93" s="1424"/>
      <c r="AO93" s="1424"/>
      <c r="AP93" s="1424"/>
      <c r="AQ93" s="1424"/>
      <c r="AR93" s="1424"/>
      <c r="AS93" s="1424"/>
      <c r="AT93" s="1424"/>
      <c r="AU93" s="1424"/>
      <c r="AV93" s="1424"/>
      <c r="AW93" s="1424"/>
      <c r="AX93" s="1424"/>
      <c r="AY93" s="1424"/>
      <c r="AZ93" s="1424"/>
      <c r="BA93" s="1424"/>
      <c r="BB93" s="1424"/>
      <c r="BC93" s="1424"/>
      <c r="BD93" s="1424"/>
      <c r="BE93" s="1424"/>
      <c r="BF93" s="1424"/>
      <c r="BG93" s="1424"/>
      <c r="BH93" s="1424"/>
      <c r="BI93" s="1424"/>
      <c r="BJ93" s="1424"/>
      <c r="BK93" s="1424"/>
      <c r="BL93" s="1424"/>
      <c r="BM93" s="1424"/>
      <c r="BN93" s="1424"/>
      <c r="BO93" s="1424"/>
      <c r="BP93" s="1424"/>
      <c r="BQ93" s="1424"/>
      <c r="BR93" s="1424"/>
      <c r="BS93" s="1424"/>
      <c r="BT93" s="1424"/>
      <c r="BU93" s="1424"/>
      <c r="BV93" s="1424"/>
      <c r="BW93" s="1424"/>
      <c r="BX93" s="1424"/>
      <c r="BY93" s="1424"/>
      <c r="BZ93" s="1424"/>
      <c r="CA93" s="1424"/>
      <c r="CB93" s="1424"/>
      <c r="CC93" s="1424"/>
      <c r="CD93" s="1424"/>
      <c r="CE93" s="1424"/>
      <c r="CF93" s="1104"/>
    </row>
    <row r="94" spans="1:84" ht="5.25" hidden="1" customHeight="1">
      <c r="A94" s="1552"/>
      <c r="B94" s="1424"/>
      <c r="C94" s="1424"/>
      <c r="D94" s="2500"/>
      <c r="E94" s="882"/>
      <c r="F94" s="883"/>
      <c r="G94" s="883"/>
      <c r="H94" s="884"/>
      <c r="I94" s="884"/>
      <c r="J94" s="884"/>
      <c r="K94" s="884"/>
      <c r="L94" s="884"/>
      <c r="M94" s="884"/>
      <c r="N94" s="884"/>
      <c r="O94" s="884"/>
      <c r="P94" s="884"/>
      <c r="Q94" s="884"/>
      <c r="R94" s="806"/>
      <c r="S94" s="885"/>
      <c r="T94" s="636"/>
      <c r="U94" s="2399"/>
      <c r="V94" s="2399"/>
      <c r="W94" s="1424"/>
      <c r="X94" s="1424"/>
      <c r="Y94" s="1424"/>
      <c r="Z94" s="1424"/>
      <c r="AA94" s="1424"/>
      <c r="AB94" s="1424"/>
      <c r="AC94" s="876"/>
      <c r="AD94" s="877"/>
      <c r="AE94" s="1424"/>
      <c r="AF94" s="1424"/>
      <c r="AG94" s="1424"/>
      <c r="AH94" s="1424"/>
      <c r="AI94" s="1424"/>
      <c r="AJ94" s="1424"/>
      <c r="AK94" s="1424"/>
      <c r="AL94" s="1424"/>
      <c r="AM94" s="1424"/>
      <c r="AN94" s="1424"/>
      <c r="AO94" s="1424"/>
      <c r="AP94" s="1424"/>
      <c r="AQ94" s="1424"/>
      <c r="AR94" s="1424"/>
      <c r="AS94" s="1424"/>
      <c r="AT94" s="1424"/>
      <c r="AU94" s="1424"/>
      <c r="AV94" s="1424"/>
      <c r="AW94" s="1424"/>
      <c r="AX94" s="1424"/>
      <c r="AY94" s="1424"/>
      <c r="AZ94" s="1424"/>
      <c r="BA94" s="1424"/>
      <c r="BB94" s="1424"/>
      <c r="BC94" s="1424"/>
      <c r="BD94" s="1424"/>
      <c r="BE94" s="1424"/>
      <c r="BF94" s="1424"/>
      <c r="BG94" s="1424"/>
      <c r="BH94" s="1424"/>
      <c r="BI94" s="1424"/>
      <c r="BJ94" s="1424"/>
      <c r="BK94" s="1424"/>
      <c r="BL94" s="1424"/>
      <c r="BM94" s="1424"/>
      <c r="BN94" s="1424"/>
      <c r="BO94" s="1424"/>
      <c r="BP94" s="1424"/>
      <c r="BQ94" s="1424"/>
      <c r="BR94" s="1424"/>
      <c r="BS94" s="1424"/>
      <c r="BT94" s="1424"/>
      <c r="BU94" s="1424"/>
      <c r="BV94" s="1424"/>
      <c r="BW94" s="1424"/>
      <c r="BX94" s="1424"/>
      <c r="BY94" s="1424"/>
      <c r="BZ94" s="1424"/>
      <c r="CA94" s="1424"/>
      <c r="CB94" s="1424"/>
      <c r="CC94" s="1424"/>
      <c r="CD94" s="1424"/>
      <c r="CE94" s="1424"/>
      <c r="CF94" s="1104"/>
    </row>
    <row r="95" spans="1:84" ht="15" hidden="1" customHeight="1">
      <c r="A95" s="554" t="s">
        <v>188</v>
      </c>
      <c r="B95" s="555"/>
      <c r="C95" s="555" t="s">
        <v>9</v>
      </c>
      <c r="D95" s="2498" t="s">
        <v>718</v>
      </c>
      <c r="E95" s="2495" t="s">
        <v>157</v>
      </c>
      <c r="F95" s="2496"/>
      <c r="G95" s="2497"/>
      <c r="H95" s="2491" t="str">
        <f>IF(A95="","",INDEX(DIFFERENTIATION_UNMERGE_VD,MATCH(A95,DIFFERENTIATION_ID_DIFF,0)))</f>
        <v>Производство тепловой энергии. Некомбинированная выработка; Передача. Тепловая энергия; Сбыт. Тепловая энергия</v>
      </c>
      <c r="I95" s="2491"/>
      <c r="J95" s="2491"/>
      <c r="K95" s="2491"/>
      <c r="L95" s="2491"/>
      <c r="M95" s="2491"/>
      <c r="N95" s="2491"/>
      <c r="O95" s="2491"/>
      <c r="P95" s="2491"/>
      <c r="Q95" s="2491"/>
      <c r="R95" s="2491"/>
      <c r="S95" s="637"/>
      <c r="T95" s="634"/>
      <c r="U95" s="556"/>
      <c r="V95" s="556"/>
      <c r="W95" s="557"/>
      <c r="X95" s="557"/>
      <c r="Y95" s="557"/>
      <c r="Z95" s="557"/>
      <c r="AA95" s="558"/>
      <c r="AB95" s="559"/>
      <c r="AC95" s="2494"/>
      <c r="AD95" s="560"/>
      <c r="AE95" s="561" t="s">
        <v>9</v>
      </c>
      <c r="AF95" s="561"/>
      <c r="AG95" s="562" t="s">
        <v>704</v>
      </c>
      <c r="AH95" s="563">
        <v>3</v>
      </c>
      <c r="AI95" s="556"/>
      <c r="AJ95" s="556"/>
      <c r="AK95" s="556"/>
      <c r="AL95" s="556"/>
      <c r="AM95" s="556"/>
      <c r="AN95" s="556"/>
      <c r="AO95" s="556"/>
      <c r="AP95" s="556"/>
      <c r="AQ95" s="556"/>
      <c r="AR95" s="556"/>
      <c r="AS95" s="556"/>
      <c r="AT95" s="556"/>
      <c r="AU95" s="556"/>
      <c r="AV95" s="556"/>
      <c r="AW95" s="556"/>
      <c r="AX95" s="556"/>
      <c r="AY95" s="556"/>
      <c r="AZ95" s="556"/>
      <c r="BA95" s="556"/>
      <c r="BB95" s="556"/>
      <c r="BC95" s="556"/>
      <c r="BD95" s="556"/>
      <c r="BE95" s="556"/>
      <c r="BF95" s="556"/>
      <c r="BG95" s="556"/>
      <c r="BH95" s="556"/>
      <c r="BI95" s="556"/>
      <c r="BJ95" s="556"/>
      <c r="BK95" s="556"/>
      <c r="BL95" s="556"/>
      <c r="BM95" s="556"/>
      <c r="BN95" s="556"/>
      <c r="BO95" s="556"/>
      <c r="BP95" s="556"/>
      <c r="BQ95" s="556"/>
      <c r="BR95" s="556"/>
      <c r="BS95" s="556"/>
      <c r="BT95" s="556"/>
      <c r="BU95" s="556"/>
      <c r="BV95" s="557"/>
      <c r="BW95" s="557"/>
      <c r="BX95" s="557"/>
      <c r="BY95" s="557"/>
      <c r="BZ95" s="557"/>
      <c r="CA95" s="557"/>
      <c r="CB95" s="557"/>
      <c r="CC95" s="557"/>
      <c r="CD95" s="557"/>
      <c r="CE95" s="557"/>
      <c r="CF95" s="1606"/>
    </row>
    <row r="96" spans="1:84" ht="15" hidden="1" customHeight="1">
      <c r="A96" s="554"/>
      <c r="B96" s="555"/>
      <c r="C96" s="555"/>
      <c r="D96" s="2499"/>
      <c r="E96" s="2495" t="s">
        <v>648</v>
      </c>
      <c r="F96" s="2496"/>
      <c r="G96" s="2497"/>
      <c r="H96" s="2491" t="str">
        <f>IF(A95="","",INDEX(DIFFERENTIATION_UNMERGE_AREA,MATCH(A95,DIFFERENTIATION_ID_DIFF,0)))</f>
        <v>Территория 8</v>
      </c>
      <c r="I96" s="2491"/>
      <c r="J96" s="2491"/>
      <c r="K96" s="2491"/>
      <c r="L96" s="2491"/>
      <c r="M96" s="2491"/>
      <c r="N96" s="2491"/>
      <c r="O96" s="2491"/>
      <c r="P96" s="2491"/>
      <c r="Q96" s="2491"/>
      <c r="R96" s="2491"/>
      <c r="S96" s="637"/>
      <c r="T96" s="634"/>
      <c r="U96" s="556"/>
      <c r="V96" s="556"/>
      <c r="W96" s="557"/>
      <c r="X96" s="557"/>
      <c r="Y96" s="557"/>
      <c r="Z96" s="557"/>
      <c r="AA96" s="558"/>
      <c r="AB96" s="559"/>
      <c r="AC96" s="2494"/>
      <c r="AD96" s="560"/>
      <c r="AE96" s="561"/>
      <c r="AF96" s="561"/>
      <c r="AG96" s="562"/>
      <c r="AH96" s="563"/>
      <c r="AI96" s="556"/>
      <c r="AJ96" s="556"/>
      <c r="AK96" s="556"/>
      <c r="AL96" s="556"/>
      <c r="AM96" s="556"/>
      <c r="AN96" s="556"/>
      <c r="AO96" s="556"/>
      <c r="AP96" s="556"/>
      <c r="AQ96" s="556"/>
      <c r="AR96" s="556"/>
      <c r="AS96" s="556"/>
      <c r="AT96" s="556"/>
      <c r="AU96" s="556"/>
      <c r="AV96" s="556"/>
      <c r="AW96" s="556"/>
      <c r="AX96" s="556"/>
      <c r="AY96" s="556"/>
      <c r="AZ96" s="556"/>
      <c r="BA96" s="556"/>
      <c r="BB96" s="556"/>
      <c r="BC96" s="556"/>
      <c r="BD96" s="556"/>
      <c r="BE96" s="556"/>
      <c r="BF96" s="556"/>
      <c r="BG96" s="556"/>
      <c r="BH96" s="556"/>
      <c r="BI96" s="556"/>
      <c r="BJ96" s="556"/>
      <c r="BK96" s="556"/>
      <c r="BL96" s="556"/>
      <c r="BM96" s="556"/>
      <c r="BN96" s="556"/>
      <c r="BO96" s="556"/>
      <c r="BP96" s="556"/>
      <c r="BQ96" s="556"/>
      <c r="BR96" s="556"/>
      <c r="BS96" s="556"/>
      <c r="BT96" s="556"/>
      <c r="BU96" s="556"/>
      <c r="BV96" s="557"/>
      <c r="BW96" s="557"/>
      <c r="BX96" s="557"/>
      <c r="BY96" s="557"/>
      <c r="BZ96" s="557"/>
      <c r="CA96" s="557"/>
      <c r="CB96" s="557"/>
      <c r="CC96" s="557"/>
      <c r="CD96" s="557"/>
      <c r="CE96" s="557"/>
      <c r="CF96" s="1606"/>
    </row>
    <row r="97" spans="1:84" ht="15" hidden="1" customHeight="1">
      <c r="A97" s="554"/>
      <c r="B97" s="555"/>
      <c r="C97" s="555"/>
      <c r="D97" s="2499"/>
      <c r="E97" s="2495" t="s">
        <v>649</v>
      </c>
      <c r="F97" s="2496"/>
      <c r="G97" s="2497"/>
      <c r="H97" s="2491" t="str">
        <f>IF(A95="","",INDEX(DIFFERENTIATION_UNMERGE_SYSTEM,MATCH(A95,DIFFERENTIATION_ID_DIFF,0)))</f>
        <v>котельная г. Сафоново, ул. Советская</v>
      </c>
      <c r="I97" s="2491"/>
      <c r="J97" s="2491"/>
      <c r="K97" s="2491"/>
      <c r="L97" s="2491"/>
      <c r="M97" s="2491"/>
      <c r="N97" s="2491"/>
      <c r="O97" s="2491"/>
      <c r="P97" s="2491"/>
      <c r="Q97" s="2491"/>
      <c r="R97" s="2491"/>
      <c r="S97" s="637"/>
      <c r="T97" s="634"/>
      <c r="U97" s="556"/>
      <c r="V97" s="556"/>
      <c r="W97" s="557"/>
      <c r="X97" s="557"/>
      <c r="Y97" s="557"/>
      <c r="Z97" s="557"/>
      <c r="AA97" s="558"/>
      <c r="AB97" s="559"/>
      <c r="AC97" s="2494"/>
      <c r="AD97" s="560"/>
      <c r="AE97" s="561"/>
      <c r="AF97" s="561"/>
      <c r="AG97" s="562"/>
      <c r="AH97" s="563"/>
      <c r="AI97" s="556"/>
      <c r="AJ97" s="556"/>
      <c r="AK97" s="556"/>
      <c r="AL97" s="556"/>
      <c r="AM97" s="556"/>
      <c r="AN97" s="556"/>
      <c r="AO97" s="556"/>
      <c r="AP97" s="556"/>
      <c r="AQ97" s="556"/>
      <c r="AR97" s="556"/>
      <c r="AS97" s="556"/>
      <c r="AT97" s="556"/>
      <c r="AU97" s="556"/>
      <c r="AV97" s="556"/>
      <c r="AW97" s="556"/>
      <c r="AX97" s="556"/>
      <c r="AY97" s="556"/>
      <c r="AZ97" s="556"/>
      <c r="BA97" s="556"/>
      <c r="BB97" s="556"/>
      <c r="BC97" s="556"/>
      <c r="BD97" s="556"/>
      <c r="BE97" s="556"/>
      <c r="BF97" s="556"/>
      <c r="BG97" s="556"/>
      <c r="BH97" s="556"/>
      <c r="BI97" s="556"/>
      <c r="BJ97" s="556"/>
      <c r="BK97" s="556"/>
      <c r="BL97" s="556"/>
      <c r="BM97" s="556"/>
      <c r="BN97" s="556"/>
      <c r="BO97" s="556"/>
      <c r="BP97" s="556"/>
      <c r="BQ97" s="556"/>
      <c r="BR97" s="556"/>
      <c r="BS97" s="556"/>
      <c r="BT97" s="556"/>
      <c r="BU97" s="556"/>
      <c r="BV97" s="557"/>
      <c r="BW97" s="557"/>
      <c r="BX97" s="557"/>
      <c r="BY97" s="557"/>
      <c r="BZ97" s="557"/>
      <c r="CA97" s="557"/>
      <c r="CB97" s="557"/>
      <c r="CC97" s="557"/>
      <c r="CD97" s="557"/>
      <c r="CE97" s="557"/>
      <c r="CF97" s="1606"/>
    </row>
    <row r="98" spans="1:84" ht="24.75" hidden="1" customHeight="1">
      <c r="A98" s="1565"/>
      <c r="B98" s="961"/>
      <c r="C98" s="345"/>
      <c r="D98" s="2499"/>
      <c r="E98" s="2493" t="s">
        <v>705</v>
      </c>
      <c r="F98" s="2493"/>
      <c r="G98" s="2493"/>
      <c r="H98" s="2493"/>
      <c r="I98" s="2493"/>
      <c r="J98" s="2493"/>
      <c r="K98" s="2493"/>
      <c r="L98" s="2493"/>
      <c r="M98" s="2493"/>
      <c r="N98" s="2493"/>
      <c r="O98" s="2493"/>
      <c r="P98" s="2493"/>
      <c r="Q98" s="490">
        <f>SUMIF(T99:T100,"i",Q99:Q100)</f>
        <v>0</v>
      </c>
      <c r="R98" s="869"/>
      <c r="S98" s="1557" t="s">
        <v>706</v>
      </c>
      <c r="T98" s="635" t="s">
        <v>707</v>
      </c>
      <c r="U98" s="2399">
        <v>1</v>
      </c>
      <c r="V98" s="2399" t="str">
        <f>INDEX(B_FHD_FLAG_INDEX_1,1,MATCH(A95,B_FHD_FLAG_DIFFERENTIATION,0))</f>
        <v>отсутствует</v>
      </c>
      <c r="W98" s="961"/>
      <c r="X98" s="961"/>
      <c r="Y98" s="961"/>
      <c r="Z98" s="961"/>
      <c r="AA98" s="1424"/>
      <c r="AB98" s="961"/>
      <c r="AC98" s="2494"/>
      <c r="AD98" s="560"/>
      <c r="AE98" s="961"/>
      <c r="AF98" s="961"/>
      <c r="AG98" s="1424"/>
      <c r="AH98" s="1424"/>
      <c r="AI98" s="1424"/>
      <c r="AJ98" s="1424"/>
      <c r="AK98" s="1424"/>
      <c r="AL98" s="1424"/>
      <c r="AM98" s="1424"/>
      <c r="AN98" s="1424"/>
      <c r="AO98" s="1424"/>
      <c r="AP98" s="1424"/>
      <c r="AQ98" s="1424"/>
      <c r="AR98" s="1424"/>
      <c r="AS98" s="1424"/>
      <c r="AT98" s="1424"/>
      <c r="AU98" s="1424"/>
      <c r="AV98" s="1424"/>
      <c r="AW98" s="1424"/>
      <c r="AX98" s="1424"/>
      <c r="AY98" s="1424"/>
      <c r="AZ98" s="1424"/>
      <c r="BA98" s="1424"/>
      <c r="BB98" s="1424"/>
      <c r="BC98" s="1424"/>
      <c r="BD98" s="1424"/>
      <c r="BE98" s="1424"/>
      <c r="BF98" s="1424"/>
      <c r="BG98" s="1424"/>
      <c r="BH98" s="1424"/>
      <c r="BI98" s="1424"/>
      <c r="BJ98" s="1424"/>
      <c r="BK98" s="1424"/>
      <c r="BL98" s="1424"/>
      <c r="BM98" s="1424"/>
      <c r="BN98" s="1424"/>
      <c r="BO98" s="1424"/>
      <c r="BP98" s="1424"/>
      <c r="BQ98" s="1424"/>
      <c r="BR98" s="1424"/>
      <c r="BS98" s="1424"/>
      <c r="BT98" s="1424"/>
      <c r="BU98" s="1424"/>
      <c r="BV98" s="961"/>
      <c r="BW98" s="961"/>
      <c r="BX98" s="961"/>
      <c r="BY98" s="961"/>
      <c r="BZ98" s="961"/>
      <c r="CA98" s="961"/>
      <c r="CB98" s="961"/>
      <c r="CC98" s="961"/>
      <c r="CD98" s="961"/>
      <c r="CE98" s="961"/>
      <c r="CF98" s="1606"/>
    </row>
    <row r="99" spans="1:84" ht="11.25" hidden="1" customHeight="1">
      <c r="A99" s="1552"/>
      <c r="B99" s="1424"/>
      <c r="C99" s="1424"/>
      <c r="D99" s="2499"/>
      <c r="E99" s="566"/>
      <c r="F99" s="566">
        <v>0</v>
      </c>
      <c r="G99" s="566"/>
      <c r="H99" s="566"/>
      <c r="I99" s="566"/>
      <c r="J99" s="566"/>
      <c r="K99" s="566"/>
      <c r="L99" s="566"/>
      <c r="M99" s="566"/>
      <c r="N99" s="566"/>
      <c r="O99" s="566"/>
      <c r="P99" s="566"/>
      <c r="Q99" s="566"/>
      <c r="R99" s="566"/>
      <c r="S99" s="567"/>
      <c r="T99" s="636"/>
      <c r="U99" s="2399"/>
      <c r="V99" s="2399"/>
      <c r="W99" s="1424"/>
      <c r="X99" s="1424"/>
      <c r="Y99" s="1424"/>
      <c r="Z99" s="1424"/>
      <c r="AA99" s="1424"/>
      <c r="AB99" s="961"/>
      <c r="AC99" s="2494"/>
      <c r="AD99" s="560"/>
      <c r="AE99" s="961"/>
      <c r="AF99" s="961"/>
      <c r="AG99" s="1424"/>
      <c r="AH99" s="1424"/>
      <c r="AI99" s="1424"/>
      <c r="AJ99" s="1424"/>
      <c r="AK99" s="1424"/>
      <c r="AL99" s="1424"/>
      <c r="AM99" s="1424"/>
      <c r="AN99" s="1424"/>
      <c r="AO99" s="1424"/>
      <c r="AP99" s="1424"/>
      <c r="AQ99" s="1424"/>
      <c r="AR99" s="1424"/>
      <c r="AS99" s="1424"/>
      <c r="AT99" s="1424"/>
      <c r="AU99" s="1424"/>
      <c r="AV99" s="1424"/>
      <c r="AW99" s="1424"/>
      <c r="AX99" s="1424"/>
      <c r="AY99" s="1424"/>
      <c r="AZ99" s="1424"/>
      <c r="BA99" s="1424"/>
      <c r="BB99" s="1424"/>
      <c r="BC99" s="1424"/>
      <c r="BD99" s="1424"/>
      <c r="BE99" s="1424"/>
      <c r="BF99" s="1424"/>
      <c r="BG99" s="1424"/>
      <c r="BH99" s="1424"/>
      <c r="BI99" s="1424"/>
      <c r="BJ99" s="1424"/>
      <c r="BK99" s="1424"/>
      <c r="BL99" s="1424"/>
      <c r="BM99" s="1424"/>
      <c r="BN99" s="1424"/>
      <c r="BO99" s="1424"/>
      <c r="BP99" s="1424"/>
      <c r="BQ99" s="1424"/>
      <c r="BR99" s="1424"/>
      <c r="BS99" s="1424"/>
      <c r="BT99" s="1424"/>
      <c r="BU99" s="1424"/>
      <c r="BV99" s="1424"/>
      <c r="BW99" s="1424"/>
      <c r="BX99" s="1424"/>
      <c r="BY99" s="1424"/>
      <c r="BZ99" s="1424"/>
      <c r="CA99" s="1424"/>
      <c r="CB99" s="1424"/>
      <c r="CC99" s="1424"/>
      <c r="CD99" s="1424"/>
      <c r="CE99" s="1424"/>
      <c r="CF99" s="1606"/>
    </row>
    <row r="100" spans="1:84" ht="11.25" hidden="1" customHeight="1">
      <c r="A100" s="1565"/>
      <c r="B100" s="961"/>
      <c r="C100" s="345"/>
      <c r="D100" s="2499"/>
      <c r="E100" s="580" t="s">
        <v>9</v>
      </c>
      <c r="F100" s="969" t="s">
        <v>9</v>
      </c>
      <c r="G100" s="969" t="s">
        <v>710</v>
      </c>
      <c r="H100" s="582" t="s">
        <v>9</v>
      </c>
      <c r="I100" s="582"/>
      <c r="J100" s="582"/>
      <c r="K100" s="582"/>
      <c r="L100" s="582"/>
      <c r="M100" s="582"/>
      <c r="N100" s="582"/>
      <c r="O100" s="582"/>
      <c r="P100" s="582"/>
      <c r="Q100" s="582"/>
      <c r="R100" s="583"/>
      <c r="S100" s="584"/>
      <c r="T100" s="636"/>
      <c r="U100" s="2399"/>
      <c r="V100" s="2399"/>
      <c r="W100" s="961"/>
      <c r="X100" s="961"/>
      <c r="Y100" s="961"/>
      <c r="Z100" s="961"/>
      <c r="AA100" s="1424"/>
      <c r="AB100" s="961"/>
      <c r="AC100" s="2494"/>
      <c r="AD100" s="560"/>
      <c r="AE100" s="961"/>
      <c r="AF100" s="961"/>
      <c r="AG100" s="1424"/>
      <c r="AH100" s="1424"/>
      <c r="AI100" s="1424"/>
      <c r="AJ100" s="1424"/>
      <c r="AK100" s="1424"/>
      <c r="AL100" s="1424"/>
      <c r="AM100" s="1424"/>
      <c r="AN100" s="1424"/>
      <c r="AO100" s="1424"/>
      <c r="AP100" s="1424"/>
      <c r="AQ100" s="1424"/>
      <c r="AR100" s="1424"/>
      <c r="AS100" s="1424"/>
      <c r="AT100" s="1424"/>
      <c r="AU100" s="1424"/>
      <c r="AV100" s="1424"/>
      <c r="AW100" s="1424"/>
      <c r="AX100" s="1424"/>
      <c r="AY100" s="1424"/>
      <c r="AZ100" s="1424"/>
      <c r="BA100" s="1424"/>
      <c r="BB100" s="1424"/>
      <c r="BC100" s="1424"/>
      <c r="BD100" s="1424"/>
      <c r="BE100" s="1424"/>
      <c r="BF100" s="1424"/>
      <c r="BG100" s="1424"/>
      <c r="BH100" s="1424"/>
      <c r="BI100" s="1424"/>
      <c r="BJ100" s="1424"/>
      <c r="BK100" s="1424"/>
      <c r="BL100" s="1424"/>
      <c r="BM100" s="1424"/>
      <c r="BN100" s="1424"/>
      <c r="BO100" s="1424"/>
      <c r="BP100" s="1424"/>
      <c r="BQ100" s="1424"/>
      <c r="BR100" s="1424"/>
      <c r="BS100" s="1424"/>
      <c r="BT100" s="1424"/>
      <c r="BU100" s="1424"/>
      <c r="BV100" s="961"/>
      <c r="BW100" s="961"/>
      <c r="BX100" s="961"/>
      <c r="BY100" s="961"/>
      <c r="BZ100" s="961"/>
      <c r="CA100" s="961"/>
      <c r="CB100" s="961"/>
      <c r="CC100" s="961"/>
      <c r="CD100" s="961"/>
      <c r="CE100" s="961"/>
      <c r="CF100" s="1606"/>
    </row>
    <row r="101" spans="1:84" ht="5.25" hidden="1" customHeight="1">
      <c r="A101" s="1552"/>
      <c r="B101" s="1424"/>
      <c r="C101" s="1424"/>
      <c r="D101" s="2499"/>
      <c r="E101" s="878"/>
      <c r="F101" s="878"/>
      <c r="G101" s="878"/>
      <c r="H101" s="878"/>
      <c r="I101" s="878"/>
      <c r="J101" s="878"/>
      <c r="K101" s="878"/>
      <c r="L101" s="878"/>
      <c r="M101" s="878"/>
      <c r="N101" s="878"/>
      <c r="O101" s="878"/>
      <c r="P101" s="878"/>
      <c r="Q101" s="879"/>
      <c r="R101" s="880"/>
      <c r="S101" s="881"/>
      <c r="T101" s="635" t="s">
        <v>707</v>
      </c>
      <c r="U101" s="2399">
        <v>1</v>
      </c>
      <c r="V101" s="2399" t="s">
        <v>664</v>
      </c>
      <c r="W101" s="1424"/>
      <c r="X101" s="1424"/>
      <c r="Y101" s="1424"/>
      <c r="Z101" s="1424"/>
      <c r="AA101" s="1424"/>
      <c r="AB101" s="1424"/>
      <c r="AC101" s="876"/>
      <c r="AD101" s="877"/>
      <c r="AE101" s="1424"/>
      <c r="AF101" s="1424"/>
      <c r="AG101" s="1424"/>
      <c r="AH101" s="1424"/>
      <c r="AI101" s="1424"/>
      <c r="AJ101" s="1424"/>
      <c r="AK101" s="1424"/>
      <c r="AL101" s="1424"/>
      <c r="AM101" s="1424"/>
      <c r="AN101" s="1424"/>
      <c r="AO101" s="1424"/>
      <c r="AP101" s="1424"/>
      <c r="AQ101" s="1424"/>
      <c r="AR101" s="1424"/>
      <c r="AS101" s="1424"/>
      <c r="AT101" s="1424"/>
      <c r="AU101" s="1424"/>
      <c r="AV101" s="1424"/>
      <c r="AW101" s="1424"/>
      <c r="AX101" s="1424"/>
      <c r="AY101" s="1424"/>
      <c r="AZ101" s="1424"/>
      <c r="BA101" s="1424"/>
      <c r="BB101" s="1424"/>
      <c r="BC101" s="1424"/>
      <c r="BD101" s="1424"/>
      <c r="BE101" s="1424"/>
      <c r="BF101" s="1424"/>
      <c r="BG101" s="1424"/>
      <c r="BH101" s="1424"/>
      <c r="BI101" s="1424"/>
      <c r="BJ101" s="1424"/>
      <c r="BK101" s="1424"/>
      <c r="BL101" s="1424"/>
      <c r="BM101" s="1424"/>
      <c r="BN101" s="1424"/>
      <c r="BO101" s="1424"/>
      <c r="BP101" s="1424"/>
      <c r="BQ101" s="1424"/>
      <c r="BR101" s="1424"/>
      <c r="BS101" s="1424"/>
      <c r="BT101" s="1424"/>
      <c r="BU101" s="1424"/>
      <c r="BV101" s="1424"/>
      <c r="BW101" s="1424"/>
      <c r="BX101" s="1424"/>
      <c r="BY101" s="1424"/>
      <c r="BZ101" s="1424"/>
      <c r="CA101" s="1424"/>
      <c r="CB101" s="1424"/>
      <c r="CC101" s="1424"/>
      <c r="CD101" s="1424"/>
      <c r="CE101" s="1424"/>
      <c r="CF101" s="1104"/>
    </row>
    <row r="102" spans="1:84" ht="5.25" hidden="1" customHeight="1">
      <c r="A102" s="1552"/>
      <c r="B102" s="1424"/>
      <c r="C102" s="1424"/>
      <c r="D102" s="2499"/>
      <c r="E102" s="566"/>
      <c r="F102" s="566"/>
      <c r="G102" s="566"/>
      <c r="H102" s="566"/>
      <c r="I102" s="566"/>
      <c r="J102" s="566"/>
      <c r="K102" s="566"/>
      <c r="L102" s="566"/>
      <c r="M102" s="566"/>
      <c r="N102" s="566"/>
      <c r="O102" s="566"/>
      <c r="P102" s="566"/>
      <c r="Q102" s="566"/>
      <c r="R102" s="566"/>
      <c r="S102" s="567"/>
      <c r="T102" s="636"/>
      <c r="U102" s="2399"/>
      <c r="V102" s="2399"/>
      <c r="W102" s="1424"/>
      <c r="X102" s="1424"/>
      <c r="Y102" s="1424"/>
      <c r="Z102" s="1424"/>
      <c r="AA102" s="1424"/>
      <c r="AB102" s="1424"/>
      <c r="AC102" s="876"/>
      <c r="AD102" s="877"/>
      <c r="AE102" s="1424"/>
      <c r="AF102" s="1424"/>
      <c r="AG102" s="1424"/>
      <c r="AH102" s="1424"/>
      <c r="AI102" s="1424"/>
      <c r="AJ102" s="1424"/>
      <c r="AK102" s="1424"/>
      <c r="AL102" s="1424"/>
      <c r="AM102" s="1424"/>
      <c r="AN102" s="1424"/>
      <c r="AO102" s="1424"/>
      <c r="AP102" s="1424"/>
      <c r="AQ102" s="1424"/>
      <c r="AR102" s="1424"/>
      <c r="AS102" s="1424"/>
      <c r="AT102" s="1424"/>
      <c r="AU102" s="1424"/>
      <c r="AV102" s="1424"/>
      <c r="AW102" s="1424"/>
      <c r="AX102" s="1424"/>
      <c r="AY102" s="1424"/>
      <c r="AZ102" s="1424"/>
      <c r="BA102" s="1424"/>
      <c r="BB102" s="1424"/>
      <c r="BC102" s="1424"/>
      <c r="BD102" s="1424"/>
      <c r="BE102" s="1424"/>
      <c r="BF102" s="1424"/>
      <c r="BG102" s="1424"/>
      <c r="BH102" s="1424"/>
      <c r="BI102" s="1424"/>
      <c r="BJ102" s="1424"/>
      <c r="BK102" s="1424"/>
      <c r="BL102" s="1424"/>
      <c r="BM102" s="1424"/>
      <c r="BN102" s="1424"/>
      <c r="BO102" s="1424"/>
      <c r="BP102" s="1424"/>
      <c r="BQ102" s="1424"/>
      <c r="BR102" s="1424"/>
      <c r="BS102" s="1424"/>
      <c r="BT102" s="1424"/>
      <c r="BU102" s="1424"/>
      <c r="BV102" s="1424"/>
      <c r="BW102" s="1424"/>
      <c r="BX102" s="1424"/>
      <c r="BY102" s="1424"/>
      <c r="BZ102" s="1424"/>
      <c r="CA102" s="1424"/>
      <c r="CB102" s="1424"/>
      <c r="CC102" s="1424"/>
      <c r="CD102" s="1424"/>
      <c r="CE102" s="1424"/>
      <c r="CF102" s="1104"/>
    </row>
    <row r="103" spans="1:84" ht="5.25" hidden="1" customHeight="1">
      <c r="A103" s="1552"/>
      <c r="B103" s="1424"/>
      <c r="C103" s="1424"/>
      <c r="D103" s="2500"/>
      <c r="E103" s="882"/>
      <c r="F103" s="883"/>
      <c r="G103" s="883"/>
      <c r="H103" s="884"/>
      <c r="I103" s="884"/>
      <c r="J103" s="884"/>
      <c r="K103" s="884"/>
      <c r="L103" s="884"/>
      <c r="M103" s="884"/>
      <c r="N103" s="884"/>
      <c r="O103" s="884"/>
      <c r="P103" s="884"/>
      <c r="Q103" s="884"/>
      <c r="R103" s="806"/>
      <c r="S103" s="885"/>
      <c r="T103" s="636"/>
      <c r="U103" s="2399"/>
      <c r="V103" s="2399"/>
      <c r="W103" s="1424"/>
      <c r="X103" s="1424"/>
      <c r="Y103" s="1424"/>
      <c r="Z103" s="1424"/>
      <c r="AA103" s="1424"/>
      <c r="AB103" s="1424"/>
      <c r="AC103" s="876"/>
      <c r="AD103" s="877"/>
      <c r="AE103" s="1424"/>
      <c r="AF103" s="1424"/>
      <c r="AG103" s="1424"/>
      <c r="AH103" s="1424"/>
      <c r="AI103" s="1424"/>
      <c r="AJ103" s="1424"/>
      <c r="AK103" s="1424"/>
      <c r="AL103" s="1424"/>
      <c r="AM103" s="1424"/>
      <c r="AN103" s="1424"/>
      <c r="AO103" s="1424"/>
      <c r="AP103" s="1424"/>
      <c r="AQ103" s="1424"/>
      <c r="AR103" s="1424"/>
      <c r="AS103" s="1424"/>
      <c r="AT103" s="1424"/>
      <c r="AU103" s="1424"/>
      <c r="AV103" s="1424"/>
      <c r="AW103" s="1424"/>
      <c r="AX103" s="1424"/>
      <c r="AY103" s="1424"/>
      <c r="AZ103" s="1424"/>
      <c r="BA103" s="1424"/>
      <c r="BB103" s="1424"/>
      <c r="BC103" s="1424"/>
      <c r="BD103" s="1424"/>
      <c r="BE103" s="1424"/>
      <c r="BF103" s="1424"/>
      <c r="BG103" s="1424"/>
      <c r="BH103" s="1424"/>
      <c r="BI103" s="1424"/>
      <c r="BJ103" s="1424"/>
      <c r="BK103" s="1424"/>
      <c r="BL103" s="1424"/>
      <c r="BM103" s="1424"/>
      <c r="BN103" s="1424"/>
      <c r="BO103" s="1424"/>
      <c r="BP103" s="1424"/>
      <c r="BQ103" s="1424"/>
      <c r="BR103" s="1424"/>
      <c r="BS103" s="1424"/>
      <c r="BT103" s="1424"/>
      <c r="BU103" s="1424"/>
      <c r="BV103" s="1424"/>
      <c r="BW103" s="1424"/>
      <c r="BX103" s="1424"/>
      <c r="BY103" s="1424"/>
      <c r="BZ103" s="1424"/>
      <c r="CA103" s="1424"/>
      <c r="CB103" s="1424"/>
      <c r="CC103" s="1424"/>
      <c r="CD103" s="1424"/>
      <c r="CE103" s="1424"/>
      <c r="CF103" s="1104"/>
    </row>
    <row r="104" spans="1:84" ht="15" hidden="1" customHeight="1">
      <c r="A104" s="554" t="s">
        <v>190</v>
      </c>
      <c r="B104" s="555"/>
      <c r="C104" s="555" t="s">
        <v>9</v>
      </c>
      <c r="D104" s="2498" t="s">
        <v>719</v>
      </c>
      <c r="E104" s="2495" t="s">
        <v>157</v>
      </c>
      <c r="F104" s="2496"/>
      <c r="G104" s="2497"/>
      <c r="H104" s="2491" t="str">
        <f>IF(A104="","",INDEX(DIFFERENTIATION_UNMERGE_VD,MATCH(A104,DIFFERENTIATION_ID_DIFF,0)))</f>
        <v>Производство тепловой энергии. Некомбинированная выработка; Передача. Тепловая энергия; Сбыт. Тепловая энергия</v>
      </c>
      <c r="I104" s="2491"/>
      <c r="J104" s="2491"/>
      <c r="K104" s="2491"/>
      <c r="L104" s="2491"/>
      <c r="M104" s="2491"/>
      <c r="N104" s="2491"/>
      <c r="O104" s="2491"/>
      <c r="P104" s="2491"/>
      <c r="Q104" s="2491"/>
      <c r="R104" s="2491"/>
      <c r="S104" s="637"/>
      <c r="T104" s="634"/>
      <c r="U104" s="556"/>
      <c r="V104" s="556"/>
      <c r="W104" s="557"/>
      <c r="X104" s="557"/>
      <c r="Y104" s="557"/>
      <c r="Z104" s="557"/>
      <c r="AA104" s="558"/>
      <c r="AB104" s="559"/>
      <c r="AC104" s="2494"/>
      <c r="AD104" s="560"/>
      <c r="AE104" s="561" t="s">
        <v>9</v>
      </c>
      <c r="AF104" s="561"/>
      <c r="AG104" s="562" t="s">
        <v>704</v>
      </c>
      <c r="AH104" s="563">
        <v>3</v>
      </c>
      <c r="AI104" s="556"/>
      <c r="AJ104" s="556"/>
      <c r="AK104" s="556"/>
      <c r="AL104" s="556"/>
      <c r="AM104" s="556"/>
      <c r="AN104" s="556"/>
      <c r="AO104" s="556"/>
      <c r="AP104" s="556"/>
      <c r="AQ104" s="556"/>
      <c r="AR104" s="556"/>
      <c r="AS104" s="556"/>
      <c r="AT104" s="556"/>
      <c r="AU104" s="556"/>
      <c r="AV104" s="556"/>
      <c r="AW104" s="556"/>
      <c r="AX104" s="556"/>
      <c r="AY104" s="556"/>
      <c r="AZ104" s="556"/>
      <c r="BA104" s="556"/>
      <c r="BB104" s="556"/>
      <c r="BC104" s="556"/>
      <c r="BD104" s="556"/>
      <c r="BE104" s="556"/>
      <c r="BF104" s="556"/>
      <c r="BG104" s="556"/>
      <c r="BH104" s="556"/>
      <c r="BI104" s="556"/>
      <c r="BJ104" s="556"/>
      <c r="BK104" s="556"/>
      <c r="BL104" s="556"/>
      <c r="BM104" s="556"/>
      <c r="BN104" s="556"/>
      <c r="BO104" s="556"/>
      <c r="BP104" s="556"/>
      <c r="BQ104" s="556"/>
      <c r="BR104" s="556"/>
      <c r="BS104" s="556"/>
      <c r="BT104" s="556"/>
      <c r="BU104" s="556"/>
      <c r="BV104" s="557"/>
      <c r="BW104" s="557"/>
      <c r="BX104" s="557"/>
      <c r="BY104" s="557"/>
      <c r="BZ104" s="557"/>
      <c r="CA104" s="557"/>
      <c r="CB104" s="557"/>
      <c r="CC104" s="557"/>
      <c r="CD104" s="557"/>
      <c r="CE104" s="557"/>
      <c r="CF104" s="1606"/>
    </row>
    <row r="105" spans="1:84" ht="15" hidden="1" customHeight="1">
      <c r="A105" s="554"/>
      <c r="B105" s="555"/>
      <c r="C105" s="555"/>
      <c r="D105" s="2499"/>
      <c r="E105" s="2495" t="s">
        <v>648</v>
      </c>
      <c r="F105" s="2496"/>
      <c r="G105" s="2497"/>
      <c r="H105" s="2491" t="str">
        <f>IF(A104="","",INDEX(DIFFERENTIATION_UNMERGE_AREA,MATCH(A104,DIFFERENTIATION_ID_DIFF,0)))</f>
        <v>Территория 8</v>
      </c>
      <c r="I105" s="2491"/>
      <c r="J105" s="2491"/>
      <c r="K105" s="2491"/>
      <c r="L105" s="2491"/>
      <c r="M105" s="2491"/>
      <c r="N105" s="2491"/>
      <c r="O105" s="2491"/>
      <c r="P105" s="2491"/>
      <c r="Q105" s="2491"/>
      <c r="R105" s="2491"/>
      <c r="S105" s="637"/>
      <c r="T105" s="634"/>
      <c r="U105" s="556"/>
      <c r="V105" s="556"/>
      <c r="W105" s="557"/>
      <c r="X105" s="557"/>
      <c r="Y105" s="557"/>
      <c r="Z105" s="557"/>
      <c r="AA105" s="558"/>
      <c r="AB105" s="559"/>
      <c r="AC105" s="2494"/>
      <c r="AD105" s="560"/>
      <c r="AE105" s="561"/>
      <c r="AF105" s="561"/>
      <c r="AG105" s="562"/>
      <c r="AH105" s="563"/>
      <c r="AI105" s="556"/>
      <c r="AJ105" s="556"/>
      <c r="AK105" s="556"/>
      <c r="AL105" s="556"/>
      <c r="AM105" s="556"/>
      <c r="AN105" s="556"/>
      <c r="AO105" s="556"/>
      <c r="AP105" s="556"/>
      <c r="AQ105" s="556"/>
      <c r="AR105" s="556"/>
      <c r="AS105" s="556"/>
      <c r="AT105" s="556"/>
      <c r="AU105" s="556"/>
      <c r="AV105" s="556"/>
      <c r="AW105" s="556"/>
      <c r="AX105" s="556"/>
      <c r="AY105" s="556"/>
      <c r="AZ105" s="556"/>
      <c r="BA105" s="556"/>
      <c r="BB105" s="556"/>
      <c r="BC105" s="556"/>
      <c r="BD105" s="556"/>
      <c r="BE105" s="556"/>
      <c r="BF105" s="556"/>
      <c r="BG105" s="556"/>
      <c r="BH105" s="556"/>
      <c r="BI105" s="556"/>
      <c r="BJ105" s="556"/>
      <c r="BK105" s="556"/>
      <c r="BL105" s="556"/>
      <c r="BM105" s="556"/>
      <c r="BN105" s="556"/>
      <c r="BO105" s="556"/>
      <c r="BP105" s="556"/>
      <c r="BQ105" s="556"/>
      <c r="BR105" s="556"/>
      <c r="BS105" s="556"/>
      <c r="BT105" s="556"/>
      <c r="BU105" s="556"/>
      <c r="BV105" s="557"/>
      <c r="BW105" s="557"/>
      <c r="BX105" s="557"/>
      <c r="BY105" s="557"/>
      <c r="BZ105" s="557"/>
      <c r="CA105" s="557"/>
      <c r="CB105" s="557"/>
      <c r="CC105" s="557"/>
      <c r="CD105" s="557"/>
      <c r="CE105" s="557"/>
      <c r="CF105" s="1606"/>
    </row>
    <row r="106" spans="1:84" ht="15" hidden="1" customHeight="1">
      <c r="A106" s="554"/>
      <c r="B106" s="555"/>
      <c r="C106" s="555"/>
      <c r="D106" s="2499"/>
      <c r="E106" s="2495" t="s">
        <v>649</v>
      </c>
      <c r="F106" s="2496"/>
      <c r="G106" s="2497"/>
      <c r="H106" s="2491" t="str">
        <f>IF(A104="","",INDEX(DIFFERENTIATION_UNMERGE_SYSTEM,MATCH(A104,DIFFERENTIATION_ID_DIFF,0)))</f>
        <v>котельная г. Сафоново, ул. Первомайская</v>
      </c>
      <c r="I106" s="2491"/>
      <c r="J106" s="2491"/>
      <c r="K106" s="2491"/>
      <c r="L106" s="2491"/>
      <c r="M106" s="2491"/>
      <c r="N106" s="2491"/>
      <c r="O106" s="2491"/>
      <c r="P106" s="2491"/>
      <c r="Q106" s="2491"/>
      <c r="R106" s="2491"/>
      <c r="S106" s="637"/>
      <c r="T106" s="634"/>
      <c r="U106" s="556"/>
      <c r="V106" s="556"/>
      <c r="W106" s="557"/>
      <c r="X106" s="557"/>
      <c r="Y106" s="557"/>
      <c r="Z106" s="557"/>
      <c r="AA106" s="558"/>
      <c r="AB106" s="559"/>
      <c r="AC106" s="2494"/>
      <c r="AD106" s="560"/>
      <c r="AE106" s="561"/>
      <c r="AF106" s="561"/>
      <c r="AG106" s="562"/>
      <c r="AH106" s="563"/>
      <c r="AI106" s="556"/>
      <c r="AJ106" s="556"/>
      <c r="AK106" s="556"/>
      <c r="AL106" s="556"/>
      <c r="AM106" s="556"/>
      <c r="AN106" s="556"/>
      <c r="AO106" s="556"/>
      <c r="AP106" s="556"/>
      <c r="AQ106" s="556"/>
      <c r="AR106" s="556"/>
      <c r="AS106" s="556"/>
      <c r="AT106" s="556"/>
      <c r="AU106" s="556"/>
      <c r="AV106" s="556"/>
      <c r="AW106" s="556"/>
      <c r="AX106" s="556"/>
      <c r="AY106" s="556"/>
      <c r="AZ106" s="556"/>
      <c r="BA106" s="556"/>
      <c r="BB106" s="556"/>
      <c r="BC106" s="556"/>
      <c r="BD106" s="556"/>
      <c r="BE106" s="556"/>
      <c r="BF106" s="556"/>
      <c r="BG106" s="556"/>
      <c r="BH106" s="556"/>
      <c r="BI106" s="556"/>
      <c r="BJ106" s="556"/>
      <c r="BK106" s="556"/>
      <c r="BL106" s="556"/>
      <c r="BM106" s="556"/>
      <c r="BN106" s="556"/>
      <c r="BO106" s="556"/>
      <c r="BP106" s="556"/>
      <c r="BQ106" s="556"/>
      <c r="BR106" s="556"/>
      <c r="BS106" s="556"/>
      <c r="BT106" s="556"/>
      <c r="BU106" s="556"/>
      <c r="BV106" s="557"/>
      <c r="BW106" s="557"/>
      <c r="BX106" s="557"/>
      <c r="BY106" s="557"/>
      <c r="BZ106" s="557"/>
      <c r="CA106" s="557"/>
      <c r="CB106" s="557"/>
      <c r="CC106" s="557"/>
      <c r="CD106" s="557"/>
      <c r="CE106" s="557"/>
      <c r="CF106" s="1606"/>
    </row>
    <row r="107" spans="1:84" ht="24.75" hidden="1" customHeight="1">
      <c r="A107" s="1565"/>
      <c r="B107" s="961"/>
      <c r="C107" s="345"/>
      <c r="D107" s="2499"/>
      <c r="E107" s="2493" t="s">
        <v>705</v>
      </c>
      <c r="F107" s="2493"/>
      <c r="G107" s="2493"/>
      <c r="H107" s="2493"/>
      <c r="I107" s="2493"/>
      <c r="J107" s="2493"/>
      <c r="K107" s="2493"/>
      <c r="L107" s="2493"/>
      <c r="M107" s="2493"/>
      <c r="N107" s="2493"/>
      <c r="O107" s="2493"/>
      <c r="P107" s="2493"/>
      <c r="Q107" s="490">
        <f>SUMIF(T108:T109,"i",Q108:Q109)</f>
        <v>0</v>
      </c>
      <c r="R107" s="869"/>
      <c r="S107" s="1557" t="s">
        <v>706</v>
      </c>
      <c r="T107" s="635" t="s">
        <v>707</v>
      </c>
      <c r="U107" s="2399">
        <v>1</v>
      </c>
      <c r="V107" s="2399" t="str">
        <f>INDEX(B_FHD_FLAG_INDEX_1,1,MATCH(A104,B_FHD_FLAG_DIFFERENTIATION,0))</f>
        <v>отсутствует</v>
      </c>
      <c r="W107" s="961"/>
      <c r="X107" s="961"/>
      <c r="Y107" s="961"/>
      <c r="Z107" s="961"/>
      <c r="AA107" s="1424"/>
      <c r="AB107" s="961"/>
      <c r="AC107" s="2494"/>
      <c r="AD107" s="560"/>
      <c r="AE107" s="961"/>
      <c r="AF107" s="961"/>
      <c r="AG107" s="1424"/>
      <c r="AH107" s="1424"/>
      <c r="AI107" s="1424"/>
      <c r="AJ107" s="1424"/>
      <c r="AK107" s="1424"/>
      <c r="AL107" s="1424"/>
      <c r="AM107" s="1424"/>
      <c r="AN107" s="1424"/>
      <c r="AO107" s="1424"/>
      <c r="AP107" s="1424"/>
      <c r="AQ107" s="1424"/>
      <c r="AR107" s="1424"/>
      <c r="AS107" s="1424"/>
      <c r="AT107" s="1424"/>
      <c r="AU107" s="1424"/>
      <c r="AV107" s="1424"/>
      <c r="AW107" s="1424"/>
      <c r="AX107" s="1424"/>
      <c r="AY107" s="1424"/>
      <c r="AZ107" s="1424"/>
      <c r="BA107" s="1424"/>
      <c r="BB107" s="1424"/>
      <c r="BC107" s="1424"/>
      <c r="BD107" s="1424"/>
      <c r="BE107" s="1424"/>
      <c r="BF107" s="1424"/>
      <c r="BG107" s="1424"/>
      <c r="BH107" s="1424"/>
      <c r="BI107" s="1424"/>
      <c r="BJ107" s="1424"/>
      <c r="BK107" s="1424"/>
      <c r="BL107" s="1424"/>
      <c r="BM107" s="1424"/>
      <c r="BN107" s="1424"/>
      <c r="BO107" s="1424"/>
      <c r="BP107" s="1424"/>
      <c r="BQ107" s="1424"/>
      <c r="BR107" s="1424"/>
      <c r="BS107" s="1424"/>
      <c r="BT107" s="1424"/>
      <c r="BU107" s="1424"/>
      <c r="BV107" s="961"/>
      <c r="BW107" s="961"/>
      <c r="BX107" s="961"/>
      <c r="BY107" s="961"/>
      <c r="BZ107" s="961"/>
      <c r="CA107" s="961"/>
      <c r="CB107" s="961"/>
      <c r="CC107" s="961"/>
      <c r="CD107" s="961"/>
      <c r="CE107" s="961"/>
      <c r="CF107" s="1606"/>
    </row>
    <row r="108" spans="1:84" ht="11.25" hidden="1" customHeight="1">
      <c r="A108" s="1552"/>
      <c r="B108" s="1424"/>
      <c r="C108" s="1424"/>
      <c r="D108" s="2499"/>
      <c r="E108" s="566"/>
      <c r="F108" s="566">
        <v>0</v>
      </c>
      <c r="G108" s="566"/>
      <c r="H108" s="566"/>
      <c r="I108" s="566"/>
      <c r="J108" s="566"/>
      <c r="K108" s="566"/>
      <c r="L108" s="566"/>
      <c r="M108" s="566"/>
      <c r="N108" s="566"/>
      <c r="O108" s="566"/>
      <c r="P108" s="566"/>
      <c r="Q108" s="566"/>
      <c r="R108" s="566"/>
      <c r="S108" s="567"/>
      <c r="T108" s="636"/>
      <c r="U108" s="2399"/>
      <c r="V108" s="2399"/>
      <c r="W108" s="1424"/>
      <c r="X108" s="1424"/>
      <c r="Y108" s="1424"/>
      <c r="Z108" s="1424"/>
      <c r="AA108" s="1424"/>
      <c r="AB108" s="961"/>
      <c r="AC108" s="2494"/>
      <c r="AD108" s="560"/>
      <c r="AE108" s="961"/>
      <c r="AF108" s="961"/>
      <c r="AG108" s="1424"/>
      <c r="AH108" s="1424"/>
      <c r="AI108" s="1424"/>
      <c r="AJ108" s="1424"/>
      <c r="AK108" s="1424"/>
      <c r="AL108" s="1424"/>
      <c r="AM108" s="1424"/>
      <c r="AN108" s="1424"/>
      <c r="AO108" s="1424"/>
      <c r="AP108" s="1424"/>
      <c r="AQ108" s="1424"/>
      <c r="AR108" s="1424"/>
      <c r="AS108" s="1424"/>
      <c r="AT108" s="1424"/>
      <c r="AU108" s="1424"/>
      <c r="AV108" s="1424"/>
      <c r="AW108" s="1424"/>
      <c r="AX108" s="1424"/>
      <c r="AY108" s="1424"/>
      <c r="AZ108" s="1424"/>
      <c r="BA108" s="1424"/>
      <c r="BB108" s="1424"/>
      <c r="BC108" s="1424"/>
      <c r="BD108" s="1424"/>
      <c r="BE108" s="1424"/>
      <c r="BF108" s="1424"/>
      <c r="BG108" s="1424"/>
      <c r="BH108" s="1424"/>
      <c r="BI108" s="1424"/>
      <c r="BJ108" s="1424"/>
      <c r="BK108" s="1424"/>
      <c r="BL108" s="1424"/>
      <c r="BM108" s="1424"/>
      <c r="BN108" s="1424"/>
      <c r="BO108" s="1424"/>
      <c r="BP108" s="1424"/>
      <c r="BQ108" s="1424"/>
      <c r="BR108" s="1424"/>
      <c r="BS108" s="1424"/>
      <c r="BT108" s="1424"/>
      <c r="BU108" s="1424"/>
      <c r="BV108" s="1424"/>
      <c r="BW108" s="1424"/>
      <c r="BX108" s="1424"/>
      <c r="BY108" s="1424"/>
      <c r="BZ108" s="1424"/>
      <c r="CA108" s="1424"/>
      <c r="CB108" s="1424"/>
      <c r="CC108" s="1424"/>
      <c r="CD108" s="1424"/>
      <c r="CE108" s="1424"/>
      <c r="CF108" s="1606"/>
    </row>
    <row r="109" spans="1:84" ht="11.25" hidden="1" customHeight="1">
      <c r="A109" s="1565"/>
      <c r="B109" s="961"/>
      <c r="C109" s="345"/>
      <c r="D109" s="2499"/>
      <c r="E109" s="580" t="s">
        <v>9</v>
      </c>
      <c r="F109" s="969" t="s">
        <v>9</v>
      </c>
      <c r="G109" s="969" t="s">
        <v>710</v>
      </c>
      <c r="H109" s="582" t="s">
        <v>9</v>
      </c>
      <c r="I109" s="582"/>
      <c r="J109" s="582"/>
      <c r="K109" s="582"/>
      <c r="L109" s="582"/>
      <c r="M109" s="582"/>
      <c r="N109" s="582"/>
      <c r="O109" s="582"/>
      <c r="P109" s="582"/>
      <c r="Q109" s="582"/>
      <c r="R109" s="583"/>
      <c r="S109" s="584"/>
      <c r="T109" s="636"/>
      <c r="U109" s="2399"/>
      <c r="V109" s="2399"/>
      <c r="W109" s="961"/>
      <c r="X109" s="961"/>
      <c r="Y109" s="961"/>
      <c r="Z109" s="961"/>
      <c r="AA109" s="1424"/>
      <c r="AB109" s="961"/>
      <c r="AC109" s="2494"/>
      <c r="AD109" s="560"/>
      <c r="AE109" s="961"/>
      <c r="AF109" s="961"/>
      <c r="AG109" s="1424"/>
      <c r="AH109" s="1424"/>
      <c r="AI109" s="1424"/>
      <c r="AJ109" s="1424"/>
      <c r="AK109" s="1424"/>
      <c r="AL109" s="1424"/>
      <c r="AM109" s="1424"/>
      <c r="AN109" s="1424"/>
      <c r="AO109" s="1424"/>
      <c r="AP109" s="1424"/>
      <c r="AQ109" s="1424"/>
      <c r="AR109" s="1424"/>
      <c r="AS109" s="1424"/>
      <c r="AT109" s="1424"/>
      <c r="AU109" s="1424"/>
      <c r="AV109" s="1424"/>
      <c r="AW109" s="1424"/>
      <c r="AX109" s="1424"/>
      <c r="AY109" s="1424"/>
      <c r="AZ109" s="1424"/>
      <c r="BA109" s="1424"/>
      <c r="BB109" s="1424"/>
      <c r="BC109" s="1424"/>
      <c r="BD109" s="1424"/>
      <c r="BE109" s="1424"/>
      <c r="BF109" s="1424"/>
      <c r="BG109" s="1424"/>
      <c r="BH109" s="1424"/>
      <c r="BI109" s="1424"/>
      <c r="BJ109" s="1424"/>
      <c r="BK109" s="1424"/>
      <c r="BL109" s="1424"/>
      <c r="BM109" s="1424"/>
      <c r="BN109" s="1424"/>
      <c r="BO109" s="1424"/>
      <c r="BP109" s="1424"/>
      <c r="BQ109" s="1424"/>
      <c r="BR109" s="1424"/>
      <c r="BS109" s="1424"/>
      <c r="BT109" s="1424"/>
      <c r="BU109" s="1424"/>
      <c r="BV109" s="961"/>
      <c r="BW109" s="961"/>
      <c r="BX109" s="961"/>
      <c r="BY109" s="961"/>
      <c r="BZ109" s="961"/>
      <c r="CA109" s="961"/>
      <c r="CB109" s="961"/>
      <c r="CC109" s="961"/>
      <c r="CD109" s="961"/>
      <c r="CE109" s="961"/>
      <c r="CF109" s="1606"/>
    </row>
    <row r="110" spans="1:84" ht="5.25" hidden="1" customHeight="1">
      <c r="A110" s="1552"/>
      <c r="B110" s="1424"/>
      <c r="C110" s="1424"/>
      <c r="D110" s="2499"/>
      <c r="E110" s="878"/>
      <c r="F110" s="878"/>
      <c r="G110" s="878"/>
      <c r="H110" s="878"/>
      <c r="I110" s="878"/>
      <c r="J110" s="878"/>
      <c r="K110" s="878"/>
      <c r="L110" s="878"/>
      <c r="M110" s="878"/>
      <c r="N110" s="878"/>
      <c r="O110" s="878"/>
      <c r="P110" s="878"/>
      <c r="Q110" s="879"/>
      <c r="R110" s="880"/>
      <c r="S110" s="881"/>
      <c r="T110" s="635" t="s">
        <v>707</v>
      </c>
      <c r="U110" s="2399">
        <v>1</v>
      </c>
      <c r="V110" s="2399" t="s">
        <v>664</v>
      </c>
      <c r="W110" s="1424"/>
      <c r="X110" s="1424"/>
      <c r="Y110" s="1424"/>
      <c r="Z110" s="1424"/>
      <c r="AA110" s="1424"/>
      <c r="AB110" s="1424"/>
      <c r="AC110" s="876"/>
      <c r="AD110" s="877"/>
      <c r="AE110" s="1424"/>
      <c r="AF110" s="1424"/>
      <c r="AG110" s="1424"/>
      <c r="AH110" s="1424"/>
      <c r="AI110" s="1424"/>
      <c r="AJ110" s="1424"/>
      <c r="AK110" s="1424"/>
      <c r="AL110" s="1424"/>
      <c r="AM110" s="1424"/>
      <c r="AN110" s="1424"/>
      <c r="AO110" s="1424"/>
      <c r="AP110" s="1424"/>
      <c r="AQ110" s="1424"/>
      <c r="AR110" s="1424"/>
      <c r="AS110" s="1424"/>
      <c r="AT110" s="1424"/>
      <c r="AU110" s="1424"/>
      <c r="AV110" s="1424"/>
      <c r="AW110" s="1424"/>
      <c r="AX110" s="1424"/>
      <c r="AY110" s="1424"/>
      <c r="AZ110" s="1424"/>
      <c r="BA110" s="1424"/>
      <c r="BB110" s="1424"/>
      <c r="BC110" s="1424"/>
      <c r="BD110" s="1424"/>
      <c r="BE110" s="1424"/>
      <c r="BF110" s="1424"/>
      <c r="BG110" s="1424"/>
      <c r="BH110" s="1424"/>
      <c r="BI110" s="1424"/>
      <c r="BJ110" s="1424"/>
      <c r="BK110" s="1424"/>
      <c r="BL110" s="1424"/>
      <c r="BM110" s="1424"/>
      <c r="BN110" s="1424"/>
      <c r="BO110" s="1424"/>
      <c r="BP110" s="1424"/>
      <c r="BQ110" s="1424"/>
      <c r="BR110" s="1424"/>
      <c r="BS110" s="1424"/>
      <c r="BT110" s="1424"/>
      <c r="BU110" s="1424"/>
      <c r="BV110" s="1424"/>
      <c r="BW110" s="1424"/>
      <c r="BX110" s="1424"/>
      <c r="BY110" s="1424"/>
      <c r="BZ110" s="1424"/>
      <c r="CA110" s="1424"/>
      <c r="CB110" s="1424"/>
      <c r="CC110" s="1424"/>
      <c r="CD110" s="1424"/>
      <c r="CE110" s="1424"/>
      <c r="CF110" s="1104"/>
    </row>
    <row r="111" spans="1:84" ht="5.25" hidden="1" customHeight="1">
      <c r="A111" s="1552"/>
      <c r="B111" s="1424"/>
      <c r="C111" s="1424"/>
      <c r="D111" s="2499"/>
      <c r="E111" s="566"/>
      <c r="F111" s="566"/>
      <c r="G111" s="566"/>
      <c r="H111" s="566"/>
      <c r="I111" s="566"/>
      <c r="J111" s="566"/>
      <c r="K111" s="566"/>
      <c r="L111" s="566"/>
      <c r="M111" s="566"/>
      <c r="N111" s="566"/>
      <c r="O111" s="566"/>
      <c r="P111" s="566"/>
      <c r="Q111" s="566"/>
      <c r="R111" s="566"/>
      <c r="S111" s="567"/>
      <c r="T111" s="636"/>
      <c r="U111" s="2399"/>
      <c r="V111" s="2399"/>
      <c r="W111" s="1424"/>
      <c r="X111" s="1424"/>
      <c r="Y111" s="1424"/>
      <c r="Z111" s="1424"/>
      <c r="AA111" s="1424"/>
      <c r="AB111" s="1424"/>
      <c r="AC111" s="876"/>
      <c r="AD111" s="877"/>
      <c r="AE111" s="1424"/>
      <c r="AF111" s="1424"/>
      <c r="AG111" s="1424"/>
      <c r="AH111" s="1424"/>
      <c r="AI111" s="1424"/>
      <c r="AJ111" s="1424"/>
      <c r="AK111" s="1424"/>
      <c r="AL111" s="1424"/>
      <c r="AM111" s="1424"/>
      <c r="AN111" s="1424"/>
      <c r="AO111" s="1424"/>
      <c r="AP111" s="1424"/>
      <c r="AQ111" s="1424"/>
      <c r="AR111" s="1424"/>
      <c r="AS111" s="1424"/>
      <c r="AT111" s="1424"/>
      <c r="AU111" s="1424"/>
      <c r="AV111" s="1424"/>
      <c r="AW111" s="1424"/>
      <c r="AX111" s="1424"/>
      <c r="AY111" s="1424"/>
      <c r="AZ111" s="1424"/>
      <c r="BA111" s="1424"/>
      <c r="BB111" s="1424"/>
      <c r="BC111" s="1424"/>
      <c r="BD111" s="1424"/>
      <c r="BE111" s="1424"/>
      <c r="BF111" s="1424"/>
      <c r="BG111" s="1424"/>
      <c r="BH111" s="1424"/>
      <c r="BI111" s="1424"/>
      <c r="BJ111" s="1424"/>
      <c r="BK111" s="1424"/>
      <c r="BL111" s="1424"/>
      <c r="BM111" s="1424"/>
      <c r="BN111" s="1424"/>
      <c r="BO111" s="1424"/>
      <c r="BP111" s="1424"/>
      <c r="BQ111" s="1424"/>
      <c r="BR111" s="1424"/>
      <c r="BS111" s="1424"/>
      <c r="BT111" s="1424"/>
      <c r="BU111" s="1424"/>
      <c r="BV111" s="1424"/>
      <c r="BW111" s="1424"/>
      <c r="BX111" s="1424"/>
      <c r="BY111" s="1424"/>
      <c r="BZ111" s="1424"/>
      <c r="CA111" s="1424"/>
      <c r="CB111" s="1424"/>
      <c r="CC111" s="1424"/>
      <c r="CD111" s="1424"/>
      <c r="CE111" s="1424"/>
      <c r="CF111" s="1104"/>
    </row>
    <row r="112" spans="1:84" ht="5.25" hidden="1" customHeight="1">
      <c r="A112" s="1552"/>
      <c r="B112" s="1424"/>
      <c r="C112" s="1424"/>
      <c r="D112" s="2500"/>
      <c r="E112" s="882"/>
      <c r="F112" s="883"/>
      <c r="G112" s="883"/>
      <c r="H112" s="884"/>
      <c r="I112" s="884"/>
      <c r="J112" s="884"/>
      <c r="K112" s="884"/>
      <c r="L112" s="884"/>
      <c r="M112" s="884"/>
      <c r="N112" s="884"/>
      <c r="O112" s="884"/>
      <c r="P112" s="884"/>
      <c r="Q112" s="884"/>
      <c r="R112" s="806"/>
      <c r="S112" s="885"/>
      <c r="T112" s="636"/>
      <c r="U112" s="2399"/>
      <c r="V112" s="2399"/>
      <c r="W112" s="1424"/>
      <c r="X112" s="1424"/>
      <c r="Y112" s="1424"/>
      <c r="Z112" s="1424"/>
      <c r="AA112" s="1424"/>
      <c r="AB112" s="1424"/>
      <c r="AC112" s="876"/>
      <c r="AD112" s="877"/>
      <c r="AE112" s="1424"/>
      <c r="AF112" s="1424"/>
      <c r="AG112" s="1424"/>
      <c r="AH112" s="1424"/>
      <c r="AI112" s="1424"/>
      <c r="AJ112" s="1424"/>
      <c r="AK112" s="1424"/>
      <c r="AL112" s="1424"/>
      <c r="AM112" s="1424"/>
      <c r="AN112" s="1424"/>
      <c r="AO112" s="1424"/>
      <c r="AP112" s="1424"/>
      <c r="AQ112" s="1424"/>
      <c r="AR112" s="1424"/>
      <c r="AS112" s="1424"/>
      <c r="AT112" s="1424"/>
      <c r="AU112" s="1424"/>
      <c r="AV112" s="1424"/>
      <c r="AW112" s="1424"/>
      <c r="AX112" s="1424"/>
      <c r="AY112" s="1424"/>
      <c r="AZ112" s="1424"/>
      <c r="BA112" s="1424"/>
      <c r="BB112" s="1424"/>
      <c r="BC112" s="1424"/>
      <c r="BD112" s="1424"/>
      <c r="BE112" s="1424"/>
      <c r="BF112" s="1424"/>
      <c r="BG112" s="1424"/>
      <c r="BH112" s="1424"/>
      <c r="BI112" s="1424"/>
      <c r="BJ112" s="1424"/>
      <c r="BK112" s="1424"/>
      <c r="BL112" s="1424"/>
      <c r="BM112" s="1424"/>
      <c r="BN112" s="1424"/>
      <c r="BO112" s="1424"/>
      <c r="BP112" s="1424"/>
      <c r="BQ112" s="1424"/>
      <c r="BR112" s="1424"/>
      <c r="BS112" s="1424"/>
      <c r="BT112" s="1424"/>
      <c r="BU112" s="1424"/>
      <c r="BV112" s="1424"/>
      <c r="BW112" s="1424"/>
      <c r="BX112" s="1424"/>
      <c r="BY112" s="1424"/>
      <c r="BZ112" s="1424"/>
      <c r="CA112" s="1424"/>
      <c r="CB112" s="1424"/>
      <c r="CC112" s="1424"/>
      <c r="CD112" s="1424"/>
      <c r="CE112" s="1424"/>
      <c r="CF112" s="1104"/>
    </row>
    <row r="113" spans="1:84" ht="15" hidden="1" customHeight="1">
      <c r="A113" s="554" t="s">
        <v>192</v>
      </c>
      <c r="B113" s="555"/>
      <c r="C113" s="555" t="s">
        <v>9</v>
      </c>
      <c r="D113" s="2498" t="s">
        <v>720</v>
      </c>
      <c r="E113" s="2495" t="s">
        <v>157</v>
      </c>
      <c r="F113" s="2496"/>
      <c r="G113" s="2497"/>
      <c r="H113" s="2491" t="str">
        <f>IF(A113="","",INDEX(DIFFERENTIATION_UNMERGE_VD,MATCH(A113,DIFFERENTIATION_ID_DIFF,0)))</f>
        <v>Производство тепловой энергии. Некомбинированная выработка; Передача. Тепловая энергия; Сбыт. Тепловая энергия</v>
      </c>
      <c r="I113" s="2491"/>
      <c r="J113" s="2491"/>
      <c r="K113" s="2491"/>
      <c r="L113" s="2491"/>
      <c r="M113" s="2491"/>
      <c r="N113" s="2491"/>
      <c r="O113" s="2491"/>
      <c r="P113" s="2491"/>
      <c r="Q113" s="2491"/>
      <c r="R113" s="2491"/>
      <c r="S113" s="637"/>
      <c r="T113" s="634"/>
      <c r="U113" s="556"/>
      <c r="V113" s="556"/>
      <c r="W113" s="557"/>
      <c r="X113" s="557"/>
      <c r="Y113" s="557"/>
      <c r="Z113" s="557"/>
      <c r="AA113" s="558"/>
      <c r="AB113" s="559"/>
      <c r="AC113" s="2494"/>
      <c r="AD113" s="560"/>
      <c r="AE113" s="561" t="s">
        <v>9</v>
      </c>
      <c r="AF113" s="561"/>
      <c r="AG113" s="562" t="s">
        <v>704</v>
      </c>
      <c r="AH113" s="563">
        <v>3</v>
      </c>
      <c r="AI113" s="556"/>
      <c r="AJ113" s="556"/>
      <c r="AK113" s="556"/>
      <c r="AL113" s="556"/>
      <c r="AM113" s="556"/>
      <c r="AN113" s="556"/>
      <c r="AO113" s="556"/>
      <c r="AP113" s="556"/>
      <c r="AQ113" s="556"/>
      <c r="AR113" s="556"/>
      <c r="AS113" s="556"/>
      <c r="AT113" s="556"/>
      <c r="AU113" s="556"/>
      <c r="AV113" s="556"/>
      <c r="AW113" s="556"/>
      <c r="AX113" s="556"/>
      <c r="AY113" s="556"/>
      <c r="AZ113" s="556"/>
      <c r="BA113" s="556"/>
      <c r="BB113" s="556"/>
      <c r="BC113" s="556"/>
      <c r="BD113" s="556"/>
      <c r="BE113" s="556"/>
      <c r="BF113" s="556"/>
      <c r="BG113" s="556"/>
      <c r="BH113" s="556"/>
      <c r="BI113" s="556"/>
      <c r="BJ113" s="556"/>
      <c r="BK113" s="556"/>
      <c r="BL113" s="556"/>
      <c r="BM113" s="556"/>
      <c r="BN113" s="556"/>
      <c r="BO113" s="556"/>
      <c r="BP113" s="556"/>
      <c r="BQ113" s="556"/>
      <c r="BR113" s="556"/>
      <c r="BS113" s="556"/>
      <c r="BT113" s="556"/>
      <c r="BU113" s="556"/>
      <c r="BV113" s="557"/>
      <c r="BW113" s="557"/>
      <c r="BX113" s="557"/>
      <c r="BY113" s="557"/>
      <c r="BZ113" s="557"/>
      <c r="CA113" s="557"/>
      <c r="CB113" s="557"/>
      <c r="CC113" s="557"/>
      <c r="CD113" s="557"/>
      <c r="CE113" s="557"/>
      <c r="CF113" s="1606"/>
    </row>
    <row r="114" spans="1:84" ht="15" hidden="1" customHeight="1">
      <c r="A114" s="554"/>
      <c r="B114" s="555"/>
      <c r="C114" s="555"/>
      <c r="D114" s="2499"/>
      <c r="E114" s="2495" t="s">
        <v>648</v>
      </c>
      <c r="F114" s="2496"/>
      <c r="G114" s="2497"/>
      <c r="H114" s="2491" t="str">
        <f>IF(A113="","",INDEX(DIFFERENTIATION_UNMERGE_AREA,MATCH(A113,DIFFERENTIATION_ID_DIFF,0)))</f>
        <v>Территория 8</v>
      </c>
      <c r="I114" s="2491"/>
      <c r="J114" s="2491"/>
      <c r="K114" s="2491"/>
      <c r="L114" s="2491"/>
      <c r="M114" s="2491"/>
      <c r="N114" s="2491"/>
      <c r="O114" s="2491"/>
      <c r="P114" s="2491"/>
      <c r="Q114" s="2491"/>
      <c r="R114" s="2491"/>
      <c r="S114" s="637"/>
      <c r="T114" s="634"/>
      <c r="U114" s="556"/>
      <c r="V114" s="556"/>
      <c r="W114" s="557"/>
      <c r="X114" s="557"/>
      <c r="Y114" s="557"/>
      <c r="Z114" s="557"/>
      <c r="AA114" s="558"/>
      <c r="AB114" s="559"/>
      <c r="AC114" s="2494"/>
      <c r="AD114" s="560"/>
      <c r="AE114" s="561"/>
      <c r="AF114" s="561"/>
      <c r="AG114" s="562"/>
      <c r="AH114" s="563"/>
      <c r="AI114" s="556"/>
      <c r="AJ114" s="556"/>
      <c r="AK114" s="556"/>
      <c r="AL114" s="556"/>
      <c r="AM114" s="556"/>
      <c r="AN114" s="556"/>
      <c r="AO114" s="556"/>
      <c r="AP114" s="556"/>
      <c r="AQ114" s="556"/>
      <c r="AR114" s="556"/>
      <c r="AS114" s="556"/>
      <c r="AT114" s="556"/>
      <c r="AU114" s="556"/>
      <c r="AV114" s="556"/>
      <c r="AW114" s="556"/>
      <c r="AX114" s="556"/>
      <c r="AY114" s="556"/>
      <c r="AZ114" s="556"/>
      <c r="BA114" s="556"/>
      <c r="BB114" s="556"/>
      <c r="BC114" s="556"/>
      <c r="BD114" s="556"/>
      <c r="BE114" s="556"/>
      <c r="BF114" s="556"/>
      <c r="BG114" s="556"/>
      <c r="BH114" s="556"/>
      <c r="BI114" s="556"/>
      <c r="BJ114" s="556"/>
      <c r="BK114" s="556"/>
      <c r="BL114" s="556"/>
      <c r="BM114" s="556"/>
      <c r="BN114" s="556"/>
      <c r="BO114" s="556"/>
      <c r="BP114" s="556"/>
      <c r="BQ114" s="556"/>
      <c r="BR114" s="556"/>
      <c r="BS114" s="556"/>
      <c r="BT114" s="556"/>
      <c r="BU114" s="556"/>
      <c r="BV114" s="557"/>
      <c r="BW114" s="557"/>
      <c r="BX114" s="557"/>
      <c r="BY114" s="557"/>
      <c r="BZ114" s="557"/>
      <c r="CA114" s="557"/>
      <c r="CB114" s="557"/>
      <c r="CC114" s="557"/>
      <c r="CD114" s="557"/>
      <c r="CE114" s="557"/>
      <c r="CF114" s="1606"/>
    </row>
    <row r="115" spans="1:84" ht="15" hidden="1" customHeight="1">
      <c r="A115" s="554"/>
      <c r="B115" s="555"/>
      <c r="C115" s="555"/>
      <c r="D115" s="2499"/>
      <c r="E115" s="2495" t="s">
        <v>649</v>
      </c>
      <c r="F115" s="2496"/>
      <c r="G115" s="2497"/>
      <c r="H115" s="2491" t="str">
        <f>IF(A113="","",INDEX(DIFFERENTIATION_UNMERGE_SYSTEM,MATCH(A113,DIFFERENTIATION_ID_DIFF,0)))</f>
        <v>котельная с. Издешково</v>
      </c>
      <c r="I115" s="2491"/>
      <c r="J115" s="2491"/>
      <c r="K115" s="2491"/>
      <c r="L115" s="2491"/>
      <c r="M115" s="2491"/>
      <c r="N115" s="2491"/>
      <c r="O115" s="2491"/>
      <c r="P115" s="2491"/>
      <c r="Q115" s="2491"/>
      <c r="R115" s="2491"/>
      <c r="S115" s="637"/>
      <c r="T115" s="634"/>
      <c r="U115" s="556"/>
      <c r="V115" s="556"/>
      <c r="W115" s="557"/>
      <c r="X115" s="557"/>
      <c r="Y115" s="557"/>
      <c r="Z115" s="557"/>
      <c r="AA115" s="558"/>
      <c r="AB115" s="559"/>
      <c r="AC115" s="2494"/>
      <c r="AD115" s="560"/>
      <c r="AE115" s="561"/>
      <c r="AF115" s="561"/>
      <c r="AG115" s="562"/>
      <c r="AH115" s="563"/>
      <c r="AI115" s="556"/>
      <c r="AJ115" s="556"/>
      <c r="AK115" s="556"/>
      <c r="AL115" s="556"/>
      <c r="AM115" s="556"/>
      <c r="AN115" s="556"/>
      <c r="AO115" s="556"/>
      <c r="AP115" s="556"/>
      <c r="AQ115" s="556"/>
      <c r="AR115" s="556"/>
      <c r="AS115" s="556"/>
      <c r="AT115" s="556"/>
      <c r="AU115" s="556"/>
      <c r="AV115" s="556"/>
      <c r="AW115" s="556"/>
      <c r="AX115" s="556"/>
      <c r="AY115" s="556"/>
      <c r="AZ115" s="556"/>
      <c r="BA115" s="556"/>
      <c r="BB115" s="556"/>
      <c r="BC115" s="556"/>
      <c r="BD115" s="556"/>
      <c r="BE115" s="556"/>
      <c r="BF115" s="556"/>
      <c r="BG115" s="556"/>
      <c r="BH115" s="556"/>
      <c r="BI115" s="556"/>
      <c r="BJ115" s="556"/>
      <c r="BK115" s="556"/>
      <c r="BL115" s="556"/>
      <c r="BM115" s="556"/>
      <c r="BN115" s="556"/>
      <c r="BO115" s="556"/>
      <c r="BP115" s="556"/>
      <c r="BQ115" s="556"/>
      <c r="BR115" s="556"/>
      <c r="BS115" s="556"/>
      <c r="BT115" s="556"/>
      <c r="BU115" s="556"/>
      <c r="BV115" s="557"/>
      <c r="BW115" s="557"/>
      <c r="BX115" s="557"/>
      <c r="BY115" s="557"/>
      <c r="BZ115" s="557"/>
      <c r="CA115" s="557"/>
      <c r="CB115" s="557"/>
      <c r="CC115" s="557"/>
      <c r="CD115" s="557"/>
      <c r="CE115" s="557"/>
      <c r="CF115" s="1606"/>
    </row>
    <row r="116" spans="1:84" ht="24.75" hidden="1" customHeight="1">
      <c r="A116" s="1565"/>
      <c r="B116" s="961"/>
      <c r="C116" s="345"/>
      <c r="D116" s="2499"/>
      <c r="E116" s="2493" t="s">
        <v>705</v>
      </c>
      <c r="F116" s="2493"/>
      <c r="G116" s="2493"/>
      <c r="H116" s="2493"/>
      <c r="I116" s="2493"/>
      <c r="J116" s="2493"/>
      <c r="K116" s="2493"/>
      <c r="L116" s="2493"/>
      <c r="M116" s="2493"/>
      <c r="N116" s="2493"/>
      <c r="O116" s="2493"/>
      <c r="P116" s="2493"/>
      <c r="Q116" s="490">
        <f>SUMIF(T117:T118,"i",Q117:Q118)</f>
        <v>0</v>
      </c>
      <c r="R116" s="869"/>
      <c r="S116" s="1557" t="s">
        <v>706</v>
      </c>
      <c r="T116" s="635" t="s">
        <v>707</v>
      </c>
      <c r="U116" s="2399">
        <v>1</v>
      </c>
      <c r="V116" s="2399" t="str">
        <f>INDEX(B_FHD_FLAG_INDEX_1,1,MATCH(A113,B_FHD_FLAG_DIFFERENTIATION,0))</f>
        <v>отсутствует</v>
      </c>
      <c r="W116" s="961"/>
      <c r="X116" s="961"/>
      <c r="Y116" s="961"/>
      <c r="Z116" s="961"/>
      <c r="AA116" s="1424"/>
      <c r="AB116" s="961"/>
      <c r="AC116" s="2494"/>
      <c r="AD116" s="560"/>
      <c r="AE116" s="961"/>
      <c r="AF116" s="961"/>
      <c r="AG116" s="1424"/>
      <c r="AH116" s="1424"/>
      <c r="AI116" s="1424"/>
      <c r="AJ116" s="1424"/>
      <c r="AK116" s="1424"/>
      <c r="AL116" s="1424"/>
      <c r="AM116" s="1424"/>
      <c r="AN116" s="1424"/>
      <c r="AO116" s="1424"/>
      <c r="AP116" s="1424"/>
      <c r="AQ116" s="1424"/>
      <c r="AR116" s="1424"/>
      <c r="AS116" s="1424"/>
      <c r="AT116" s="1424"/>
      <c r="AU116" s="1424"/>
      <c r="AV116" s="1424"/>
      <c r="AW116" s="1424"/>
      <c r="AX116" s="1424"/>
      <c r="AY116" s="1424"/>
      <c r="AZ116" s="1424"/>
      <c r="BA116" s="1424"/>
      <c r="BB116" s="1424"/>
      <c r="BC116" s="1424"/>
      <c r="BD116" s="1424"/>
      <c r="BE116" s="1424"/>
      <c r="BF116" s="1424"/>
      <c r="BG116" s="1424"/>
      <c r="BH116" s="1424"/>
      <c r="BI116" s="1424"/>
      <c r="BJ116" s="1424"/>
      <c r="BK116" s="1424"/>
      <c r="BL116" s="1424"/>
      <c r="BM116" s="1424"/>
      <c r="BN116" s="1424"/>
      <c r="BO116" s="1424"/>
      <c r="BP116" s="1424"/>
      <c r="BQ116" s="1424"/>
      <c r="BR116" s="1424"/>
      <c r="BS116" s="1424"/>
      <c r="BT116" s="1424"/>
      <c r="BU116" s="1424"/>
      <c r="BV116" s="961"/>
      <c r="BW116" s="961"/>
      <c r="BX116" s="961"/>
      <c r="BY116" s="961"/>
      <c r="BZ116" s="961"/>
      <c r="CA116" s="961"/>
      <c r="CB116" s="961"/>
      <c r="CC116" s="961"/>
      <c r="CD116" s="961"/>
      <c r="CE116" s="961"/>
      <c r="CF116" s="1606"/>
    </row>
    <row r="117" spans="1:84" ht="11.25" hidden="1" customHeight="1">
      <c r="A117" s="1552"/>
      <c r="B117" s="1424"/>
      <c r="C117" s="1424"/>
      <c r="D117" s="2499"/>
      <c r="E117" s="566"/>
      <c r="F117" s="566">
        <v>0</v>
      </c>
      <c r="G117" s="566"/>
      <c r="H117" s="566"/>
      <c r="I117" s="566"/>
      <c r="J117" s="566"/>
      <c r="K117" s="566"/>
      <c r="L117" s="566"/>
      <c r="M117" s="566"/>
      <c r="N117" s="566"/>
      <c r="O117" s="566"/>
      <c r="P117" s="566"/>
      <c r="Q117" s="566"/>
      <c r="R117" s="566"/>
      <c r="S117" s="567"/>
      <c r="T117" s="636"/>
      <c r="U117" s="2399"/>
      <c r="V117" s="2399"/>
      <c r="W117" s="1424"/>
      <c r="X117" s="1424"/>
      <c r="Y117" s="1424"/>
      <c r="Z117" s="1424"/>
      <c r="AA117" s="1424"/>
      <c r="AB117" s="961"/>
      <c r="AC117" s="2494"/>
      <c r="AD117" s="560"/>
      <c r="AE117" s="961"/>
      <c r="AF117" s="961"/>
      <c r="AG117" s="1424"/>
      <c r="AH117" s="1424"/>
      <c r="AI117" s="1424"/>
      <c r="AJ117" s="1424"/>
      <c r="AK117" s="1424"/>
      <c r="AL117" s="1424"/>
      <c r="AM117" s="1424"/>
      <c r="AN117" s="1424"/>
      <c r="AO117" s="1424"/>
      <c r="AP117" s="1424"/>
      <c r="AQ117" s="1424"/>
      <c r="AR117" s="1424"/>
      <c r="AS117" s="1424"/>
      <c r="AT117" s="1424"/>
      <c r="AU117" s="1424"/>
      <c r="AV117" s="1424"/>
      <c r="AW117" s="1424"/>
      <c r="AX117" s="1424"/>
      <c r="AY117" s="1424"/>
      <c r="AZ117" s="1424"/>
      <c r="BA117" s="1424"/>
      <c r="BB117" s="1424"/>
      <c r="BC117" s="1424"/>
      <c r="BD117" s="1424"/>
      <c r="BE117" s="1424"/>
      <c r="BF117" s="1424"/>
      <c r="BG117" s="1424"/>
      <c r="BH117" s="1424"/>
      <c r="BI117" s="1424"/>
      <c r="BJ117" s="1424"/>
      <c r="BK117" s="1424"/>
      <c r="BL117" s="1424"/>
      <c r="BM117" s="1424"/>
      <c r="BN117" s="1424"/>
      <c r="BO117" s="1424"/>
      <c r="BP117" s="1424"/>
      <c r="BQ117" s="1424"/>
      <c r="BR117" s="1424"/>
      <c r="BS117" s="1424"/>
      <c r="BT117" s="1424"/>
      <c r="BU117" s="1424"/>
      <c r="BV117" s="1424"/>
      <c r="BW117" s="1424"/>
      <c r="BX117" s="1424"/>
      <c r="BY117" s="1424"/>
      <c r="BZ117" s="1424"/>
      <c r="CA117" s="1424"/>
      <c r="CB117" s="1424"/>
      <c r="CC117" s="1424"/>
      <c r="CD117" s="1424"/>
      <c r="CE117" s="1424"/>
      <c r="CF117" s="1606"/>
    </row>
    <row r="118" spans="1:84" ht="11.25" hidden="1" customHeight="1">
      <c r="A118" s="1565"/>
      <c r="B118" s="961"/>
      <c r="C118" s="345"/>
      <c r="D118" s="2499"/>
      <c r="E118" s="580" t="s">
        <v>9</v>
      </c>
      <c r="F118" s="969" t="s">
        <v>9</v>
      </c>
      <c r="G118" s="969" t="s">
        <v>710</v>
      </c>
      <c r="H118" s="582" t="s">
        <v>9</v>
      </c>
      <c r="I118" s="582"/>
      <c r="J118" s="582"/>
      <c r="K118" s="582"/>
      <c r="L118" s="582"/>
      <c r="M118" s="582"/>
      <c r="N118" s="582"/>
      <c r="O118" s="582"/>
      <c r="P118" s="582"/>
      <c r="Q118" s="582"/>
      <c r="R118" s="583"/>
      <c r="S118" s="584"/>
      <c r="T118" s="636"/>
      <c r="U118" s="2399"/>
      <c r="V118" s="2399"/>
      <c r="W118" s="961"/>
      <c r="X118" s="961"/>
      <c r="Y118" s="961"/>
      <c r="Z118" s="961"/>
      <c r="AA118" s="1424"/>
      <c r="AB118" s="961"/>
      <c r="AC118" s="2494"/>
      <c r="AD118" s="560"/>
      <c r="AE118" s="961"/>
      <c r="AF118" s="961"/>
      <c r="AG118" s="1424"/>
      <c r="AH118" s="1424"/>
      <c r="AI118" s="1424"/>
      <c r="AJ118" s="1424"/>
      <c r="AK118" s="1424"/>
      <c r="AL118" s="1424"/>
      <c r="AM118" s="1424"/>
      <c r="AN118" s="1424"/>
      <c r="AO118" s="1424"/>
      <c r="AP118" s="1424"/>
      <c r="AQ118" s="1424"/>
      <c r="AR118" s="1424"/>
      <c r="AS118" s="1424"/>
      <c r="AT118" s="1424"/>
      <c r="AU118" s="1424"/>
      <c r="AV118" s="1424"/>
      <c r="AW118" s="1424"/>
      <c r="AX118" s="1424"/>
      <c r="AY118" s="1424"/>
      <c r="AZ118" s="1424"/>
      <c r="BA118" s="1424"/>
      <c r="BB118" s="1424"/>
      <c r="BC118" s="1424"/>
      <c r="BD118" s="1424"/>
      <c r="BE118" s="1424"/>
      <c r="BF118" s="1424"/>
      <c r="BG118" s="1424"/>
      <c r="BH118" s="1424"/>
      <c r="BI118" s="1424"/>
      <c r="BJ118" s="1424"/>
      <c r="BK118" s="1424"/>
      <c r="BL118" s="1424"/>
      <c r="BM118" s="1424"/>
      <c r="BN118" s="1424"/>
      <c r="BO118" s="1424"/>
      <c r="BP118" s="1424"/>
      <c r="BQ118" s="1424"/>
      <c r="BR118" s="1424"/>
      <c r="BS118" s="1424"/>
      <c r="BT118" s="1424"/>
      <c r="BU118" s="1424"/>
      <c r="BV118" s="961"/>
      <c r="BW118" s="961"/>
      <c r="BX118" s="961"/>
      <c r="BY118" s="961"/>
      <c r="BZ118" s="961"/>
      <c r="CA118" s="961"/>
      <c r="CB118" s="961"/>
      <c r="CC118" s="961"/>
      <c r="CD118" s="961"/>
      <c r="CE118" s="961"/>
      <c r="CF118" s="1606"/>
    </row>
    <row r="119" spans="1:84" ht="5.25" hidden="1" customHeight="1">
      <c r="A119" s="1552"/>
      <c r="B119" s="1424"/>
      <c r="C119" s="1424"/>
      <c r="D119" s="2499"/>
      <c r="E119" s="878"/>
      <c r="F119" s="878"/>
      <c r="G119" s="878"/>
      <c r="H119" s="878"/>
      <c r="I119" s="878"/>
      <c r="J119" s="878"/>
      <c r="K119" s="878"/>
      <c r="L119" s="878"/>
      <c r="M119" s="878"/>
      <c r="N119" s="878"/>
      <c r="O119" s="878"/>
      <c r="P119" s="878"/>
      <c r="Q119" s="879"/>
      <c r="R119" s="880"/>
      <c r="S119" s="881"/>
      <c r="T119" s="635" t="s">
        <v>707</v>
      </c>
      <c r="U119" s="2399">
        <v>1</v>
      </c>
      <c r="V119" s="2399" t="s">
        <v>664</v>
      </c>
      <c r="W119" s="1424"/>
      <c r="X119" s="1424"/>
      <c r="Y119" s="1424"/>
      <c r="Z119" s="1424"/>
      <c r="AA119" s="1424"/>
      <c r="AB119" s="1424"/>
      <c r="AC119" s="876"/>
      <c r="AD119" s="877"/>
      <c r="AE119" s="1424"/>
      <c r="AF119" s="1424"/>
      <c r="AG119" s="1424"/>
      <c r="AH119" s="1424"/>
      <c r="AI119" s="1424"/>
      <c r="AJ119" s="1424"/>
      <c r="AK119" s="1424"/>
      <c r="AL119" s="1424"/>
      <c r="AM119" s="1424"/>
      <c r="AN119" s="1424"/>
      <c r="AO119" s="1424"/>
      <c r="AP119" s="1424"/>
      <c r="AQ119" s="1424"/>
      <c r="AR119" s="1424"/>
      <c r="AS119" s="1424"/>
      <c r="AT119" s="1424"/>
      <c r="AU119" s="1424"/>
      <c r="AV119" s="1424"/>
      <c r="AW119" s="1424"/>
      <c r="AX119" s="1424"/>
      <c r="AY119" s="1424"/>
      <c r="AZ119" s="1424"/>
      <c r="BA119" s="1424"/>
      <c r="BB119" s="1424"/>
      <c r="BC119" s="1424"/>
      <c r="BD119" s="1424"/>
      <c r="BE119" s="1424"/>
      <c r="BF119" s="1424"/>
      <c r="BG119" s="1424"/>
      <c r="BH119" s="1424"/>
      <c r="BI119" s="1424"/>
      <c r="BJ119" s="1424"/>
      <c r="BK119" s="1424"/>
      <c r="BL119" s="1424"/>
      <c r="BM119" s="1424"/>
      <c r="BN119" s="1424"/>
      <c r="BO119" s="1424"/>
      <c r="BP119" s="1424"/>
      <c r="BQ119" s="1424"/>
      <c r="BR119" s="1424"/>
      <c r="BS119" s="1424"/>
      <c r="BT119" s="1424"/>
      <c r="BU119" s="1424"/>
      <c r="BV119" s="1424"/>
      <c r="BW119" s="1424"/>
      <c r="BX119" s="1424"/>
      <c r="BY119" s="1424"/>
      <c r="BZ119" s="1424"/>
      <c r="CA119" s="1424"/>
      <c r="CB119" s="1424"/>
      <c r="CC119" s="1424"/>
      <c r="CD119" s="1424"/>
      <c r="CE119" s="1424"/>
      <c r="CF119" s="1104"/>
    </row>
    <row r="120" spans="1:84" ht="5.25" hidden="1" customHeight="1">
      <c r="A120" s="1552"/>
      <c r="B120" s="1424"/>
      <c r="C120" s="1424"/>
      <c r="D120" s="2499"/>
      <c r="E120" s="566"/>
      <c r="F120" s="566"/>
      <c r="G120" s="566"/>
      <c r="H120" s="566"/>
      <c r="I120" s="566"/>
      <c r="J120" s="566"/>
      <c r="K120" s="566"/>
      <c r="L120" s="566"/>
      <c r="M120" s="566"/>
      <c r="N120" s="566"/>
      <c r="O120" s="566"/>
      <c r="P120" s="566"/>
      <c r="Q120" s="566"/>
      <c r="R120" s="566"/>
      <c r="S120" s="567"/>
      <c r="T120" s="636"/>
      <c r="U120" s="2399"/>
      <c r="V120" s="2399"/>
      <c r="W120" s="1424"/>
      <c r="X120" s="1424"/>
      <c r="Y120" s="1424"/>
      <c r="Z120" s="1424"/>
      <c r="AA120" s="1424"/>
      <c r="AB120" s="1424"/>
      <c r="AC120" s="876"/>
      <c r="AD120" s="877"/>
      <c r="AE120" s="1424"/>
      <c r="AF120" s="1424"/>
      <c r="AG120" s="1424"/>
      <c r="AH120" s="1424"/>
      <c r="AI120" s="1424"/>
      <c r="AJ120" s="1424"/>
      <c r="AK120" s="1424"/>
      <c r="AL120" s="1424"/>
      <c r="AM120" s="1424"/>
      <c r="AN120" s="1424"/>
      <c r="AO120" s="1424"/>
      <c r="AP120" s="1424"/>
      <c r="AQ120" s="1424"/>
      <c r="AR120" s="1424"/>
      <c r="AS120" s="1424"/>
      <c r="AT120" s="1424"/>
      <c r="AU120" s="1424"/>
      <c r="AV120" s="1424"/>
      <c r="AW120" s="1424"/>
      <c r="AX120" s="1424"/>
      <c r="AY120" s="1424"/>
      <c r="AZ120" s="1424"/>
      <c r="BA120" s="1424"/>
      <c r="BB120" s="1424"/>
      <c r="BC120" s="1424"/>
      <c r="BD120" s="1424"/>
      <c r="BE120" s="1424"/>
      <c r="BF120" s="1424"/>
      <c r="BG120" s="1424"/>
      <c r="BH120" s="1424"/>
      <c r="BI120" s="1424"/>
      <c r="BJ120" s="1424"/>
      <c r="BK120" s="1424"/>
      <c r="BL120" s="1424"/>
      <c r="BM120" s="1424"/>
      <c r="BN120" s="1424"/>
      <c r="BO120" s="1424"/>
      <c r="BP120" s="1424"/>
      <c r="BQ120" s="1424"/>
      <c r="BR120" s="1424"/>
      <c r="BS120" s="1424"/>
      <c r="BT120" s="1424"/>
      <c r="BU120" s="1424"/>
      <c r="BV120" s="1424"/>
      <c r="BW120" s="1424"/>
      <c r="BX120" s="1424"/>
      <c r="BY120" s="1424"/>
      <c r="BZ120" s="1424"/>
      <c r="CA120" s="1424"/>
      <c r="CB120" s="1424"/>
      <c r="CC120" s="1424"/>
      <c r="CD120" s="1424"/>
      <c r="CE120" s="1424"/>
      <c r="CF120" s="1104"/>
    </row>
    <row r="121" spans="1:84" ht="5.25" hidden="1" customHeight="1">
      <c r="A121" s="1552"/>
      <c r="B121" s="1424"/>
      <c r="C121" s="1424"/>
      <c r="D121" s="2500"/>
      <c r="E121" s="882"/>
      <c r="F121" s="883"/>
      <c r="G121" s="883"/>
      <c r="H121" s="884"/>
      <c r="I121" s="884"/>
      <c r="J121" s="884"/>
      <c r="K121" s="884"/>
      <c r="L121" s="884"/>
      <c r="M121" s="884"/>
      <c r="N121" s="884"/>
      <c r="O121" s="884"/>
      <c r="P121" s="884"/>
      <c r="Q121" s="884"/>
      <c r="R121" s="806"/>
      <c r="S121" s="885"/>
      <c r="T121" s="636"/>
      <c r="U121" s="2399"/>
      <c r="V121" s="2399"/>
      <c r="W121" s="1424"/>
      <c r="X121" s="1424"/>
      <c r="Y121" s="1424"/>
      <c r="Z121" s="1424"/>
      <c r="AA121" s="1424"/>
      <c r="AB121" s="1424"/>
      <c r="AC121" s="876"/>
      <c r="AD121" s="877"/>
      <c r="AE121" s="1424"/>
      <c r="AF121" s="1424"/>
      <c r="AG121" s="1424"/>
      <c r="AH121" s="1424"/>
      <c r="AI121" s="1424"/>
      <c r="AJ121" s="1424"/>
      <c r="AK121" s="1424"/>
      <c r="AL121" s="1424"/>
      <c r="AM121" s="1424"/>
      <c r="AN121" s="1424"/>
      <c r="AO121" s="1424"/>
      <c r="AP121" s="1424"/>
      <c r="AQ121" s="1424"/>
      <c r="AR121" s="1424"/>
      <c r="AS121" s="1424"/>
      <c r="AT121" s="1424"/>
      <c r="AU121" s="1424"/>
      <c r="AV121" s="1424"/>
      <c r="AW121" s="1424"/>
      <c r="AX121" s="1424"/>
      <c r="AY121" s="1424"/>
      <c r="AZ121" s="1424"/>
      <c r="BA121" s="1424"/>
      <c r="BB121" s="1424"/>
      <c r="BC121" s="1424"/>
      <c r="BD121" s="1424"/>
      <c r="BE121" s="1424"/>
      <c r="BF121" s="1424"/>
      <c r="BG121" s="1424"/>
      <c r="BH121" s="1424"/>
      <c r="BI121" s="1424"/>
      <c r="BJ121" s="1424"/>
      <c r="BK121" s="1424"/>
      <c r="BL121" s="1424"/>
      <c r="BM121" s="1424"/>
      <c r="BN121" s="1424"/>
      <c r="BO121" s="1424"/>
      <c r="BP121" s="1424"/>
      <c r="BQ121" s="1424"/>
      <c r="BR121" s="1424"/>
      <c r="BS121" s="1424"/>
      <c r="BT121" s="1424"/>
      <c r="BU121" s="1424"/>
      <c r="BV121" s="1424"/>
      <c r="BW121" s="1424"/>
      <c r="BX121" s="1424"/>
      <c r="BY121" s="1424"/>
      <c r="BZ121" s="1424"/>
      <c r="CA121" s="1424"/>
      <c r="CB121" s="1424"/>
      <c r="CC121" s="1424"/>
      <c r="CD121" s="1424"/>
      <c r="CE121" s="1424"/>
      <c r="CF121" s="1104"/>
    </row>
    <row r="122" spans="1:84" ht="15" hidden="1" customHeight="1">
      <c r="A122" s="554" t="s">
        <v>194</v>
      </c>
      <c r="B122" s="555"/>
      <c r="C122" s="555" t="s">
        <v>9</v>
      </c>
      <c r="D122" s="2498" t="s">
        <v>721</v>
      </c>
      <c r="E122" s="2495" t="s">
        <v>157</v>
      </c>
      <c r="F122" s="2496"/>
      <c r="G122" s="2497"/>
      <c r="H122" s="2491" t="str">
        <f>IF(A122="","",INDEX(DIFFERENTIATION_UNMERGE_VD,MATCH(A122,DIFFERENTIATION_ID_DIFF,0)))</f>
        <v>Производство тепловой энергии. Некомбинированная выработка; Передача. Тепловая энергия; Сбыт. Тепловая энергия</v>
      </c>
      <c r="I122" s="2491"/>
      <c r="J122" s="2491"/>
      <c r="K122" s="2491"/>
      <c r="L122" s="2491"/>
      <c r="M122" s="2491"/>
      <c r="N122" s="2491"/>
      <c r="O122" s="2491"/>
      <c r="P122" s="2491"/>
      <c r="Q122" s="2491"/>
      <c r="R122" s="2491"/>
      <c r="S122" s="637"/>
      <c r="T122" s="634"/>
      <c r="U122" s="556"/>
      <c r="V122" s="556"/>
      <c r="W122" s="557"/>
      <c r="X122" s="557"/>
      <c r="Y122" s="557"/>
      <c r="Z122" s="557"/>
      <c r="AA122" s="558"/>
      <c r="AB122" s="559"/>
      <c r="AC122" s="2494"/>
      <c r="AD122" s="560"/>
      <c r="AE122" s="561" t="s">
        <v>9</v>
      </c>
      <c r="AF122" s="561"/>
      <c r="AG122" s="562" t="s">
        <v>704</v>
      </c>
      <c r="AH122" s="563">
        <v>3</v>
      </c>
      <c r="AI122" s="556"/>
      <c r="AJ122" s="556"/>
      <c r="AK122" s="556"/>
      <c r="AL122" s="556"/>
      <c r="AM122" s="556"/>
      <c r="AN122" s="556"/>
      <c r="AO122" s="556"/>
      <c r="AP122" s="556"/>
      <c r="AQ122" s="556"/>
      <c r="AR122" s="556"/>
      <c r="AS122" s="556"/>
      <c r="AT122" s="556"/>
      <c r="AU122" s="556"/>
      <c r="AV122" s="556"/>
      <c r="AW122" s="556"/>
      <c r="AX122" s="556"/>
      <c r="AY122" s="556"/>
      <c r="AZ122" s="556"/>
      <c r="BA122" s="556"/>
      <c r="BB122" s="556"/>
      <c r="BC122" s="556"/>
      <c r="BD122" s="556"/>
      <c r="BE122" s="556"/>
      <c r="BF122" s="556"/>
      <c r="BG122" s="556"/>
      <c r="BH122" s="556"/>
      <c r="BI122" s="556"/>
      <c r="BJ122" s="556"/>
      <c r="BK122" s="556"/>
      <c r="BL122" s="556"/>
      <c r="BM122" s="556"/>
      <c r="BN122" s="556"/>
      <c r="BO122" s="556"/>
      <c r="BP122" s="556"/>
      <c r="BQ122" s="556"/>
      <c r="BR122" s="556"/>
      <c r="BS122" s="556"/>
      <c r="BT122" s="556"/>
      <c r="BU122" s="556"/>
      <c r="BV122" s="557"/>
      <c r="BW122" s="557"/>
      <c r="BX122" s="557"/>
      <c r="BY122" s="557"/>
      <c r="BZ122" s="557"/>
      <c r="CA122" s="557"/>
      <c r="CB122" s="557"/>
      <c r="CC122" s="557"/>
      <c r="CD122" s="557"/>
      <c r="CE122" s="557"/>
      <c r="CF122" s="1606"/>
    </row>
    <row r="123" spans="1:84" ht="15" hidden="1" customHeight="1">
      <c r="A123" s="554"/>
      <c r="B123" s="555"/>
      <c r="C123" s="555"/>
      <c r="D123" s="2499"/>
      <c r="E123" s="2495" t="s">
        <v>648</v>
      </c>
      <c r="F123" s="2496"/>
      <c r="G123" s="2497"/>
      <c r="H123" s="2491" t="str">
        <f>IF(A122="","",INDEX(DIFFERENTIATION_UNMERGE_AREA,MATCH(A122,DIFFERENTIATION_ID_DIFF,0)))</f>
        <v>Территория 9</v>
      </c>
      <c r="I123" s="2491"/>
      <c r="J123" s="2491"/>
      <c r="K123" s="2491"/>
      <c r="L123" s="2491"/>
      <c r="M123" s="2491"/>
      <c r="N123" s="2491"/>
      <c r="O123" s="2491"/>
      <c r="P123" s="2491"/>
      <c r="Q123" s="2491"/>
      <c r="R123" s="2491"/>
      <c r="S123" s="637"/>
      <c r="T123" s="634"/>
      <c r="U123" s="556"/>
      <c r="V123" s="556"/>
      <c r="W123" s="557"/>
      <c r="X123" s="557"/>
      <c r="Y123" s="557"/>
      <c r="Z123" s="557"/>
      <c r="AA123" s="558"/>
      <c r="AB123" s="559"/>
      <c r="AC123" s="2494"/>
      <c r="AD123" s="560"/>
      <c r="AE123" s="561"/>
      <c r="AF123" s="561"/>
      <c r="AG123" s="562"/>
      <c r="AH123" s="563"/>
      <c r="AI123" s="556"/>
      <c r="AJ123" s="556"/>
      <c r="AK123" s="556"/>
      <c r="AL123" s="556"/>
      <c r="AM123" s="556"/>
      <c r="AN123" s="556"/>
      <c r="AO123" s="556"/>
      <c r="AP123" s="556"/>
      <c r="AQ123" s="556"/>
      <c r="AR123" s="556"/>
      <c r="AS123" s="556"/>
      <c r="AT123" s="556"/>
      <c r="AU123" s="556"/>
      <c r="AV123" s="556"/>
      <c r="AW123" s="556"/>
      <c r="AX123" s="556"/>
      <c r="AY123" s="556"/>
      <c r="AZ123" s="556"/>
      <c r="BA123" s="556"/>
      <c r="BB123" s="556"/>
      <c r="BC123" s="556"/>
      <c r="BD123" s="556"/>
      <c r="BE123" s="556"/>
      <c r="BF123" s="556"/>
      <c r="BG123" s="556"/>
      <c r="BH123" s="556"/>
      <c r="BI123" s="556"/>
      <c r="BJ123" s="556"/>
      <c r="BK123" s="556"/>
      <c r="BL123" s="556"/>
      <c r="BM123" s="556"/>
      <c r="BN123" s="556"/>
      <c r="BO123" s="556"/>
      <c r="BP123" s="556"/>
      <c r="BQ123" s="556"/>
      <c r="BR123" s="556"/>
      <c r="BS123" s="556"/>
      <c r="BT123" s="556"/>
      <c r="BU123" s="556"/>
      <c r="BV123" s="557"/>
      <c r="BW123" s="557"/>
      <c r="BX123" s="557"/>
      <c r="BY123" s="557"/>
      <c r="BZ123" s="557"/>
      <c r="CA123" s="557"/>
      <c r="CB123" s="557"/>
      <c r="CC123" s="557"/>
      <c r="CD123" s="557"/>
      <c r="CE123" s="557"/>
      <c r="CF123" s="1606"/>
    </row>
    <row r="124" spans="1:84" ht="15" hidden="1" customHeight="1">
      <c r="A124" s="554"/>
      <c r="B124" s="555"/>
      <c r="C124" s="555"/>
      <c r="D124" s="2499"/>
      <c r="E124" s="2495" t="s">
        <v>649</v>
      </c>
      <c r="F124" s="2496"/>
      <c r="G124" s="2497"/>
      <c r="H124" s="2491" t="str">
        <f>IF(A122="","",INDEX(DIFFERENTIATION_UNMERGE_SYSTEM,MATCH(A122,DIFFERENTIATION_ID_DIFF,0)))</f>
        <v>котельная БМК Михайловское</v>
      </c>
      <c r="I124" s="2491"/>
      <c r="J124" s="2491"/>
      <c r="K124" s="2491"/>
      <c r="L124" s="2491"/>
      <c r="M124" s="2491"/>
      <c r="N124" s="2491"/>
      <c r="O124" s="2491"/>
      <c r="P124" s="2491"/>
      <c r="Q124" s="2491"/>
      <c r="R124" s="2491"/>
      <c r="S124" s="637"/>
      <c r="T124" s="634"/>
      <c r="U124" s="556"/>
      <c r="V124" s="556"/>
      <c r="W124" s="557"/>
      <c r="X124" s="557"/>
      <c r="Y124" s="557"/>
      <c r="Z124" s="557"/>
      <c r="AA124" s="558"/>
      <c r="AB124" s="559"/>
      <c r="AC124" s="2494"/>
      <c r="AD124" s="560"/>
      <c r="AE124" s="561"/>
      <c r="AF124" s="561"/>
      <c r="AG124" s="562"/>
      <c r="AH124" s="563"/>
      <c r="AI124" s="556"/>
      <c r="AJ124" s="556"/>
      <c r="AK124" s="556"/>
      <c r="AL124" s="556"/>
      <c r="AM124" s="556"/>
      <c r="AN124" s="556"/>
      <c r="AO124" s="556"/>
      <c r="AP124" s="556"/>
      <c r="AQ124" s="556"/>
      <c r="AR124" s="556"/>
      <c r="AS124" s="556"/>
      <c r="AT124" s="556"/>
      <c r="AU124" s="556"/>
      <c r="AV124" s="556"/>
      <c r="AW124" s="556"/>
      <c r="AX124" s="556"/>
      <c r="AY124" s="556"/>
      <c r="AZ124" s="556"/>
      <c r="BA124" s="556"/>
      <c r="BB124" s="556"/>
      <c r="BC124" s="556"/>
      <c r="BD124" s="556"/>
      <c r="BE124" s="556"/>
      <c r="BF124" s="556"/>
      <c r="BG124" s="556"/>
      <c r="BH124" s="556"/>
      <c r="BI124" s="556"/>
      <c r="BJ124" s="556"/>
      <c r="BK124" s="556"/>
      <c r="BL124" s="556"/>
      <c r="BM124" s="556"/>
      <c r="BN124" s="556"/>
      <c r="BO124" s="556"/>
      <c r="BP124" s="556"/>
      <c r="BQ124" s="556"/>
      <c r="BR124" s="556"/>
      <c r="BS124" s="556"/>
      <c r="BT124" s="556"/>
      <c r="BU124" s="556"/>
      <c r="BV124" s="557"/>
      <c r="BW124" s="557"/>
      <c r="BX124" s="557"/>
      <c r="BY124" s="557"/>
      <c r="BZ124" s="557"/>
      <c r="CA124" s="557"/>
      <c r="CB124" s="557"/>
      <c r="CC124" s="557"/>
      <c r="CD124" s="557"/>
      <c r="CE124" s="557"/>
      <c r="CF124" s="1606"/>
    </row>
    <row r="125" spans="1:84" ht="24.75" hidden="1" customHeight="1">
      <c r="A125" s="1565"/>
      <c r="B125" s="961"/>
      <c r="C125" s="345"/>
      <c r="D125" s="2499"/>
      <c r="E125" s="2493" t="s">
        <v>705</v>
      </c>
      <c r="F125" s="2493"/>
      <c r="G125" s="2493"/>
      <c r="H125" s="2493"/>
      <c r="I125" s="2493"/>
      <c r="J125" s="2493"/>
      <c r="K125" s="2493"/>
      <c r="L125" s="2493"/>
      <c r="M125" s="2493"/>
      <c r="N125" s="2493"/>
      <c r="O125" s="2493"/>
      <c r="P125" s="2493"/>
      <c r="Q125" s="490">
        <f>SUMIF(T126:T127,"i",Q126:Q127)</f>
        <v>0</v>
      </c>
      <c r="R125" s="869"/>
      <c r="S125" s="1557" t="s">
        <v>706</v>
      </c>
      <c r="T125" s="635" t="s">
        <v>707</v>
      </c>
      <c r="U125" s="2399">
        <v>1</v>
      </c>
      <c r="V125" s="2399" t="str">
        <f>INDEX(B_FHD_FLAG_INDEX_1,1,MATCH(A122,B_FHD_FLAG_DIFFERENTIATION,0))</f>
        <v>отсутствует</v>
      </c>
      <c r="W125" s="961"/>
      <c r="X125" s="961"/>
      <c r="Y125" s="961"/>
      <c r="Z125" s="961"/>
      <c r="AA125" s="1424"/>
      <c r="AB125" s="961"/>
      <c r="AC125" s="2494"/>
      <c r="AD125" s="560"/>
      <c r="AE125" s="961"/>
      <c r="AF125" s="961"/>
      <c r="AG125" s="1424"/>
      <c r="AH125" s="1424"/>
      <c r="AI125" s="1424"/>
      <c r="AJ125" s="1424"/>
      <c r="AK125" s="1424"/>
      <c r="AL125" s="1424"/>
      <c r="AM125" s="1424"/>
      <c r="AN125" s="1424"/>
      <c r="AO125" s="1424"/>
      <c r="AP125" s="1424"/>
      <c r="AQ125" s="1424"/>
      <c r="AR125" s="1424"/>
      <c r="AS125" s="1424"/>
      <c r="AT125" s="1424"/>
      <c r="AU125" s="1424"/>
      <c r="AV125" s="1424"/>
      <c r="AW125" s="1424"/>
      <c r="AX125" s="1424"/>
      <c r="AY125" s="1424"/>
      <c r="AZ125" s="1424"/>
      <c r="BA125" s="1424"/>
      <c r="BB125" s="1424"/>
      <c r="BC125" s="1424"/>
      <c r="BD125" s="1424"/>
      <c r="BE125" s="1424"/>
      <c r="BF125" s="1424"/>
      <c r="BG125" s="1424"/>
      <c r="BH125" s="1424"/>
      <c r="BI125" s="1424"/>
      <c r="BJ125" s="1424"/>
      <c r="BK125" s="1424"/>
      <c r="BL125" s="1424"/>
      <c r="BM125" s="1424"/>
      <c r="BN125" s="1424"/>
      <c r="BO125" s="1424"/>
      <c r="BP125" s="1424"/>
      <c r="BQ125" s="1424"/>
      <c r="BR125" s="1424"/>
      <c r="BS125" s="1424"/>
      <c r="BT125" s="1424"/>
      <c r="BU125" s="1424"/>
      <c r="BV125" s="961"/>
      <c r="BW125" s="961"/>
      <c r="BX125" s="961"/>
      <c r="BY125" s="961"/>
      <c r="BZ125" s="961"/>
      <c r="CA125" s="961"/>
      <c r="CB125" s="961"/>
      <c r="CC125" s="961"/>
      <c r="CD125" s="961"/>
      <c r="CE125" s="961"/>
      <c r="CF125" s="1606"/>
    </row>
    <row r="126" spans="1:84" ht="11.25" hidden="1" customHeight="1">
      <c r="A126" s="1552"/>
      <c r="B126" s="1424"/>
      <c r="C126" s="1424"/>
      <c r="D126" s="2499"/>
      <c r="E126" s="566"/>
      <c r="F126" s="566">
        <v>0</v>
      </c>
      <c r="G126" s="566"/>
      <c r="H126" s="566"/>
      <c r="I126" s="566"/>
      <c r="J126" s="566"/>
      <c r="K126" s="566"/>
      <c r="L126" s="566"/>
      <c r="M126" s="566"/>
      <c r="N126" s="566"/>
      <c r="O126" s="566"/>
      <c r="P126" s="566"/>
      <c r="Q126" s="566"/>
      <c r="R126" s="566"/>
      <c r="S126" s="567"/>
      <c r="T126" s="636"/>
      <c r="U126" s="2399"/>
      <c r="V126" s="2399"/>
      <c r="W126" s="1424"/>
      <c r="X126" s="1424"/>
      <c r="Y126" s="1424"/>
      <c r="Z126" s="1424"/>
      <c r="AA126" s="1424"/>
      <c r="AB126" s="961"/>
      <c r="AC126" s="2494"/>
      <c r="AD126" s="560"/>
      <c r="AE126" s="961"/>
      <c r="AF126" s="961"/>
      <c r="AG126" s="1424"/>
      <c r="AH126" s="1424"/>
      <c r="AI126" s="1424"/>
      <c r="AJ126" s="1424"/>
      <c r="AK126" s="1424"/>
      <c r="AL126" s="1424"/>
      <c r="AM126" s="1424"/>
      <c r="AN126" s="1424"/>
      <c r="AO126" s="1424"/>
      <c r="AP126" s="1424"/>
      <c r="AQ126" s="1424"/>
      <c r="AR126" s="1424"/>
      <c r="AS126" s="1424"/>
      <c r="AT126" s="1424"/>
      <c r="AU126" s="1424"/>
      <c r="AV126" s="1424"/>
      <c r="AW126" s="1424"/>
      <c r="AX126" s="1424"/>
      <c r="AY126" s="1424"/>
      <c r="AZ126" s="1424"/>
      <c r="BA126" s="1424"/>
      <c r="BB126" s="1424"/>
      <c r="BC126" s="1424"/>
      <c r="BD126" s="1424"/>
      <c r="BE126" s="1424"/>
      <c r="BF126" s="1424"/>
      <c r="BG126" s="1424"/>
      <c r="BH126" s="1424"/>
      <c r="BI126" s="1424"/>
      <c r="BJ126" s="1424"/>
      <c r="BK126" s="1424"/>
      <c r="BL126" s="1424"/>
      <c r="BM126" s="1424"/>
      <c r="BN126" s="1424"/>
      <c r="BO126" s="1424"/>
      <c r="BP126" s="1424"/>
      <c r="BQ126" s="1424"/>
      <c r="BR126" s="1424"/>
      <c r="BS126" s="1424"/>
      <c r="BT126" s="1424"/>
      <c r="BU126" s="1424"/>
      <c r="BV126" s="1424"/>
      <c r="BW126" s="1424"/>
      <c r="BX126" s="1424"/>
      <c r="BY126" s="1424"/>
      <c r="BZ126" s="1424"/>
      <c r="CA126" s="1424"/>
      <c r="CB126" s="1424"/>
      <c r="CC126" s="1424"/>
      <c r="CD126" s="1424"/>
      <c r="CE126" s="1424"/>
      <c r="CF126" s="1606"/>
    </row>
    <row r="127" spans="1:84" ht="11.25" hidden="1" customHeight="1">
      <c r="A127" s="1565"/>
      <c r="B127" s="961"/>
      <c r="C127" s="345"/>
      <c r="D127" s="2499"/>
      <c r="E127" s="580" t="s">
        <v>9</v>
      </c>
      <c r="F127" s="969" t="s">
        <v>9</v>
      </c>
      <c r="G127" s="969" t="s">
        <v>710</v>
      </c>
      <c r="H127" s="582" t="s">
        <v>9</v>
      </c>
      <c r="I127" s="582"/>
      <c r="J127" s="582"/>
      <c r="K127" s="582"/>
      <c r="L127" s="582"/>
      <c r="M127" s="582"/>
      <c r="N127" s="582"/>
      <c r="O127" s="582"/>
      <c r="P127" s="582"/>
      <c r="Q127" s="582"/>
      <c r="R127" s="583"/>
      <c r="S127" s="584"/>
      <c r="T127" s="636"/>
      <c r="U127" s="2399"/>
      <c r="V127" s="2399"/>
      <c r="W127" s="961"/>
      <c r="X127" s="961"/>
      <c r="Y127" s="961"/>
      <c r="Z127" s="961"/>
      <c r="AA127" s="1424"/>
      <c r="AB127" s="961"/>
      <c r="AC127" s="2494"/>
      <c r="AD127" s="560"/>
      <c r="AE127" s="961"/>
      <c r="AF127" s="961"/>
      <c r="AG127" s="1424"/>
      <c r="AH127" s="1424"/>
      <c r="AI127" s="1424"/>
      <c r="AJ127" s="1424"/>
      <c r="AK127" s="1424"/>
      <c r="AL127" s="1424"/>
      <c r="AM127" s="1424"/>
      <c r="AN127" s="1424"/>
      <c r="AO127" s="1424"/>
      <c r="AP127" s="1424"/>
      <c r="AQ127" s="1424"/>
      <c r="AR127" s="1424"/>
      <c r="AS127" s="1424"/>
      <c r="AT127" s="1424"/>
      <c r="AU127" s="1424"/>
      <c r="AV127" s="1424"/>
      <c r="AW127" s="1424"/>
      <c r="AX127" s="1424"/>
      <c r="AY127" s="1424"/>
      <c r="AZ127" s="1424"/>
      <c r="BA127" s="1424"/>
      <c r="BB127" s="1424"/>
      <c r="BC127" s="1424"/>
      <c r="BD127" s="1424"/>
      <c r="BE127" s="1424"/>
      <c r="BF127" s="1424"/>
      <c r="BG127" s="1424"/>
      <c r="BH127" s="1424"/>
      <c r="BI127" s="1424"/>
      <c r="BJ127" s="1424"/>
      <c r="BK127" s="1424"/>
      <c r="BL127" s="1424"/>
      <c r="BM127" s="1424"/>
      <c r="BN127" s="1424"/>
      <c r="BO127" s="1424"/>
      <c r="BP127" s="1424"/>
      <c r="BQ127" s="1424"/>
      <c r="BR127" s="1424"/>
      <c r="BS127" s="1424"/>
      <c r="BT127" s="1424"/>
      <c r="BU127" s="1424"/>
      <c r="BV127" s="961"/>
      <c r="BW127" s="961"/>
      <c r="BX127" s="961"/>
      <c r="BY127" s="961"/>
      <c r="BZ127" s="961"/>
      <c r="CA127" s="961"/>
      <c r="CB127" s="961"/>
      <c r="CC127" s="961"/>
      <c r="CD127" s="961"/>
      <c r="CE127" s="961"/>
      <c r="CF127" s="1606"/>
    </row>
    <row r="128" spans="1:84" ht="5.25" hidden="1" customHeight="1">
      <c r="A128" s="1552"/>
      <c r="B128" s="1424"/>
      <c r="C128" s="1424"/>
      <c r="D128" s="2499"/>
      <c r="E128" s="878"/>
      <c r="F128" s="878"/>
      <c r="G128" s="878"/>
      <c r="H128" s="878"/>
      <c r="I128" s="878"/>
      <c r="J128" s="878"/>
      <c r="K128" s="878"/>
      <c r="L128" s="878"/>
      <c r="M128" s="878"/>
      <c r="N128" s="878"/>
      <c r="O128" s="878"/>
      <c r="P128" s="878"/>
      <c r="Q128" s="879"/>
      <c r="R128" s="880"/>
      <c r="S128" s="881"/>
      <c r="T128" s="635" t="s">
        <v>707</v>
      </c>
      <c r="U128" s="2399">
        <v>1</v>
      </c>
      <c r="V128" s="2399" t="s">
        <v>664</v>
      </c>
      <c r="W128" s="1424"/>
      <c r="X128" s="1424"/>
      <c r="Y128" s="1424"/>
      <c r="Z128" s="1424"/>
      <c r="AA128" s="1424"/>
      <c r="AB128" s="1424"/>
      <c r="AC128" s="876"/>
      <c r="AD128" s="877"/>
      <c r="AE128" s="1424"/>
      <c r="AF128" s="1424"/>
      <c r="AG128" s="1424"/>
      <c r="AH128" s="1424"/>
      <c r="AI128" s="1424"/>
      <c r="AJ128" s="1424"/>
      <c r="AK128" s="1424"/>
      <c r="AL128" s="1424"/>
      <c r="AM128" s="1424"/>
      <c r="AN128" s="1424"/>
      <c r="AO128" s="1424"/>
      <c r="AP128" s="1424"/>
      <c r="AQ128" s="1424"/>
      <c r="AR128" s="1424"/>
      <c r="AS128" s="1424"/>
      <c r="AT128" s="1424"/>
      <c r="AU128" s="1424"/>
      <c r="AV128" s="1424"/>
      <c r="AW128" s="1424"/>
      <c r="AX128" s="1424"/>
      <c r="AY128" s="1424"/>
      <c r="AZ128" s="1424"/>
      <c r="BA128" s="1424"/>
      <c r="BB128" s="1424"/>
      <c r="BC128" s="1424"/>
      <c r="BD128" s="1424"/>
      <c r="BE128" s="1424"/>
      <c r="BF128" s="1424"/>
      <c r="BG128" s="1424"/>
      <c r="BH128" s="1424"/>
      <c r="BI128" s="1424"/>
      <c r="BJ128" s="1424"/>
      <c r="BK128" s="1424"/>
      <c r="BL128" s="1424"/>
      <c r="BM128" s="1424"/>
      <c r="BN128" s="1424"/>
      <c r="BO128" s="1424"/>
      <c r="BP128" s="1424"/>
      <c r="BQ128" s="1424"/>
      <c r="BR128" s="1424"/>
      <c r="BS128" s="1424"/>
      <c r="BT128" s="1424"/>
      <c r="BU128" s="1424"/>
      <c r="BV128" s="1424"/>
      <c r="BW128" s="1424"/>
      <c r="BX128" s="1424"/>
      <c r="BY128" s="1424"/>
      <c r="BZ128" s="1424"/>
      <c r="CA128" s="1424"/>
      <c r="CB128" s="1424"/>
      <c r="CC128" s="1424"/>
      <c r="CD128" s="1424"/>
      <c r="CE128" s="1424"/>
      <c r="CF128" s="1104"/>
    </row>
    <row r="129" spans="1:84" ht="5.25" hidden="1" customHeight="1">
      <c r="A129" s="1552"/>
      <c r="B129" s="1424"/>
      <c r="C129" s="1424"/>
      <c r="D129" s="2499"/>
      <c r="E129" s="566"/>
      <c r="F129" s="566"/>
      <c r="G129" s="566"/>
      <c r="H129" s="566"/>
      <c r="I129" s="566"/>
      <c r="J129" s="566"/>
      <c r="K129" s="566"/>
      <c r="L129" s="566"/>
      <c r="M129" s="566"/>
      <c r="N129" s="566"/>
      <c r="O129" s="566"/>
      <c r="P129" s="566"/>
      <c r="Q129" s="566"/>
      <c r="R129" s="566"/>
      <c r="S129" s="567"/>
      <c r="T129" s="636"/>
      <c r="U129" s="2399"/>
      <c r="V129" s="2399"/>
      <c r="W129" s="1424"/>
      <c r="X129" s="1424"/>
      <c r="Y129" s="1424"/>
      <c r="Z129" s="1424"/>
      <c r="AA129" s="1424"/>
      <c r="AB129" s="1424"/>
      <c r="AC129" s="876"/>
      <c r="AD129" s="877"/>
      <c r="AE129" s="1424"/>
      <c r="AF129" s="1424"/>
      <c r="AG129" s="1424"/>
      <c r="AH129" s="1424"/>
      <c r="AI129" s="1424"/>
      <c r="AJ129" s="1424"/>
      <c r="AK129" s="1424"/>
      <c r="AL129" s="1424"/>
      <c r="AM129" s="1424"/>
      <c r="AN129" s="1424"/>
      <c r="AO129" s="1424"/>
      <c r="AP129" s="1424"/>
      <c r="AQ129" s="1424"/>
      <c r="AR129" s="1424"/>
      <c r="AS129" s="1424"/>
      <c r="AT129" s="1424"/>
      <c r="AU129" s="1424"/>
      <c r="AV129" s="1424"/>
      <c r="AW129" s="1424"/>
      <c r="AX129" s="1424"/>
      <c r="AY129" s="1424"/>
      <c r="AZ129" s="1424"/>
      <c r="BA129" s="1424"/>
      <c r="BB129" s="1424"/>
      <c r="BC129" s="1424"/>
      <c r="BD129" s="1424"/>
      <c r="BE129" s="1424"/>
      <c r="BF129" s="1424"/>
      <c r="BG129" s="1424"/>
      <c r="BH129" s="1424"/>
      <c r="BI129" s="1424"/>
      <c r="BJ129" s="1424"/>
      <c r="BK129" s="1424"/>
      <c r="BL129" s="1424"/>
      <c r="BM129" s="1424"/>
      <c r="BN129" s="1424"/>
      <c r="BO129" s="1424"/>
      <c r="BP129" s="1424"/>
      <c r="BQ129" s="1424"/>
      <c r="BR129" s="1424"/>
      <c r="BS129" s="1424"/>
      <c r="BT129" s="1424"/>
      <c r="BU129" s="1424"/>
      <c r="BV129" s="1424"/>
      <c r="BW129" s="1424"/>
      <c r="BX129" s="1424"/>
      <c r="BY129" s="1424"/>
      <c r="BZ129" s="1424"/>
      <c r="CA129" s="1424"/>
      <c r="CB129" s="1424"/>
      <c r="CC129" s="1424"/>
      <c r="CD129" s="1424"/>
      <c r="CE129" s="1424"/>
      <c r="CF129" s="1104"/>
    </row>
    <row r="130" spans="1:84" ht="5.25" hidden="1" customHeight="1">
      <c r="A130" s="1552"/>
      <c r="B130" s="1424"/>
      <c r="C130" s="1424"/>
      <c r="D130" s="2500"/>
      <c r="E130" s="882"/>
      <c r="F130" s="883"/>
      <c r="G130" s="883"/>
      <c r="H130" s="884"/>
      <c r="I130" s="884"/>
      <c r="J130" s="884"/>
      <c r="K130" s="884"/>
      <c r="L130" s="884"/>
      <c r="M130" s="884"/>
      <c r="N130" s="884"/>
      <c r="O130" s="884"/>
      <c r="P130" s="884"/>
      <c r="Q130" s="884"/>
      <c r="R130" s="806"/>
      <c r="S130" s="885"/>
      <c r="T130" s="636"/>
      <c r="U130" s="2399"/>
      <c r="V130" s="2399"/>
      <c r="W130" s="1424"/>
      <c r="X130" s="1424"/>
      <c r="Y130" s="1424"/>
      <c r="Z130" s="1424"/>
      <c r="AA130" s="1424"/>
      <c r="AB130" s="1424"/>
      <c r="AC130" s="876"/>
      <c r="AD130" s="877"/>
      <c r="AE130" s="1424"/>
      <c r="AF130" s="1424"/>
      <c r="AG130" s="1424"/>
      <c r="AH130" s="1424"/>
      <c r="AI130" s="1424"/>
      <c r="AJ130" s="1424"/>
      <c r="AK130" s="1424"/>
      <c r="AL130" s="1424"/>
      <c r="AM130" s="1424"/>
      <c r="AN130" s="1424"/>
      <c r="AO130" s="1424"/>
      <c r="AP130" s="1424"/>
      <c r="AQ130" s="1424"/>
      <c r="AR130" s="1424"/>
      <c r="AS130" s="1424"/>
      <c r="AT130" s="1424"/>
      <c r="AU130" s="1424"/>
      <c r="AV130" s="1424"/>
      <c r="AW130" s="1424"/>
      <c r="AX130" s="1424"/>
      <c r="AY130" s="1424"/>
      <c r="AZ130" s="1424"/>
      <c r="BA130" s="1424"/>
      <c r="BB130" s="1424"/>
      <c r="BC130" s="1424"/>
      <c r="BD130" s="1424"/>
      <c r="BE130" s="1424"/>
      <c r="BF130" s="1424"/>
      <c r="BG130" s="1424"/>
      <c r="BH130" s="1424"/>
      <c r="BI130" s="1424"/>
      <c r="BJ130" s="1424"/>
      <c r="BK130" s="1424"/>
      <c r="BL130" s="1424"/>
      <c r="BM130" s="1424"/>
      <c r="BN130" s="1424"/>
      <c r="BO130" s="1424"/>
      <c r="BP130" s="1424"/>
      <c r="BQ130" s="1424"/>
      <c r="BR130" s="1424"/>
      <c r="BS130" s="1424"/>
      <c r="BT130" s="1424"/>
      <c r="BU130" s="1424"/>
      <c r="BV130" s="1424"/>
      <c r="BW130" s="1424"/>
      <c r="BX130" s="1424"/>
      <c r="BY130" s="1424"/>
      <c r="BZ130" s="1424"/>
      <c r="CA130" s="1424"/>
      <c r="CB130" s="1424"/>
      <c r="CC130" s="1424"/>
      <c r="CD130" s="1424"/>
      <c r="CE130" s="1424"/>
      <c r="CF130" s="1104"/>
    </row>
    <row r="131" spans="1:84" ht="15" hidden="1" customHeight="1">
      <c r="A131" s="554" t="s">
        <v>196</v>
      </c>
      <c r="B131" s="555"/>
      <c r="C131" s="555" t="s">
        <v>9</v>
      </c>
      <c r="D131" s="2498" t="s">
        <v>722</v>
      </c>
      <c r="E131" s="2495" t="s">
        <v>157</v>
      </c>
      <c r="F131" s="2496"/>
      <c r="G131" s="2497"/>
      <c r="H131" s="2491" t="str">
        <f>IF(A131="","",INDEX(DIFFERENTIATION_UNMERGE_VD,MATCH(A131,DIFFERENTIATION_ID_DIFF,0)))</f>
        <v>Производство тепловой энергии. Некомбинированная выработка; Передача. Тепловая энергия; Сбыт. Тепловая энергия</v>
      </c>
      <c r="I131" s="2491"/>
      <c r="J131" s="2491"/>
      <c r="K131" s="2491"/>
      <c r="L131" s="2491"/>
      <c r="M131" s="2491"/>
      <c r="N131" s="2491"/>
      <c r="O131" s="2491"/>
      <c r="P131" s="2491"/>
      <c r="Q131" s="2491"/>
      <c r="R131" s="2491"/>
      <c r="S131" s="637"/>
      <c r="T131" s="634"/>
      <c r="U131" s="556"/>
      <c r="V131" s="556"/>
      <c r="W131" s="557"/>
      <c r="X131" s="557"/>
      <c r="Y131" s="557"/>
      <c r="Z131" s="557"/>
      <c r="AA131" s="558"/>
      <c r="AB131" s="559"/>
      <c r="AC131" s="2494"/>
      <c r="AD131" s="560"/>
      <c r="AE131" s="561" t="s">
        <v>9</v>
      </c>
      <c r="AF131" s="561"/>
      <c r="AG131" s="562" t="s">
        <v>704</v>
      </c>
      <c r="AH131" s="563">
        <v>3</v>
      </c>
      <c r="AI131" s="556"/>
      <c r="AJ131" s="556"/>
      <c r="AK131" s="556"/>
      <c r="AL131" s="556"/>
      <c r="AM131" s="556"/>
      <c r="AN131" s="556"/>
      <c r="AO131" s="556"/>
      <c r="AP131" s="556"/>
      <c r="AQ131" s="556"/>
      <c r="AR131" s="556"/>
      <c r="AS131" s="556"/>
      <c r="AT131" s="556"/>
      <c r="AU131" s="556"/>
      <c r="AV131" s="556"/>
      <c r="AW131" s="556"/>
      <c r="AX131" s="556"/>
      <c r="AY131" s="556"/>
      <c r="AZ131" s="556"/>
      <c r="BA131" s="556"/>
      <c r="BB131" s="556"/>
      <c r="BC131" s="556"/>
      <c r="BD131" s="556"/>
      <c r="BE131" s="556"/>
      <c r="BF131" s="556"/>
      <c r="BG131" s="556"/>
      <c r="BH131" s="556"/>
      <c r="BI131" s="556"/>
      <c r="BJ131" s="556"/>
      <c r="BK131" s="556"/>
      <c r="BL131" s="556"/>
      <c r="BM131" s="556"/>
      <c r="BN131" s="556"/>
      <c r="BO131" s="556"/>
      <c r="BP131" s="556"/>
      <c r="BQ131" s="556"/>
      <c r="BR131" s="556"/>
      <c r="BS131" s="556"/>
      <c r="BT131" s="556"/>
      <c r="BU131" s="556"/>
      <c r="BV131" s="557"/>
      <c r="BW131" s="557"/>
      <c r="BX131" s="557"/>
      <c r="BY131" s="557"/>
      <c r="BZ131" s="557"/>
      <c r="CA131" s="557"/>
      <c r="CB131" s="557"/>
      <c r="CC131" s="557"/>
      <c r="CD131" s="557"/>
      <c r="CE131" s="557"/>
      <c r="CF131" s="1606"/>
    </row>
    <row r="132" spans="1:84" ht="15" hidden="1" customHeight="1">
      <c r="A132" s="554"/>
      <c r="B132" s="555"/>
      <c r="C132" s="555"/>
      <c r="D132" s="2499"/>
      <c r="E132" s="2495" t="s">
        <v>648</v>
      </c>
      <c r="F132" s="2496"/>
      <c r="G132" s="2497"/>
      <c r="H132" s="2491" t="str">
        <f>IF(A131="","",INDEX(DIFFERENTIATION_UNMERGE_AREA,MATCH(A131,DIFFERENTIATION_ID_DIFF,0)))</f>
        <v>Территория 10</v>
      </c>
      <c r="I132" s="2491"/>
      <c r="J132" s="2491"/>
      <c r="K132" s="2491"/>
      <c r="L132" s="2491"/>
      <c r="M132" s="2491"/>
      <c r="N132" s="2491"/>
      <c r="O132" s="2491"/>
      <c r="P132" s="2491"/>
      <c r="Q132" s="2491"/>
      <c r="R132" s="2491"/>
      <c r="S132" s="637"/>
      <c r="T132" s="634"/>
      <c r="U132" s="556"/>
      <c r="V132" s="556"/>
      <c r="W132" s="557"/>
      <c r="X132" s="557"/>
      <c r="Y132" s="557"/>
      <c r="Z132" s="557"/>
      <c r="AA132" s="558"/>
      <c r="AB132" s="559"/>
      <c r="AC132" s="2494"/>
      <c r="AD132" s="560"/>
      <c r="AE132" s="561"/>
      <c r="AF132" s="561"/>
      <c r="AG132" s="562"/>
      <c r="AH132" s="563"/>
      <c r="AI132" s="556"/>
      <c r="AJ132" s="556"/>
      <c r="AK132" s="556"/>
      <c r="AL132" s="556"/>
      <c r="AM132" s="556"/>
      <c r="AN132" s="556"/>
      <c r="AO132" s="556"/>
      <c r="AP132" s="556"/>
      <c r="AQ132" s="556"/>
      <c r="AR132" s="556"/>
      <c r="AS132" s="556"/>
      <c r="AT132" s="556"/>
      <c r="AU132" s="556"/>
      <c r="AV132" s="556"/>
      <c r="AW132" s="556"/>
      <c r="AX132" s="556"/>
      <c r="AY132" s="556"/>
      <c r="AZ132" s="556"/>
      <c r="BA132" s="556"/>
      <c r="BB132" s="556"/>
      <c r="BC132" s="556"/>
      <c r="BD132" s="556"/>
      <c r="BE132" s="556"/>
      <c r="BF132" s="556"/>
      <c r="BG132" s="556"/>
      <c r="BH132" s="556"/>
      <c r="BI132" s="556"/>
      <c r="BJ132" s="556"/>
      <c r="BK132" s="556"/>
      <c r="BL132" s="556"/>
      <c r="BM132" s="556"/>
      <c r="BN132" s="556"/>
      <c r="BO132" s="556"/>
      <c r="BP132" s="556"/>
      <c r="BQ132" s="556"/>
      <c r="BR132" s="556"/>
      <c r="BS132" s="556"/>
      <c r="BT132" s="556"/>
      <c r="BU132" s="556"/>
      <c r="BV132" s="557"/>
      <c r="BW132" s="557"/>
      <c r="BX132" s="557"/>
      <c r="BY132" s="557"/>
      <c r="BZ132" s="557"/>
      <c r="CA132" s="557"/>
      <c r="CB132" s="557"/>
      <c r="CC132" s="557"/>
      <c r="CD132" s="557"/>
      <c r="CE132" s="557"/>
      <c r="CF132" s="1606"/>
    </row>
    <row r="133" spans="1:84" ht="15" hidden="1" customHeight="1">
      <c r="A133" s="554"/>
      <c r="B133" s="555"/>
      <c r="C133" s="555"/>
      <c r="D133" s="2499"/>
      <c r="E133" s="2495" t="s">
        <v>649</v>
      </c>
      <c r="F133" s="2496"/>
      <c r="G133" s="2497"/>
      <c r="H133" s="2491" t="str">
        <f>IF(A131="","",INDEX(DIFFERENTIATION_UNMERGE_SYSTEM,MATCH(A131,DIFFERENTIATION_ID_DIFF,0)))</f>
        <v>котельные пгт. Холм-Жирковское, ул. Кирова,ул. Советская</v>
      </c>
      <c r="I133" s="2491"/>
      <c r="J133" s="2491"/>
      <c r="K133" s="2491"/>
      <c r="L133" s="2491"/>
      <c r="M133" s="2491"/>
      <c r="N133" s="2491"/>
      <c r="O133" s="2491"/>
      <c r="P133" s="2491"/>
      <c r="Q133" s="2491"/>
      <c r="R133" s="2491"/>
      <c r="S133" s="637"/>
      <c r="T133" s="634"/>
      <c r="U133" s="556"/>
      <c r="V133" s="556"/>
      <c r="W133" s="557"/>
      <c r="X133" s="557"/>
      <c r="Y133" s="557"/>
      <c r="Z133" s="557"/>
      <c r="AA133" s="558"/>
      <c r="AB133" s="559"/>
      <c r="AC133" s="2494"/>
      <c r="AD133" s="560"/>
      <c r="AE133" s="561"/>
      <c r="AF133" s="561"/>
      <c r="AG133" s="562"/>
      <c r="AH133" s="563"/>
      <c r="AI133" s="556"/>
      <c r="AJ133" s="556"/>
      <c r="AK133" s="556"/>
      <c r="AL133" s="556"/>
      <c r="AM133" s="556"/>
      <c r="AN133" s="556"/>
      <c r="AO133" s="556"/>
      <c r="AP133" s="556"/>
      <c r="AQ133" s="556"/>
      <c r="AR133" s="556"/>
      <c r="AS133" s="556"/>
      <c r="AT133" s="556"/>
      <c r="AU133" s="556"/>
      <c r="AV133" s="556"/>
      <c r="AW133" s="556"/>
      <c r="AX133" s="556"/>
      <c r="AY133" s="556"/>
      <c r="AZ133" s="556"/>
      <c r="BA133" s="556"/>
      <c r="BB133" s="556"/>
      <c r="BC133" s="556"/>
      <c r="BD133" s="556"/>
      <c r="BE133" s="556"/>
      <c r="BF133" s="556"/>
      <c r="BG133" s="556"/>
      <c r="BH133" s="556"/>
      <c r="BI133" s="556"/>
      <c r="BJ133" s="556"/>
      <c r="BK133" s="556"/>
      <c r="BL133" s="556"/>
      <c r="BM133" s="556"/>
      <c r="BN133" s="556"/>
      <c r="BO133" s="556"/>
      <c r="BP133" s="556"/>
      <c r="BQ133" s="556"/>
      <c r="BR133" s="556"/>
      <c r="BS133" s="556"/>
      <c r="BT133" s="556"/>
      <c r="BU133" s="556"/>
      <c r="BV133" s="557"/>
      <c r="BW133" s="557"/>
      <c r="BX133" s="557"/>
      <c r="BY133" s="557"/>
      <c r="BZ133" s="557"/>
      <c r="CA133" s="557"/>
      <c r="CB133" s="557"/>
      <c r="CC133" s="557"/>
      <c r="CD133" s="557"/>
      <c r="CE133" s="557"/>
      <c r="CF133" s="1606"/>
    </row>
    <row r="134" spans="1:84" ht="24.75" hidden="1" customHeight="1">
      <c r="A134" s="1565"/>
      <c r="B134" s="961"/>
      <c r="C134" s="345"/>
      <c r="D134" s="2499"/>
      <c r="E134" s="2493" t="s">
        <v>705</v>
      </c>
      <c r="F134" s="2493"/>
      <c r="G134" s="2493"/>
      <c r="H134" s="2493"/>
      <c r="I134" s="2493"/>
      <c r="J134" s="2493"/>
      <c r="K134" s="2493"/>
      <c r="L134" s="2493"/>
      <c r="M134" s="2493"/>
      <c r="N134" s="2493"/>
      <c r="O134" s="2493"/>
      <c r="P134" s="2493"/>
      <c r="Q134" s="490">
        <f>SUMIF(T135:T136,"i",Q135:Q136)</f>
        <v>0</v>
      </c>
      <c r="R134" s="869"/>
      <c r="S134" s="1557" t="s">
        <v>706</v>
      </c>
      <c r="T134" s="635" t="s">
        <v>707</v>
      </c>
      <c r="U134" s="2399">
        <v>1</v>
      </c>
      <c r="V134" s="2399" t="str">
        <f>INDEX(B_FHD_FLAG_INDEX_1,1,MATCH(A131,B_FHD_FLAG_DIFFERENTIATION,0))</f>
        <v>отсутствует</v>
      </c>
      <c r="W134" s="961"/>
      <c r="X134" s="961"/>
      <c r="Y134" s="961"/>
      <c r="Z134" s="961"/>
      <c r="AA134" s="1424"/>
      <c r="AB134" s="961"/>
      <c r="AC134" s="2494"/>
      <c r="AD134" s="560"/>
      <c r="AE134" s="961"/>
      <c r="AF134" s="961"/>
      <c r="AG134" s="1424"/>
      <c r="AH134" s="1424"/>
      <c r="AI134" s="1424"/>
      <c r="AJ134" s="1424"/>
      <c r="AK134" s="1424"/>
      <c r="AL134" s="1424"/>
      <c r="AM134" s="1424"/>
      <c r="AN134" s="1424"/>
      <c r="AO134" s="1424"/>
      <c r="AP134" s="1424"/>
      <c r="AQ134" s="1424"/>
      <c r="AR134" s="1424"/>
      <c r="AS134" s="1424"/>
      <c r="AT134" s="1424"/>
      <c r="AU134" s="1424"/>
      <c r="AV134" s="1424"/>
      <c r="AW134" s="1424"/>
      <c r="AX134" s="1424"/>
      <c r="AY134" s="1424"/>
      <c r="AZ134" s="1424"/>
      <c r="BA134" s="1424"/>
      <c r="BB134" s="1424"/>
      <c r="BC134" s="1424"/>
      <c r="BD134" s="1424"/>
      <c r="BE134" s="1424"/>
      <c r="BF134" s="1424"/>
      <c r="BG134" s="1424"/>
      <c r="BH134" s="1424"/>
      <c r="BI134" s="1424"/>
      <c r="BJ134" s="1424"/>
      <c r="BK134" s="1424"/>
      <c r="BL134" s="1424"/>
      <c r="BM134" s="1424"/>
      <c r="BN134" s="1424"/>
      <c r="BO134" s="1424"/>
      <c r="BP134" s="1424"/>
      <c r="BQ134" s="1424"/>
      <c r="BR134" s="1424"/>
      <c r="BS134" s="1424"/>
      <c r="BT134" s="1424"/>
      <c r="BU134" s="1424"/>
      <c r="BV134" s="961"/>
      <c r="BW134" s="961"/>
      <c r="BX134" s="961"/>
      <c r="BY134" s="961"/>
      <c r="BZ134" s="961"/>
      <c r="CA134" s="961"/>
      <c r="CB134" s="961"/>
      <c r="CC134" s="961"/>
      <c r="CD134" s="961"/>
      <c r="CE134" s="961"/>
      <c r="CF134" s="1606"/>
    </row>
    <row r="135" spans="1:84" ht="11.25" hidden="1" customHeight="1">
      <c r="A135" s="1552"/>
      <c r="B135" s="1424"/>
      <c r="C135" s="1424"/>
      <c r="D135" s="2499"/>
      <c r="E135" s="566"/>
      <c r="F135" s="566">
        <v>0</v>
      </c>
      <c r="G135" s="566"/>
      <c r="H135" s="566"/>
      <c r="I135" s="566"/>
      <c r="J135" s="566"/>
      <c r="K135" s="566"/>
      <c r="L135" s="566"/>
      <c r="M135" s="566"/>
      <c r="N135" s="566"/>
      <c r="O135" s="566"/>
      <c r="P135" s="566"/>
      <c r="Q135" s="566"/>
      <c r="R135" s="566"/>
      <c r="S135" s="567"/>
      <c r="T135" s="636"/>
      <c r="U135" s="2399"/>
      <c r="V135" s="2399"/>
      <c r="W135" s="1424"/>
      <c r="X135" s="1424"/>
      <c r="Y135" s="1424"/>
      <c r="Z135" s="1424"/>
      <c r="AA135" s="1424"/>
      <c r="AB135" s="961"/>
      <c r="AC135" s="2494"/>
      <c r="AD135" s="560"/>
      <c r="AE135" s="961"/>
      <c r="AF135" s="961"/>
      <c r="AG135" s="1424"/>
      <c r="AH135" s="1424"/>
      <c r="AI135" s="1424"/>
      <c r="AJ135" s="1424"/>
      <c r="AK135" s="1424"/>
      <c r="AL135" s="1424"/>
      <c r="AM135" s="1424"/>
      <c r="AN135" s="1424"/>
      <c r="AO135" s="1424"/>
      <c r="AP135" s="1424"/>
      <c r="AQ135" s="1424"/>
      <c r="AR135" s="1424"/>
      <c r="AS135" s="1424"/>
      <c r="AT135" s="1424"/>
      <c r="AU135" s="1424"/>
      <c r="AV135" s="1424"/>
      <c r="AW135" s="1424"/>
      <c r="AX135" s="1424"/>
      <c r="AY135" s="1424"/>
      <c r="AZ135" s="1424"/>
      <c r="BA135" s="1424"/>
      <c r="BB135" s="1424"/>
      <c r="BC135" s="1424"/>
      <c r="BD135" s="1424"/>
      <c r="BE135" s="1424"/>
      <c r="BF135" s="1424"/>
      <c r="BG135" s="1424"/>
      <c r="BH135" s="1424"/>
      <c r="BI135" s="1424"/>
      <c r="BJ135" s="1424"/>
      <c r="BK135" s="1424"/>
      <c r="BL135" s="1424"/>
      <c r="BM135" s="1424"/>
      <c r="BN135" s="1424"/>
      <c r="BO135" s="1424"/>
      <c r="BP135" s="1424"/>
      <c r="BQ135" s="1424"/>
      <c r="BR135" s="1424"/>
      <c r="BS135" s="1424"/>
      <c r="BT135" s="1424"/>
      <c r="BU135" s="1424"/>
      <c r="BV135" s="1424"/>
      <c r="BW135" s="1424"/>
      <c r="BX135" s="1424"/>
      <c r="BY135" s="1424"/>
      <c r="BZ135" s="1424"/>
      <c r="CA135" s="1424"/>
      <c r="CB135" s="1424"/>
      <c r="CC135" s="1424"/>
      <c r="CD135" s="1424"/>
      <c r="CE135" s="1424"/>
      <c r="CF135" s="1606"/>
    </row>
    <row r="136" spans="1:84" ht="11.25" hidden="1" customHeight="1">
      <c r="A136" s="1565"/>
      <c r="B136" s="961"/>
      <c r="C136" s="345"/>
      <c r="D136" s="2499"/>
      <c r="E136" s="580" t="s">
        <v>9</v>
      </c>
      <c r="F136" s="969" t="s">
        <v>9</v>
      </c>
      <c r="G136" s="969" t="s">
        <v>710</v>
      </c>
      <c r="H136" s="582" t="s">
        <v>9</v>
      </c>
      <c r="I136" s="582"/>
      <c r="J136" s="582"/>
      <c r="K136" s="582"/>
      <c r="L136" s="582"/>
      <c r="M136" s="582"/>
      <c r="N136" s="582"/>
      <c r="O136" s="582"/>
      <c r="P136" s="582"/>
      <c r="Q136" s="582"/>
      <c r="R136" s="583"/>
      <c r="S136" s="584"/>
      <c r="T136" s="636"/>
      <c r="U136" s="2399"/>
      <c r="V136" s="2399"/>
      <c r="W136" s="961"/>
      <c r="X136" s="961"/>
      <c r="Y136" s="961"/>
      <c r="Z136" s="961"/>
      <c r="AA136" s="1424"/>
      <c r="AB136" s="961"/>
      <c r="AC136" s="2494"/>
      <c r="AD136" s="560"/>
      <c r="AE136" s="961"/>
      <c r="AF136" s="961"/>
      <c r="AG136" s="1424"/>
      <c r="AH136" s="1424"/>
      <c r="AI136" s="1424"/>
      <c r="AJ136" s="1424"/>
      <c r="AK136" s="1424"/>
      <c r="AL136" s="1424"/>
      <c r="AM136" s="1424"/>
      <c r="AN136" s="1424"/>
      <c r="AO136" s="1424"/>
      <c r="AP136" s="1424"/>
      <c r="AQ136" s="1424"/>
      <c r="AR136" s="1424"/>
      <c r="AS136" s="1424"/>
      <c r="AT136" s="1424"/>
      <c r="AU136" s="1424"/>
      <c r="AV136" s="1424"/>
      <c r="AW136" s="1424"/>
      <c r="AX136" s="1424"/>
      <c r="AY136" s="1424"/>
      <c r="AZ136" s="1424"/>
      <c r="BA136" s="1424"/>
      <c r="BB136" s="1424"/>
      <c r="BC136" s="1424"/>
      <c r="BD136" s="1424"/>
      <c r="BE136" s="1424"/>
      <c r="BF136" s="1424"/>
      <c r="BG136" s="1424"/>
      <c r="BH136" s="1424"/>
      <c r="BI136" s="1424"/>
      <c r="BJ136" s="1424"/>
      <c r="BK136" s="1424"/>
      <c r="BL136" s="1424"/>
      <c r="BM136" s="1424"/>
      <c r="BN136" s="1424"/>
      <c r="BO136" s="1424"/>
      <c r="BP136" s="1424"/>
      <c r="BQ136" s="1424"/>
      <c r="BR136" s="1424"/>
      <c r="BS136" s="1424"/>
      <c r="BT136" s="1424"/>
      <c r="BU136" s="1424"/>
      <c r="BV136" s="961"/>
      <c r="BW136" s="961"/>
      <c r="BX136" s="961"/>
      <c r="BY136" s="961"/>
      <c r="BZ136" s="961"/>
      <c r="CA136" s="961"/>
      <c r="CB136" s="961"/>
      <c r="CC136" s="961"/>
      <c r="CD136" s="961"/>
      <c r="CE136" s="961"/>
      <c r="CF136" s="1606"/>
    </row>
    <row r="137" spans="1:84" ht="5.25" hidden="1" customHeight="1">
      <c r="A137" s="1552"/>
      <c r="B137" s="1424"/>
      <c r="C137" s="1424"/>
      <c r="D137" s="2499"/>
      <c r="E137" s="878"/>
      <c r="F137" s="878"/>
      <c r="G137" s="878"/>
      <c r="H137" s="878"/>
      <c r="I137" s="878"/>
      <c r="J137" s="878"/>
      <c r="K137" s="878"/>
      <c r="L137" s="878"/>
      <c r="M137" s="878"/>
      <c r="N137" s="878"/>
      <c r="O137" s="878"/>
      <c r="P137" s="878"/>
      <c r="Q137" s="879"/>
      <c r="R137" s="880"/>
      <c r="S137" s="881"/>
      <c r="T137" s="635" t="s">
        <v>707</v>
      </c>
      <c r="U137" s="2399">
        <v>1</v>
      </c>
      <c r="V137" s="2399" t="s">
        <v>664</v>
      </c>
      <c r="W137" s="1424"/>
      <c r="X137" s="1424"/>
      <c r="Y137" s="1424"/>
      <c r="Z137" s="1424"/>
      <c r="AA137" s="1424"/>
      <c r="AB137" s="1424"/>
      <c r="AC137" s="876"/>
      <c r="AD137" s="877"/>
      <c r="AE137" s="1424"/>
      <c r="AF137" s="1424"/>
      <c r="AG137" s="1424"/>
      <c r="AH137" s="1424"/>
      <c r="AI137" s="1424"/>
      <c r="AJ137" s="1424"/>
      <c r="AK137" s="1424"/>
      <c r="AL137" s="1424"/>
      <c r="AM137" s="1424"/>
      <c r="AN137" s="1424"/>
      <c r="AO137" s="1424"/>
      <c r="AP137" s="1424"/>
      <c r="AQ137" s="1424"/>
      <c r="AR137" s="1424"/>
      <c r="AS137" s="1424"/>
      <c r="AT137" s="1424"/>
      <c r="AU137" s="1424"/>
      <c r="AV137" s="1424"/>
      <c r="AW137" s="1424"/>
      <c r="AX137" s="1424"/>
      <c r="AY137" s="1424"/>
      <c r="AZ137" s="1424"/>
      <c r="BA137" s="1424"/>
      <c r="BB137" s="1424"/>
      <c r="BC137" s="1424"/>
      <c r="BD137" s="1424"/>
      <c r="BE137" s="1424"/>
      <c r="BF137" s="1424"/>
      <c r="BG137" s="1424"/>
      <c r="BH137" s="1424"/>
      <c r="BI137" s="1424"/>
      <c r="BJ137" s="1424"/>
      <c r="BK137" s="1424"/>
      <c r="BL137" s="1424"/>
      <c r="BM137" s="1424"/>
      <c r="BN137" s="1424"/>
      <c r="BO137" s="1424"/>
      <c r="BP137" s="1424"/>
      <c r="BQ137" s="1424"/>
      <c r="BR137" s="1424"/>
      <c r="BS137" s="1424"/>
      <c r="BT137" s="1424"/>
      <c r="BU137" s="1424"/>
      <c r="BV137" s="1424"/>
      <c r="BW137" s="1424"/>
      <c r="BX137" s="1424"/>
      <c r="BY137" s="1424"/>
      <c r="BZ137" s="1424"/>
      <c r="CA137" s="1424"/>
      <c r="CB137" s="1424"/>
      <c r="CC137" s="1424"/>
      <c r="CD137" s="1424"/>
      <c r="CE137" s="1424"/>
      <c r="CF137" s="1104"/>
    </row>
    <row r="138" spans="1:84" ht="5.25" hidden="1" customHeight="1">
      <c r="A138" s="1552"/>
      <c r="B138" s="1424"/>
      <c r="C138" s="1424"/>
      <c r="D138" s="2499"/>
      <c r="E138" s="566"/>
      <c r="F138" s="566"/>
      <c r="G138" s="566"/>
      <c r="H138" s="566"/>
      <c r="I138" s="566"/>
      <c r="J138" s="566"/>
      <c r="K138" s="566"/>
      <c r="L138" s="566"/>
      <c r="M138" s="566"/>
      <c r="N138" s="566"/>
      <c r="O138" s="566"/>
      <c r="P138" s="566"/>
      <c r="Q138" s="566"/>
      <c r="R138" s="566"/>
      <c r="S138" s="567"/>
      <c r="T138" s="636"/>
      <c r="U138" s="2399"/>
      <c r="V138" s="2399"/>
      <c r="W138" s="1424"/>
      <c r="X138" s="1424"/>
      <c r="Y138" s="1424"/>
      <c r="Z138" s="1424"/>
      <c r="AA138" s="1424"/>
      <c r="AB138" s="1424"/>
      <c r="AC138" s="876"/>
      <c r="AD138" s="877"/>
      <c r="AE138" s="1424"/>
      <c r="AF138" s="1424"/>
      <c r="AG138" s="1424"/>
      <c r="AH138" s="1424"/>
      <c r="AI138" s="1424"/>
      <c r="AJ138" s="1424"/>
      <c r="AK138" s="1424"/>
      <c r="AL138" s="1424"/>
      <c r="AM138" s="1424"/>
      <c r="AN138" s="1424"/>
      <c r="AO138" s="1424"/>
      <c r="AP138" s="1424"/>
      <c r="AQ138" s="1424"/>
      <c r="AR138" s="1424"/>
      <c r="AS138" s="1424"/>
      <c r="AT138" s="1424"/>
      <c r="AU138" s="1424"/>
      <c r="AV138" s="1424"/>
      <c r="AW138" s="1424"/>
      <c r="AX138" s="1424"/>
      <c r="AY138" s="1424"/>
      <c r="AZ138" s="1424"/>
      <c r="BA138" s="1424"/>
      <c r="BB138" s="1424"/>
      <c r="BC138" s="1424"/>
      <c r="BD138" s="1424"/>
      <c r="BE138" s="1424"/>
      <c r="BF138" s="1424"/>
      <c r="BG138" s="1424"/>
      <c r="BH138" s="1424"/>
      <c r="BI138" s="1424"/>
      <c r="BJ138" s="1424"/>
      <c r="BK138" s="1424"/>
      <c r="BL138" s="1424"/>
      <c r="BM138" s="1424"/>
      <c r="BN138" s="1424"/>
      <c r="BO138" s="1424"/>
      <c r="BP138" s="1424"/>
      <c r="BQ138" s="1424"/>
      <c r="BR138" s="1424"/>
      <c r="BS138" s="1424"/>
      <c r="BT138" s="1424"/>
      <c r="BU138" s="1424"/>
      <c r="BV138" s="1424"/>
      <c r="BW138" s="1424"/>
      <c r="BX138" s="1424"/>
      <c r="BY138" s="1424"/>
      <c r="BZ138" s="1424"/>
      <c r="CA138" s="1424"/>
      <c r="CB138" s="1424"/>
      <c r="CC138" s="1424"/>
      <c r="CD138" s="1424"/>
      <c r="CE138" s="1424"/>
      <c r="CF138" s="1104"/>
    </row>
    <row r="139" spans="1:84" ht="5.25" hidden="1" customHeight="1">
      <c r="A139" s="1552"/>
      <c r="B139" s="1424"/>
      <c r="C139" s="1424"/>
      <c r="D139" s="2500"/>
      <c r="E139" s="882"/>
      <c r="F139" s="883"/>
      <c r="G139" s="883"/>
      <c r="H139" s="884"/>
      <c r="I139" s="884"/>
      <c r="J139" s="884"/>
      <c r="K139" s="884"/>
      <c r="L139" s="884"/>
      <c r="M139" s="884"/>
      <c r="N139" s="884"/>
      <c r="O139" s="884"/>
      <c r="P139" s="884"/>
      <c r="Q139" s="884"/>
      <c r="R139" s="806"/>
      <c r="S139" s="885"/>
      <c r="T139" s="636"/>
      <c r="U139" s="2399"/>
      <c r="V139" s="2399"/>
      <c r="W139" s="1424"/>
      <c r="X139" s="1424"/>
      <c r="Y139" s="1424"/>
      <c r="Z139" s="1424"/>
      <c r="AA139" s="1424"/>
      <c r="AB139" s="1424"/>
      <c r="AC139" s="876"/>
      <c r="AD139" s="877"/>
      <c r="AE139" s="1424"/>
      <c r="AF139" s="1424"/>
      <c r="AG139" s="1424"/>
      <c r="AH139" s="1424"/>
      <c r="AI139" s="1424"/>
      <c r="AJ139" s="1424"/>
      <c r="AK139" s="1424"/>
      <c r="AL139" s="1424"/>
      <c r="AM139" s="1424"/>
      <c r="AN139" s="1424"/>
      <c r="AO139" s="1424"/>
      <c r="AP139" s="1424"/>
      <c r="AQ139" s="1424"/>
      <c r="AR139" s="1424"/>
      <c r="AS139" s="1424"/>
      <c r="AT139" s="1424"/>
      <c r="AU139" s="1424"/>
      <c r="AV139" s="1424"/>
      <c r="AW139" s="1424"/>
      <c r="AX139" s="1424"/>
      <c r="AY139" s="1424"/>
      <c r="AZ139" s="1424"/>
      <c r="BA139" s="1424"/>
      <c r="BB139" s="1424"/>
      <c r="BC139" s="1424"/>
      <c r="BD139" s="1424"/>
      <c r="BE139" s="1424"/>
      <c r="BF139" s="1424"/>
      <c r="BG139" s="1424"/>
      <c r="BH139" s="1424"/>
      <c r="BI139" s="1424"/>
      <c r="BJ139" s="1424"/>
      <c r="BK139" s="1424"/>
      <c r="BL139" s="1424"/>
      <c r="BM139" s="1424"/>
      <c r="BN139" s="1424"/>
      <c r="BO139" s="1424"/>
      <c r="BP139" s="1424"/>
      <c r="BQ139" s="1424"/>
      <c r="BR139" s="1424"/>
      <c r="BS139" s="1424"/>
      <c r="BT139" s="1424"/>
      <c r="BU139" s="1424"/>
      <c r="BV139" s="1424"/>
      <c r="BW139" s="1424"/>
      <c r="BX139" s="1424"/>
      <c r="BY139" s="1424"/>
      <c r="BZ139" s="1424"/>
      <c r="CA139" s="1424"/>
      <c r="CB139" s="1424"/>
      <c r="CC139" s="1424"/>
      <c r="CD139" s="1424"/>
      <c r="CE139" s="1424"/>
      <c r="CF139" s="1104"/>
    </row>
    <row r="140" spans="1:84" ht="15" hidden="1" customHeight="1">
      <c r="A140" s="554" t="s">
        <v>198</v>
      </c>
      <c r="B140" s="555"/>
      <c r="C140" s="555" t="s">
        <v>9</v>
      </c>
      <c r="D140" s="2498" t="s">
        <v>723</v>
      </c>
      <c r="E140" s="2495" t="s">
        <v>157</v>
      </c>
      <c r="F140" s="2496"/>
      <c r="G140" s="2497"/>
      <c r="H140" s="2491" t="str">
        <f>IF(A140="","",INDEX(DIFFERENTIATION_UNMERGE_VD,MATCH(A140,DIFFERENTIATION_ID_DIFF,0)))</f>
        <v>Производство тепловой энергии. Некомбинированная выработка; Передача. Тепловая энергия; Сбыт. Тепловая энергия</v>
      </c>
      <c r="I140" s="2491"/>
      <c r="J140" s="2491"/>
      <c r="K140" s="2491"/>
      <c r="L140" s="2491"/>
      <c r="M140" s="2491"/>
      <c r="N140" s="2491"/>
      <c r="O140" s="2491"/>
      <c r="P140" s="2491"/>
      <c r="Q140" s="2491"/>
      <c r="R140" s="2491"/>
      <c r="S140" s="637"/>
      <c r="T140" s="634"/>
      <c r="U140" s="556"/>
      <c r="V140" s="556"/>
      <c r="W140" s="557"/>
      <c r="X140" s="557"/>
      <c r="Y140" s="557"/>
      <c r="Z140" s="557"/>
      <c r="AA140" s="558"/>
      <c r="AB140" s="559"/>
      <c r="AC140" s="2494"/>
      <c r="AD140" s="560"/>
      <c r="AE140" s="561" t="s">
        <v>9</v>
      </c>
      <c r="AF140" s="561"/>
      <c r="AG140" s="562" t="s">
        <v>704</v>
      </c>
      <c r="AH140" s="563">
        <v>3</v>
      </c>
      <c r="AI140" s="556"/>
      <c r="AJ140" s="556"/>
      <c r="AK140" s="556"/>
      <c r="AL140" s="556"/>
      <c r="AM140" s="556"/>
      <c r="AN140" s="556"/>
      <c r="AO140" s="556"/>
      <c r="AP140" s="556"/>
      <c r="AQ140" s="556"/>
      <c r="AR140" s="556"/>
      <c r="AS140" s="556"/>
      <c r="AT140" s="556"/>
      <c r="AU140" s="556"/>
      <c r="AV140" s="556"/>
      <c r="AW140" s="556"/>
      <c r="AX140" s="556"/>
      <c r="AY140" s="556"/>
      <c r="AZ140" s="556"/>
      <c r="BA140" s="556"/>
      <c r="BB140" s="556"/>
      <c r="BC140" s="556"/>
      <c r="BD140" s="556"/>
      <c r="BE140" s="556"/>
      <c r="BF140" s="556"/>
      <c r="BG140" s="556"/>
      <c r="BH140" s="556"/>
      <c r="BI140" s="556"/>
      <c r="BJ140" s="556"/>
      <c r="BK140" s="556"/>
      <c r="BL140" s="556"/>
      <c r="BM140" s="556"/>
      <c r="BN140" s="556"/>
      <c r="BO140" s="556"/>
      <c r="BP140" s="556"/>
      <c r="BQ140" s="556"/>
      <c r="BR140" s="556"/>
      <c r="BS140" s="556"/>
      <c r="BT140" s="556"/>
      <c r="BU140" s="556"/>
      <c r="BV140" s="557"/>
      <c r="BW140" s="557"/>
      <c r="BX140" s="557"/>
      <c r="BY140" s="557"/>
      <c r="BZ140" s="557"/>
      <c r="CA140" s="557"/>
      <c r="CB140" s="557"/>
      <c r="CC140" s="557"/>
      <c r="CD140" s="557"/>
      <c r="CE140" s="557"/>
      <c r="CF140" s="1606"/>
    </row>
    <row r="141" spans="1:84" ht="15" hidden="1" customHeight="1">
      <c r="A141" s="554"/>
      <c r="B141" s="555"/>
      <c r="C141" s="555"/>
      <c r="D141" s="2499"/>
      <c r="E141" s="2495" t="s">
        <v>648</v>
      </c>
      <c r="F141" s="2496"/>
      <c r="G141" s="2497"/>
      <c r="H141" s="2491" t="str">
        <f>IF(A140="","",INDEX(DIFFERENTIATION_UNMERGE_AREA,MATCH(A140,DIFFERENTIATION_ID_DIFF,0)))</f>
        <v>Территория 10</v>
      </c>
      <c r="I141" s="2491"/>
      <c r="J141" s="2491"/>
      <c r="K141" s="2491"/>
      <c r="L141" s="2491"/>
      <c r="M141" s="2491"/>
      <c r="N141" s="2491"/>
      <c r="O141" s="2491"/>
      <c r="P141" s="2491"/>
      <c r="Q141" s="2491"/>
      <c r="R141" s="2491"/>
      <c r="S141" s="637"/>
      <c r="T141" s="634"/>
      <c r="U141" s="556"/>
      <c r="V141" s="556"/>
      <c r="W141" s="557"/>
      <c r="X141" s="557"/>
      <c r="Y141" s="557"/>
      <c r="Z141" s="557"/>
      <c r="AA141" s="558"/>
      <c r="AB141" s="559"/>
      <c r="AC141" s="2494"/>
      <c r="AD141" s="560"/>
      <c r="AE141" s="561"/>
      <c r="AF141" s="561"/>
      <c r="AG141" s="562"/>
      <c r="AH141" s="563"/>
      <c r="AI141" s="556"/>
      <c r="AJ141" s="556"/>
      <c r="AK141" s="556"/>
      <c r="AL141" s="556"/>
      <c r="AM141" s="556"/>
      <c r="AN141" s="556"/>
      <c r="AO141" s="556"/>
      <c r="AP141" s="556"/>
      <c r="AQ141" s="556"/>
      <c r="AR141" s="556"/>
      <c r="AS141" s="556"/>
      <c r="AT141" s="556"/>
      <c r="AU141" s="556"/>
      <c r="AV141" s="556"/>
      <c r="AW141" s="556"/>
      <c r="AX141" s="556"/>
      <c r="AY141" s="556"/>
      <c r="AZ141" s="556"/>
      <c r="BA141" s="556"/>
      <c r="BB141" s="556"/>
      <c r="BC141" s="556"/>
      <c r="BD141" s="556"/>
      <c r="BE141" s="556"/>
      <c r="BF141" s="556"/>
      <c r="BG141" s="556"/>
      <c r="BH141" s="556"/>
      <c r="BI141" s="556"/>
      <c r="BJ141" s="556"/>
      <c r="BK141" s="556"/>
      <c r="BL141" s="556"/>
      <c r="BM141" s="556"/>
      <c r="BN141" s="556"/>
      <c r="BO141" s="556"/>
      <c r="BP141" s="556"/>
      <c r="BQ141" s="556"/>
      <c r="BR141" s="556"/>
      <c r="BS141" s="556"/>
      <c r="BT141" s="556"/>
      <c r="BU141" s="556"/>
      <c r="BV141" s="557"/>
      <c r="BW141" s="557"/>
      <c r="BX141" s="557"/>
      <c r="BY141" s="557"/>
      <c r="BZ141" s="557"/>
      <c r="CA141" s="557"/>
      <c r="CB141" s="557"/>
      <c r="CC141" s="557"/>
      <c r="CD141" s="557"/>
      <c r="CE141" s="557"/>
      <c r="CF141" s="1606"/>
    </row>
    <row r="142" spans="1:84" ht="15" hidden="1" customHeight="1">
      <c r="A142" s="554"/>
      <c r="B142" s="555"/>
      <c r="C142" s="555"/>
      <c r="D142" s="2499"/>
      <c r="E142" s="2495" t="s">
        <v>649</v>
      </c>
      <c r="F142" s="2496"/>
      <c r="G142" s="2497"/>
      <c r="H142" s="2491" t="str">
        <f>IF(A140="","",INDEX(DIFFERENTIATION_UNMERGE_SYSTEM,MATCH(A140,DIFFERENTIATION_ID_DIFF,0)))</f>
        <v>котельная ст. Игоревская</v>
      </c>
      <c r="I142" s="2491"/>
      <c r="J142" s="2491"/>
      <c r="K142" s="2491"/>
      <c r="L142" s="2491"/>
      <c r="M142" s="2491"/>
      <c r="N142" s="2491"/>
      <c r="O142" s="2491"/>
      <c r="P142" s="2491"/>
      <c r="Q142" s="2491"/>
      <c r="R142" s="2491"/>
      <c r="S142" s="637"/>
      <c r="T142" s="634"/>
      <c r="U142" s="556"/>
      <c r="V142" s="556"/>
      <c r="W142" s="557"/>
      <c r="X142" s="557"/>
      <c r="Y142" s="557"/>
      <c r="Z142" s="557"/>
      <c r="AA142" s="558"/>
      <c r="AB142" s="559"/>
      <c r="AC142" s="2494"/>
      <c r="AD142" s="560"/>
      <c r="AE142" s="561"/>
      <c r="AF142" s="561"/>
      <c r="AG142" s="562"/>
      <c r="AH142" s="563"/>
      <c r="AI142" s="556"/>
      <c r="AJ142" s="556"/>
      <c r="AK142" s="556"/>
      <c r="AL142" s="556"/>
      <c r="AM142" s="556"/>
      <c r="AN142" s="556"/>
      <c r="AO142" s="556"/>
      <c r="AP142" s="556"/>
      <c r="AQ142" s="556"/>
      <c r="AR142" s="556"/>
      <c r="AS142" s="556"/>
      <c r="AT142" s="556"/>
      <c r="AU142" s="556"/>
      <c r="AV142" s="556"/>
      <c r="AW142" s="556"/>
      <c r="AX142" s="556"/>
      <c r="AY142" s="556"/>
      <c r="AZ142" s="556"/>
      <c r="BA142" s="556"/>
      <c r="BB142" s="556"/>
      <c r="BC142" s="556"/>
      <c r="BD142" s="556"/>
      <c r="BE142" s="556"/>
      <c r="BF142" s="556"/>
      <c r="BG142" s="556"/>
      <c r="BH142" s="556"/>
      <c r="BI142" s="556"/>
      <c r="BJ142" s="556"/>
      <c r="BK142" s="556"/>
      <c r="BL142" s="556"/>
      <c r="BM142" s="556"/>
      <c r="BN142" s="556"/>
      <c r="BO142" s="556"/>
      <c r="BP142" s="556"/>
      <c r="BQ142" s="556"/>
      <c r="BR142" s="556"/>
      <c r="BS142" s="556"/>
      <c r="BT142" s="556"/>
      <c r="BU142" s="556"/>
      <c r="BV142" s="557"/>
      <c r="BW142" s="557"/>
      <c r="BX142" s="557"/>
      <c r="BY142" s="557"/>
      <c r="BZ142" s="557"/>
      <c r="CA142" s="557"/>
      <c r="CB142" s="557"/>
      <c r="CC142" s="557"/>
      <c r="CD142" s="557"/>
      <c r="CE142" s="557"/>
      <c r="CF142" s="1606"/>
    </row>
    <row r="143" spans="1:84" ht="24.75" hidden="1" customHeight="1">
      <c r="A143" s="1565"/>
      <c r="B143" s="961"/>
      <c r="C143" s="345"/>
      <c r="D143" s="2499"/>
      <c r="E143" s="2493" t="s">
        <v>705</v>
      </c>
      <c r="F143" s="2493"/>
      <c r="G143" s="2493"/>
      <c r="H143" s="2493"/>
      <c r="I143" s="2493"/>
      <c r="J143" s="2493"/>
      <c r="K143" s="2493"/>
      <c r="L143" s="2493"/>
      <c r="M143" s="2493"/>
      <c r="N143" s="2493"/>
      <c r="O143" s="2493"/>
      <c r="P143" s="2493"/>
      <c r="Q143" s="490">
        <f>SUMIF(T144:T145,"i",Q144:Q145)</f>
        <v>0</v>
      </c>
      <c r="R143" s="869"/>
      <c r="S143" s="1557" t="s">
        <v>706</v>
      </c>
      <c r="T143" s="635" t="s">
        <v>707</v>
      </c>
      <c r="U143" s="2399">
        <v>1</v>
      </c>
      <c r="V143" s="2399" t="str">
        <f>INDEX(B_FHD_FLAG_INDEX_1,1,MATCH(A140,B_FHD_FLAG_DIFFERENTIATION,0))</f>
        <v>отсутствует</v>
      </c>
      <c r="W143" s="961"/>
      <c r="X143" s="961"/>
      <c r="Y143" s="961"/>
      <c r="Z143" s="961"/>
      <c r="AA143" s="1424"/>
      <c r="AB143" s="961"/>
      <c r="AC143" s="2494"/>
      <c r="AD143" s="560"/>
      <c r="AE143" s="961"/>
      <c r="AF143" s="961"/>
      <c r="AG143" s="1424"/>
      <c r="AH143" s="1424"/>
      <c r="AI143" s="1424"/>
      <c r="AJ143" s="1424"/>
      <c r="AK143" s="1424"/>
      <c r="AL143" s="1424"/>
      <c r="AM143" s="1424"/>
      <c r="AN143" s="1424"/>
      <c r="AO143" s="1424"/>
      <c r="AP143" s="1424"/>
      <c r="AQ143" s="1424"/>
      <c r="AR143" s="1424"/>
      <c r="AS143" s="1424"/>
      <c r="AT143" s="1424"/>
      <c r="AU143" s="1424"/>
      <c r="AV143" s="1424"/>
      <c r="AW143" s="1424"/>
      <c r="AX143" s="1424"/>
      <c r="AY143" s="1424"/>
      <c r="AZ143" s="1424"/>
      <c r="BA143" s="1424"/>
      <c r="BB143" s="1424"/>
      <c r="BC143" s="1424"/>
      <c r="BD143" s="1424"/>
      <c r="BE143" s="1424"/>
      <c r="BF143" s="1424"/>
      <c r="BG143" s="1424"/>
      <c r="BH143" s="1424"/>
      <c r="BI143" s="1424"/>
      <c r="BJ143" s="1424"/>
      <c r="BK143" s="1424"/>
      <c r="BL143" s="1424"/>
      <c r="BM143" s="1424"/>
      <c r="BN143" s="1424"/>
      <c r="BO143" s="1424"/>
      <c r="BP143" s="1424"/>
      <c r="BQ143" s="1424"/>
      <c r="BR143" s="1424"/>
      <c r="BS143" s="1424"/>
      <c r="BT143" s="1424"/>
      <c r="BU143" s="1424"/>
      <c r="BV143" s="961"/>
      <c r="BW143" s="961"/>
      <c r="BX143" s="961"/>
      <c r="BY143" s="961"/>
      <c r="BZ143" s="961"/>
      <c r="CA143" s="961"/>
      <c r="CB143" s="961"/>
      <c r="CC143" s="961"/>
      <c r="CD143" s="961"/>
      <c r="CE143" s="961"/>
      <c r="CF143" s="1606"/>
    </row>
    <row r="144" spans="1:84" ht="11.25" hidden="1" customHeight="1">
      <c r="A144" s="1552"/>
      <c r="B144" s="1424"/>
      <c r="C144" s="1424"/>
      <c r="D144" s="2499"/>
      <c r="E144" s="566"/>
      <c r="F144" s="566">
        <v>0</v>
      </c>
      <c r="G144" s="566"/>
      <c r="H144" s="566"/>
      <c r="I144" s="566"/>
      <c r="J144" s="566"/>
      <c r="K144" s="566"/>
      <c r="L144" s="566"/>
      <c r="M144" s="566"/>
      <c r="N144" s="566"/>
      <c r="O144" s="566"/>
      <c r="P144" s="566"/>
      <c r="Q144" s="566"/>
      <c r="R144" s="566"/>
      <c r="S144" s="567"/>
      <c r="T144" s="636"/>
      <c r="U144" s="2399"/>
      <c r="V144" s="2399"/>
      <c r="W144" s="1424"/>
      <c r="X144" s="1424"/>
      <c r="Y144" s="1424"/>
      <c r="Z144" s="1424"/>
      <c r="AA144" s="1424"/>
      <c r="AB144" s="961"/>
      <c r="AC144" s="2494"/>
      <c r="AD144" s="560"/>
      <c r="AE144" s="961"/>
      <c r="AF144" s="961"/>
      <c r="AG144" s="1424"/>
      <c r="AH144" s="1424"/>
      <c r="AI144" s="1424"/>
      <c r="AJ144" s="1424"/>
      <c r="AK144" s="1424"/>
      <c r="AL144" s="1424"/>
      <c r="AM144" s="1424"/>
      <c r="AN144" s="1424"/>
      <c r="AO144" s="1424"/>
      <c r="AP144" s="1424"/>
      <c r="AQ144" s="1424"/>
      <c r="AR144" s="1424"/>
      <c r="AS144" s="1424"/>
      <c r="AT144" s="1424"/>
      <c r="AU144" s="1424"/>
      <c r="AV144" s="1424"/>
      <c r="AW144" s="1424"/>
      <c r="AX144" s="1424"/>
      <c r="AY144" s="1424"/>
      <c r="AZ144" s="1424"/>
      <c r="BA144" s="1424"/>
      <c r="BB144" s="1424"/>
      <c r="BC144" s="1424"/>
      <c r="BD144" s="1424"/>
      <c r="BE144" s="1424"/>
      <c r="BF144" s="1424"/>
      <c r="BG144" s="1424"/>
      <c r="BH144" s="1424"/>
      <c r="BI144" s="1424"/>
      <c r="BJ144" s="1424"/>
      <c r="BK144" s="1424"/>
      <c r="BL144" s="1424"/>
      <c r="BM144" s="1424"/>
      <c r="BN144" s="1424"/>
      <c r="BO144" s="1424"/>
      <c r="BP144" s="1424"/>
      <c r="BQ144" s="1424"/>
      <c r="BR144" s="1424"/>
      <c r="BS144" s="1424"/>
      <c r="BT144" s="1424"/>
      <c r="BU144" s="1424"/>
      <c r="BV144" s="1424"/>
      <c r="BW144" s="1424"/>
      <c r="BX144" s="1424"/>
      <c r="BY144" s="1424"/>
      <c r="BZ144" s="1424"/>
      <c r="CA144" s="1424"/>
      <c r="CB144" s="1424"/>
      <c r="CC144" s="1424"/>
      <c r="CD144" s="1424"/>
      <c r="CE144" s="1424"/>
      <c r="CF144" s="1606"/>
    </row>
    <row r="145" spans="1:84" ht="11.25" hidden="1" customHeight="1">
      <c r="A145" s="1565"/>
      <c r="B145" s="961"/>
      <c r="C145" s="345"/>
      <c r="D145" s="2499"/>
      <c r="E145" s="580" t="s">
        <v>9</v>
      </c>
      <c r="F145" s="969" t="s">
        <v>9</v>
      </c>
      <c r="G145" s="969" t="s">
        <v>710</v>
      </c>
      <c r="H145" s="582" t="s">
        <v>9</v>
      </c>
      <c r="I145" s="582"/>
      <c r="J145" s="582"/>
      <c r="K145" s="582"/>
      <c r="L145" s="582"/>
      <c r="M145" s="582"/>
      <c r="N145" s="582"/>
      <c r="O145" s="582"/>
      <c r="P145" s="582"/>
      <c r="Q145" s="582"/>
      <c r="R145" s="583"/>
      <c r="S145" s="584"/>
      <c r="T145" s="636"/>
      <c r="U145" s="2399"/>
      <c r="V145" s="2399"/>
      <c r="W145" s="961"/>
      <c r="X145" s="961"/>
      <c r="Y145" s="961"/>
      <c r="Z145" s="961"/>
      <c r="AA145" s="1424"/>
      <c r="AB145" s="961"/>
      <c r="AC145" s="2494"/>
      <c r="AD145" s="560"/>
      <c r="AE145" s="961"/>
      <c r="AF145" s="961"/>
      <c r="AG145" s="1424"/>
      <c r="AH145" s="1424"/>
      <c r="AI145" s="1424"/>
      <c r="AJ145" s="1424"/>
      <c r="AK145" s="1424"/>
      <c r="AL145" s="1424"/>
      <c r="AM145" s="1424"/>
      <c r="AN145" s="1424"/>
      <c r="AO145" s="1424"/>
      <c r="AP145" s="1424"/>
      <c r="AQ145" s="1424"/>
      <c r="AR145" s="1424"/>
      <c r="AS145" s="1424"/>
      <c r="AT145" s="1424"/>
      <c r="AU145" s="1424"/>
      <c r="AV145" s="1424"/>
      <c r="AW145" s="1424"/>
      <c r="AX145" s="1424"/>
      <c r="AY145" s="1424"/>
      <c r="AZ145" s="1424"/>
      <c r="BA145" s="1424"/>
      <c r="BB145" s="1424"/>
      <c r="BC145" s="1424"/>
      <c r="BD145" s="1424"/>
      <c r="BE145" s="1424"/>
      <c r="BF145" s="1424"/>
      <c r="BG145" s="1424"/>
      <c r="BH145" s="1424"/>
      <c r="BI145" s="1424"/>
      <c r="BJ145" s="1424"/>
      <c r="BK145" s="1424"/>
      <c r="BL145" s="1424"/>
      <c r="BM145" s="1424"/>
      <c r="BN145" s="1424"/>
      <c r="BO145" s="1424"/>
      <c r="BP145" s="1424"/>
      <c r="BQ145" s="1424"/>
      <c r="BR145" s="1424"/>
      <c r="BS145" s="1424"/>
      <c r="BT145" s="1424"/>
      <c r="BU145" s="1424"/>
      <c r="BV145" s="961"/>
      <c r="BW145" s="961"/>
      <c r="BX145" s="961"/>
      <c r="BY145" s="961"/>
      <c r="BZ145" s="961"/>
      <c r="CA145" s="961"/>
      <c r="CB145" s="961"/>
      <c r="CC145" s="961"/>
      <c r="CD145" s="961"/>
      <c r="CE145" s="961"/>
      <c r="CF145" s="1606"/>
    </row>
    <row r="146" spans="1:84" ht="5.25" hidden="1" customHeight="1">
      <c r="A146" s="1552"/>
      <c r="B146" s="1424"/>
      <c r="C146" s="1424"/>
      <c r="D146" s="2499"/>
      <c r="E146" s="878"/>
      <c r="F146" s="878"/>
      <c r="G146" s="878"/>
      <c r="H146" s="878"/>
      <c r="I146" s="878"/>
      <c r="J146" s="878"/>
      <c r="K146" s="878"/>
      <c r="L146" s="878"/>
      <c r="M146" s="878"/>
      <c r="N146" s="878"/>
      <c r="O146" s="878"/>
      <c r="P146" s="878"/>
      <c r="Q146" s="879"/>
      <c r="R146" s="880"/>
      <c r="S146" s="881"/>
      <c r="T146" s="635" t="s">
        <v>707</v>
      </c>
      <c r="U146" s="2399">
        <v>1</v>
      </c>
      <c r="V146" s="2399" t="s">
        <v>664</v>
      </c>
      <c r="W146" s="1424"/>
      <c r="X146" s="1424"/>
      <c r="Y146" s="1424"/>
      <c r="Z146" s="1424"/>
      <c r="AA146" s="1424"/>
      <c r="AB146" s="1424"/>
      <c r="AC146" s="876"/>
      <c r="AD146" s="877"/>
      <c r="AE146" s="1424"/>
      <c r="AF146" s="1424"/>
      <c r="AG146" s="1424"/>
      <c r="AH146" s="1424"/>
      <c r="AI146" s="1424"/>
      <c r="AJ146" s="1424"/>
      <c r="AK146" s="1424"/>
      <c r="AL146" s="1424"/>
      <c r="AM146" s="1424"/>
      <c r="AN146" s="1424"/>
      <c r="AO146" s="1424"/>
      <c r="AP146" s="1424"/>
      <c r="AQ146" s="1424"/>
      <c r="AR146" s="1424"/>
      <c r="AS146" s="1424"/>
      <c r="AT146" s="1424"/>
      <c r="AU146" s="1424"/>
      <c r="AV146" s="1424"/>
      <c r="AW146" s="1424"/>
      <c r="AX146" s="1424"/>
      <c r="AY146" s="1424"/>
      <c r="AZ146" s="1424"/>
      <c r="BA146" s="1424"/>
      <c r="BB146" s="1424"/>
      <c r="BC146" s="1424"/>
      <c r="BD146" s="1424"/>
      <c r="BE146" s="1424"/>
      <c r="BF146" s="1424"/>
      <c r="BG146" s="1424"/>
      <c r="BH146" s="1424"/>
      <c r="BI146" s="1424"/>
      <c r="BJ146" s="1424"/>
      <c r="BK146" s="1424"/>
      <c r="BL146" s="1424"/>
      <c r="BM146" s="1424"/>
      <c r="BN146" s="1424"/>
      <c r="BO146" s="1424"/>
      <c r="BP146" s="1424"/>
      <c r="BQ146" s="1424"/>
      <c r="BR146" s="1424"/>
      <c r="BS146" s="1424"/>
      <c r="BT146" s="1424"/>
      <c r="BU146" s="1424"/>
      <c r="BV146" s="1424"/>
      <c r="BW146" s="1424"/>
      <c r="BX146" s="1424"/>
      <c r="BY146" s="1424"/>
      <c r="BZ146" s="1424"/>
      <c r="CA146" s="1424"/>
      <c r="CB146" s="1424"/>
      <c r="CC146" s="1424"/>
      <c r="CD146" s="1424"/>
      <c r="CE146" s="1424"/>
      <c r="CF146" s="1104"/>
    </row>
    <row r="147" spans="1:84" ht="5.25" hidden="1" customHeight="1">
      <c r="A147" s="1552"/>
      <c r="B147" s="1424"/>
      <c r="C147" s="1424"/>
      <c r="D147" s="2499"/>
      <c r="E147" s="566"/>
      <c r="F147" s="566"/>
      <c r="G147" s="566"/>
      <c r="H147" s="566"/>
      <c r="I147" s="566"/>
      <c r="J147" s="566"/>
      <c r="K147" s="566"/>
      <c r="L147" s="566"/>
      <c r="M147" s="566"/>
      <c r="N147" s="566"/>
      <c r="O147" s="566"/>
      <c r="P147" s="566"/>
      <c r="Q147" s="566"/>
      <c r="R147" s="566"/>
      <c r="S147" s="567"/>
      <c r="T147" s="636"/>
      <c r="U147" s="2399"/>
      <c r="V147" s="2399"/>
      <c r="W147" s="1424"/>
      <c r="X147" s="1424"/>
      <c r="Y147" s="1424"/>
      <c r="Z147" s="1424"/>
      <c r="AA147" s="1424"/>
      <c r="AB147" s="1424"/>
      <c r="AC147" s="876"/>
      <c r="AD147" s="877"/>
      <c r="AE147" s="1424"/>
      <c r="AF147" s="1424"/>
      <c r="AG147" s="1424"/>
      <c r="AH147" s="1424"/>
      <c r="AI147" s="1424"/>
      <c r="AJ147" s="1424"/>
      <c r="AK147" s="1424"/>
      <c r="AL147" s="1424"/>
      <c r="AM147" s="1424"/>
      <c r="AN147" s="1424"/>
      <c r="AO147" s="1424"/>
      <c r="AP147" s="1424"/>
      <c r="AQ147" s="1424"/>
      <c r="AR147" s="1424"/>
      <c r="AS147" s="1424"/>
      <c r="AT147" s="1424"/>
      <c r="AU147" s="1424"/>
      <c r="AV147" s="1424"/>
      <c r="AW147" s="1424"/>
      <c r="AX147" s="1424"/>
      <c r="AY147" s="1424"/>
      <c r="AZ147" s="1424"/>
      <c r="BA147" s="1424"/>
      <c r="BB147" s="1424"/>
      <c r="BC147" s="1424"/>
      <c r="BD147" s="1424"/>
      <c r="BE147" s="1424"/>
      <c r="BF147" s="1424"/>
      <c r="BG147" s="1424"/>
      <c r="BH147" s="1424"/>
      <c r="BI147" s="1424"/>
      <c r="BJ147" s="1424"/>
      <c r="BK147" s="1424"/>
      <c r="BL147" s="1424"/>
      <c r="BM147" s="1424"/>
      <c r="BN147" s="1424"/>
      <c r="BO147" s="1424"/>
      <c r="BP147" s="1424"/>
      <c r="BQ147" s="1424"/>
      <c r="BR147" s="1424"/>
      <c r="BS147" s="1424"/>
      <c r="BT147" s="1424"/>
      <c r="BU147" s="1424"/>
      <c r="BV147" s="1424"/>
      <c r="BW147" s="1424"/>
      <c r="BX147" s="1424"/>
      <c r="BY147" s="1424"/>
      <c r="BZ147" s="1424"/>
      <c r="CA147" s="1424"/>
      <c r="CB147" s="1424"/>
      <c r="CC147" s="1424"/>
      <c r="CD147" s="1424"/>
      <c r="CE147" s="1424"/>
      <c r="CF147" s="1104"/>
    </row>
    <row r="148" spans="1:84" ht="5.25" hidden="1" customHeight="1">
      <c r="A148" s="1552"/>
      <c r="B148" s="1424"/>
      <c r="C148" s="1424"/>
      <c r="D148" s="2500"/>
      <c r="E148" s="882"/>
      <c r="F148" s="883"/>
      <c r="G148" s="883"/>
      <c r="H148" s="884"/>
      <c r="I148" s="884"/>
      <c r="J148" s="884"/>
      <c r="K148" s="884"/>
      <c r="L148" s="884"/>
      <c r="M148" s="884"/>
      <c r="N148" s="884"/>
      <c r="O148" s="884"/>
      <c r="P148" s="884"/>
      <c r="Q148" s="884"/>
      <c r="R148" s="806"/>
      <c r="S148" s="885"/>
      <c r="T148" s="636"/>
      <c r="U148" s="2399"/>
      <c r="V148" s="2399"/>
      <c r="W148" s="1424"/>
      <c r="X148" s="1424"/>
      <c r="Y148" s="1424"/>
      <c r="Z148" s="1424"/>
      <c r="AA148" s="1424"/>
      <c r="AB148" s="1424"/>
      <c r="AC148" s="876"/>
      <c r="AD148" s="877"/>
      <c r="AE148" s="1424"/>
      <c r="AF148" s="1424"/>
      <c r="AG148" s="1424"/>
      <c r="AH148" s="1424"/>
      <c r="AI148" s="1424"/>
      <c r="AJ148" s="1424"/>
      <c r="AK148" s="1424"/>
      <c r="AL148" s="1424"/>
      <c r="AM148" s="1424"/>
      <c r="AN148" s="1424"/>
      <c r="AO148" s="1424"/>
      <c r="AP148" s="1424"/>
      <c r="AQ148" s="1424"/>
      <c r="AR148" s="1424"/>
      <c r="AS148" s="1424"/>
      <c r="AT148" s="1424"/>
      <c r="AU148" s="1424"/>
      <c r="AV148" s="1424"/>
      <c r="AW148" s="1424"/>
      <c r="AX148" s="1424"/>
      <c r="AY148" s="1424"/>
      <c r="AZ148" s="1424"/>
      <c r="BA148" s="1424"/>
      <c r="BB148" s="1424"/>
      <c r="BC148" s="1424"/>
      <c r="BD148" s="1424"/>
      <c r="BE148" s="1424"/>
      <c r="BF148" s="1424"/>
      <c r="BG148" s="1424"/>
      <c r="BH148" s="1424"/>
      <c r="BI148" s="1424"/>
      <c r="BJ148" s="1424"/>
      <c r="BK148" s="1424"/>
      <c r="BL148" s="1424"/>
      <c r="BM148" s="1424"/>
      <c r="BN148" s="1424"/>
      <c r="BO148" s="1424"/>
      <c r="BP148" s="1424"/>
      <c r="BQ148" s="1424"/>
      <c r="BR148" s="1424"/>
      <c r="BS148" s="1424"/>
      <c r="BT148" s="1424"/>
      <c r="BU148" s="1424"/>
      <c r="BV148" s="1424"/>
      <c r="BW148" s="1424"/>
      <c r="BX148" s="1424"/>
      <c r="BY148" s="1424"/>
      <c r="BZ148" s="1424"/>
      <c r="CA148" s="1424"/>
      <c r="CB148" s="1424"/>
      <c r="CC148" s="1424"/>
      <c r="CD148" s="1424"/>
      <c r="CE148" s="1424"/>
      <c r="CF148" s="1104"/>
    </row>
    <row r="149" spans="1:84" ht="15" hidden="1" customHeight="1">
      <c r="A149" s="554" t="s">
        <v>200</v>
      </c>
      <c r="B149" s="555"/>
      <c r="C149" s="555" t="s">
        <v>9</v>
      </c>
      <c r="D149" s="2498" t="s">
        <v>724</v>
      </c>
      <c r="E149" s="2495" t="s">
        <v>157</v>
      </c>
      <c r="F149" s="2496"/>
      <c r="G149" s="2497"/>
      <c r="H149" s="2491" t="str">
        <f>IF(A149="","",INDEX(DIFFERENTIATION_UNMERGE_VD,MATCH(A149,DIFFERENTIATION_ID_DIFF,0)))</f>
        <v>Производство тепловой энергии. Некомбинированная выработка; Передача. Тепловая энергия; Сбыт. Тепловая энергия</v>
      </c>
      <c r="I149" s="2491"/>
      <c r="J149" s="2491"/>
      <c r="K149" s="2491"/>
      <c r="L149" s="2491"/>
      <c r="M149" s="2491"/>
      <c r="N149" s="2491"/>
      <c r="O149" s="2491"/>
      <c r="P149" s="2491"/>
      <c r="Q149" s="2491"/>
      <c r="R149" s="2491"/>
      <c r="S149" s="637"/>
      <c r="T149" s="634"/>
      <c r="U149" s="556"/>
      <c r="V149" s="556"/>
      <c r="W149" s="557"/>
      <c r="X149" s="557"/>
      <c r="Y149" s="557"/>
      <c r="Z149" s="557"/>
      <c r="AA149" s="558"/>
      <c r="AB149" s="559"/>
      <c r="AC149" s="2494"/>
      <c r="AD149" s="560"/>
      <c r="AE149" s="561" t="s">
        <v>9</v>
      </c>
      <c r="AF149" s="561"/>
      <c r="AG149" s="562" t="s">
        <v>704</v>
      </c>
      <c r="AH149" s="563">
        <v>3</v>
      </c>
      <c r="AI149" s="556"/>
      <c r="AJ149" s="556"/>
      <c r="AK149" s="556"/>
      <c r="AL149" s="556"/>
      <c r="AM149" s="556"/>
      <c r="AN149" s="556"/>
      <c r="AO149" s="556"/>
      <c r="AP149" s="556"/>
      <c r="AQ149" s="556"/>
      <c r="AR149" s="556"/>
      <c r="AS149" s="556"/>
      <c r="AT149" s="556"/>
      <c r="AU149" s="556"/>
      <c r="AV149" s="556"/>
      <c r="AW149" s="556"/>
      <c r="AX149" s="556"/>
      <c r="AY149" s="556"/>
      <c r="AZ149" s="556"/>
      <c r="BA149" s="556"/>
      <c r="BB149" s="556"/>
      <c r="BC149" s="556"/>
      <c r="BD149" s="556"/>
      <c r="BE149" s="556"/>
      <c r="BF149" s="556"/>
      <c r="BG149" s="556"/>
      <c r="BH149" s="556"/>
      <c r="BI149" s="556"/>
      <c r="BJ149" s="556"/>
      <c r="BK149" s="556"/>
      <c r="BL149" s="556"/>
      <c r="BM149" s="556"/>
      <c r="BN149" s="556"/>
      <c r="BO149" s="556"/>
      <c r="BP149" s="556"/>
      <c r="BQ149" s="556"/>
      <c r="BR149" s="556"/>
      <c r="BS149" s="556"/>
      <c r="BT149" s="556"/>
      <c r="BU149" s="556"/>
      <c r="BV149" s="557"/>
      <c r="BW149" s="557"/>
      <c r="BX149" s="557"/>
      <c r="BY149" s="557"/>
      <c r="BZ149" s="557"/>
      <c r="CA149" s="557"/>
      <c r="CB149" s="557"/>
      <c r="CC149" s="557"/>
      <c r="CD149" s="557"/>
      <c r="CE149" s="557"/>
      <c r="CF149" s="1606"/>
    </row>
    <row r="150" spans="1:84" ht="15" hidden="1" customHeight="1">
      <c r="A150" s="554"/>
      <c r="B150" s="555"/>
      <c r="C150" s="555"/>
      <c r="D150" s="2499"/>
      <c r="E150" s="2495" t="s">
        <v>648</v>
      </c>
      <c r="F150" s="2496"/>
      <c r="G150" s="2497"/>
      <c r="H150" s="2491" t="str">
        <f>IF(A149="","",INDEX(DIFFERENTIATION_UNMERGE_AREA,MATCH(A149,DIFFERENTIATION_ID_DIFF,0)))</f>
        <v>Территория 11</v>
      </c>
      <c r="I150" s="2491"/>
      <c r="J150" s="2491"/>
      <c r="K150" s="2491"/>
      <c r="L150" s="2491"/>
      <c r="M150" s="2491"/>
      <c r="N150" s="2491"/>
      <c r="O150" s="2491"/>
      <c r="P150" s="2491"/>
      <c r="Q150" s="2491"/>
      <c r="R150" s="2491"/>
      <c r="S150" s="637"/>
      <c r="T150" s="634"/>
      <c r="U150" s="556"/>
      <c r="V150" s="556"/>
      <c r="W150" s="557"/>
      <c r="X150" s="557"/>
      <c r="Y150" s="557"/>
      <c r="Z150" s="557"/>
      <c r="AA150" s="558"/>
      <c r="AB150" s="559"/>
      <c r="AC150" s="2494"/>
      <c r="AD150" s="560"/>
      <c r="AE150" s="561"/>
      <c r="AF150" s="561"/>
      <c r="AG150" s="562"/>
      <c r="AH150" s="563"/>
      <c r="AI150" s="556"/>
      <c r="AJ150" s="556"/>
      <c r="AK150" s="556"/>
      <c r="AL150" s="556"/>
      <c r="AM150" s="556"/>
      <c r="AN150" s="556"/>
      <c r="AO150" s="556"/>
      <c r="AP150" s="556"/>
      <c r="AQ150" s="556"/>
      <c r="AR150" s="556"/>
      <c r="AS150" s="556"/>
      <c r="AT150" s="556"/>
      <c r="AU150" s="556"/>
      <c r="AV150" s="556"/>
      <c r="AW150" s="556"/>
      <c r="AX150" s="556"/>
      <c r="AY150" s="556"/>
      <c r="AZ150" s="556"/>
      <c r="BA150" s="556"/>
      <c r="BB150" s="556"/>
      <c r="BC150" s="556"/>
      <c r="BD150" s="556"/>
      <c r="BE150" s="556"/>
      <c r="BF150" s="556"/>
      <c r="BG150" s="556"/>
      <c r="BH150" s="556"/>
      <c r="BI150" s="556"/>
      <c r="BJ150" s="556"/>
      <c r="BK150" s="556"/>
      <c r="BL150" s="556"/>
      <c r="BM150" s="556"/>
      <c r="BN150" s="556"/>
      <c r="BO150" s="556"/>
      <c r="BP150" s="556"/>
      <c r="BQ150" s="556"/>
      <c r="BR150" s="556"/>
      <c r="BS150" s="556"/>
      <c r="BT150" s="556"/>
      <c r="BU150" s="556"/>
      <c r="BV150" s="557"/>
      <c r="BW150" s="557"/>
      <c r="BX150" s="557"/>
      <c r="BY150" s="557"/>
      <c r="BZ150" s="557"/>
      <c r="CA150" s="557"/>
      <c r="CB150" s="557"/>
      <c r="CC150" s="557"/>
      <c r="CD150" s="557"/>
      <c r="CE150" s="557"/>
      <c r="CF150" s="1606"/>
    </row>
    <row r="151" spans="1:84" ht="15" hidden="1" customHeight="1">
      <c r="A151" s="554"/>
      <c r="B151" s="555"/>
      <c r="C151" s="555"/>
      <c r="D151" s="2499"/>
      <c r="E151" s="2495" t="s">
        <v>649</v>
      </c>
      <c r="F151" s="2496"/>
      <c r="G151" s="2497"/>
      <c r="H151" s="2491" t="str">
        <f>IF(A149="","",INDEX(DIFFERENTIATION_UNMERGE_SYSTEM,MATCH(A149,DIFFERENTIATION_ID_DIFF,0)))</f>
        <v>Ярцевский филиал</v>
      </c>
      <c r="I151" s="2491"/>
      <c r="J151" s="2491"/>
      <c r="K151" s="2491"/>
      <c r="L151" s="2491"/>
      <c r="M151" s="2491"/>
      <c r="N151" s="2491"/>
      <c r="O151" s="2491"/>
      <c r="P151" s="2491"/>
      <c r="Q151" s="2491"/>
      <c r="R151" s="2491"/>
      <c r="S151" s="637"/>
      <c r="T151" s="634"/>
      <c r="U151" s="556"/>
      <c r="V151" s="556"/>
      <c r="W151" s="557"/>
      <c r="X151" s="557"/>
      <c r="Y151" s="557"/>
      <c r="Z151" s="557"/>
      <c r="AA151" s="558"/>
      <c r="AB151" s="559"/>
      <c r="AC151" s="2494"/>
      <c r="AD151" s="560"/>
      <c r="AE151" s="561"/>
      <c r="AF151" s="561"/>
      <c r="AG151" s="562"/>
      <c r="AH151" s="563"/>
      <c r="AI151" s="556"/>
      <c r="AJ151" s="556"/>
      <c r="AK151" s="556"/>
      <c r="AL151" s="556"/>
      <c r="AM151" s="556"/>
      <c r="AN151" s="556"/>
      <c r="AO151" s="556"/>
      <c r="AP151" s="556"/>
      <c r="AQ151" s="556"/>
      <c r="AR151" s="556"/>
      <c r="AS151" s="556"/>
      <c r="AT151" s="556"/>
      <c r="AU151" s="556"/>
      <c r="AV151" s="556"/>
      <c r="AW151" s="556"/>
      <c r="AX151" s="556"/>
      <c r="AY151" s="556"/>
      <c r="AZ151" s="556"/>
      <c r="BA151" s="556"/>
      <c r="BB151" s="556"/>
      <c r="BC151" s="556"/>
      <c r="BD151" s="556"/>
      <c r="BE151" s="556"/>
      <c r="BF151" s="556"/>
      <c r="BG151" s="556"/>
      <c r="BH151" s="556"/>
      <c r="BI151" s="556"/>
      <c r="BJ151" s="556"/>
      <c r="BK151" s="556"/>
      <c r="BL151" s="556"/>
      <c r="BM151" s="556"/>
      <c r="BN151" s="556"/>
      <c r="BO151" s="556"/>
      <c r="BP151" s="556"/>
      <c r="BQ151" s="556"/>
      <c r="BR151" s="556"/>
      <c r="BS151" s="556"/>
      <c r="BT151" s="556"/>
      <c r="BU151" s="556"/>
      <c r="BV151" s="557"/>
      <c r="BW151" s="557"/>
      <c r="BX151" s="557"/>
      <c r="BY151" s="557"/>
      <c r="BZ151" s="557"/>
      <c r="CA151" s="557"/>
      <c r="CB151" s="557"/>
      <c r="CC151" s="557"/>
      <c r="CD151" s="557"/>
      <c r="CE151" s="557"/>
      <c r="CF151" s="1606"/>
    </row>
    <row r="152" spans="1:84" ht="24.75" hidden="1" customHeight="1">
      <c r="A152" s="1565"/>
      <c r="B152" s="961"/>
      <c r="C152" s="345"/>
      <c r="D152" s="2499"/>
      <c r="E152" s="2493" t="s">
        <v>705</v>
      </c>
      <c r="F152" s="2493"/>
      <c r="G152" s="2493"/>
      <c r="H152" s="2493"/>
      <c r="I152" s="2493"/>
      <c r="J152" s="2493"/>
      <c r="K152" s="2493"/>
      <c r="L152" s="2493"/>
      <c r="M152" s="2493"/>
      <c r="N152" s="2493"/>
      <c r="O152" s="2493"/>
      <c r="P152" s="2493"/>
      <c r="Q152" s="490">
        <f>SUMIF(T153:T154,"i",Q153:Q154)</f>
        <v>0</v>
      </c>
      <c r="R152" s="869"/>
      <c r="S152" s="1557" t="s">
        <v>706</v>
      </c>
      <c r="T152" s="635" t="s">
        <v>707</v>
      </c>
      <c r="U152" s="2399">
        <v>1</v>
      </c>
      <c r="V152" s="2399" t="str">
        <f>INDEX(B_FHD_FLAG_INDEX_1,1,MATCH(A149,B_FHD_FLAG_DIFFERENTIATION,0))</f>
        <v>отсутствует</v>
      </c>
      <c r="W152" s="961"/>
      <c r="X152" s="961"/>
      <c r="Y152" s="961"/>
      <c r="Z152" s="961"/>
      <c r="AA152" s="1424"/>
      <c r="AB152" s="961"/>
      <c r="AC152" s="2494"/>
      <c r="AD152" s="560"/>
      <c r="AE152" s="961"/>
      <c r="AF152" s="961"/>
      <c r="AG152" s="1424"/>
      <c r="AH152" s="1424"/>
      <c r="AI152" s="1424"/>
      <c r="AJ152" s="1424"/>
      <c r="AK152" s="1424"/>
      <c r="AL152" s="1424"/>
      <c r="AM152" s="1424"/>
      <c r="AN152" s="1424"/>
      <c r="AO152" s="1424"/>
      <c r="AP152" s="1424"/>
      <c r="AQ152" s="1424"/>
      <c r="AR152" s="1424"/>
      <c r="AS152" s="1424"/>
      <c r="AT152" s="1424"/>
      <c r="AU152" s="1424"/>
      <c r="AV152" s="1424"/>
      <c r="AW152" s="1424"/>
      <c r="AX152" s="1424"/>
      <c r="AY152" s="1424"/>
      <c r="AZ152" s="1424"/>
      <c r="BA152" s="1424"/>
      <c r="BB152" s="1424"/>
      <c r="BC152" s="1424"/>
      <c r="BD152" s="1424"/>
      <c r="BE152" s="1424"/>
      <c r="BF152" s="1424"/>
      <c r="BG152" s="1424"/>
      <c r="BH152" s="1424"/>
      <c r="BI152" s="1424"/>
      <c r="BJ152" s="1424"/>
      <c r="BK152" s="1424"/>
      <c r="BL152" s="1424"/>
      <c r="BM152" s="1424"/>
      <c r="BN152" s="1424"/>
      <c r="BO152" s="1424"/>
      <c r="BP152" s="1424"/>
      <c r="BQ152" s="1424"/>
      <c r="BR152" s="1424"/>
      <c r="BS152" s="1424"/>
      <c r="BT152" s="1424"/>
      <c r="BU152" s="1424"/>
      <c r="BV152" s="961"/>
      <c r="BW152" s="961"/>
      <c r="BX152" s="961"/>
      <c r="BY152" s="961"/>
      <c r="BZ152" s="961"/>
      <c r="CA152" s="961"/>
      <c r="CB152" s="961"/>
      <c r="CC152" s="961"/>
      <c r="CD152" s="961"/>
      <c r="CE152" s="961"/>
      <c r="CF152" s="1606"/>
    </row>
    <row r="153" spans="1:84" ht="11.25" hidden="1" customHeight="1">
      <c r="A153" s="1552"/>
      <c r="B153" s="1424"/>
      <c r="C153" s="1424"/>
      <c r="D153" s="2499"/>
      <c r="E153" s="566"/>
      <c r="F153" s="566">
        <v>0</v>
      </c>
      <c r="G153" s="566"/>
      <c r="H153" s="566"/>
      <c r="I153" s="566"/>
      <c r="J153" s="566"/>
      <c r="K153" s="566"/>
      <c r="L153" s="566"/>
      <c r="M153" s="566"/>
      <c r="N153" s="566"/>
      <c r="O153" s="566"/>
      <c r="P153" s="566"/>
      <c r="Q153" s="566"/>
      <c r="R153" s="566"/>
      <c r="S153" s="567"/>
      <c r="T153" s="636"/>
      <c r="U153" s="2399"/>
      <c r="V153" s="2399"/>
      <c r="W153" s="1424"/>
      <c r="X153" s="1424"/>
      <c r="Y153" s="1424"/>
      <c r="Z153" s="1424"/>
      <c r="AA153" s="1424"/>
      <c r="AB153" s="961"/>
      <c r="AC153" s="2494"/>
      <c r="AD153" s="560"/>
      <c r="AE153" s="961"/>
      <c r="AF153" s="961"/>
      <c r="AG153" s="1424"/>
      <c r="AH153" s="1424"/>
      <c r="AI153" s="1424"/>
      <c r="AJ153" s="1424"/>
      <c r="AK153" s="1424"/>
      <c r="AL153" s="1424"/>
      <c r="AM153" s="1424"/>
      <c r="AN153" s="1424"/>
      <c r="AO153" s="1424"/>
      <c r="AP153" s="1424"/>
      <c r="AQ153" s="1424"/>
      <c r="AR153" s="1424"/>
      <c r="AS153" s="1424"/>
      <c r="AT153" s="1424"/>
      <c r="AU153" s="1424"/>
      <c r="AV153" s="1424"/>
      <c r="AW153" s="1424"/>
      <c r="AX153" s="1424"/>
      <c r="AY153" s="1424"/>
      <c r="AZ153" s="1424"/>
      <c r="BA153" s="1424"/>
      <c r="BB153" s="1424"/>
      <c r="BC153" s="1424"/>
      <c r="BD153" s="1424"/>
      <c r="BE153" s="1424"/>
      <c r="BF153" s="1424"/>
      <c r="BG153" s="1424"/>
      <c r="BH153" s="1424"/>
      <c r="BI153" s="1424"/>
      <c r="BJ153" s="1424"/>
      <c r="BK153" s="1424"/>
      <c r="BL153" s="1424"/>
      <c r="BM153" s="1424"/>
      <c r="BN153" s="1424"/>
      <c r="BO153" s="1424"/>
      <c r="BP153" s="1424"/>
      <c r="BQ153" s="1424"/>
      <c r="BR153" s="1424"/>
      <c r="BS153" s="1424"/>
      <c r="BT153" s="1424"/>
      <c r="BU153" s="1424"/>
      <c r="BV153" s="1424"/>
      <c r="BW153" s="1424"/>
      <c r="BX153" s="1424"/>
      <c r="BY153" s="1424"/>
      <c r="BZ153" s="1424"/>
      <c r="CA153" s="1424"/>
      <c r="CB153" s="1424"/>
      <c r="CC153" s="1424"/>
      <c r="CD153" s="1424"/>
      <c r="CE153" s="1424"/>
      <c r="CF153" s="1606"/>
    </row>
    <row r="154" spans="1:84" ht="11.25" hidden="1" customHeight="1">
      <c r="A154" s="1565"/>
      <c r="B154" s="961"/>
      <c r="C154" s="345"/>
      <c r="D154" s="2499"/>
      <c r="E154" s="580" t="s">
        <v>9</v>
      </c>
      <c r="F154" s="969" t="s">
        <v>9</v>
      </c>
      <c r="G154" s="969" t="s">
        <v>710</v>
      </c>
      <c r="H154" s="582" t="s">
        <v>9</v>
      </c>
      <c r="I154" s="582"/>
      <c r="J154" s="582"/>
      <c r="K154" s="582"/>
      <c r="L154" s="582"/>
      <c r="M154" s="582"/>
      <c r="N154" s="582"/>
      <c r="O154" s="582"/>
      <c r="P154" s="582"/>
      <c r="Q154" s="582"/>
      <c r="R154" s="583"/>
      <c r="S154" s="584"/>
      <c r="T154" s="636"/>
      <c r="U154" s="2399"/>
      <c r="V154" s="2399"/>
      <c r="W154" s="961"/>
      <c r="X154" s="961"/>
      <c r="Y154" s="961"/>
      <c r="Z154" s="961"/>
      <c r="AA154" s="1424"/>
      <c r="AB154" s="961"/>
      <c r="AC154" s="2494"/>
      <c r="AD154" s="560"/>
      <c r="AE154" s="961"/>
      <c r="AF154" s="961"/>
      <c r="AG154" s="1424"/>
      <c r="AH154" s="1424"/>
      <c r="AI154" s="1424"/>
      <c r="AJ154" s="1424"/>
      <c r="AK154" s="1424"/>
      <c r="AL154" s="1424"/>
      <c r="AM154" s="1424"/>
      <c r="AN154" s="1424"/>
      <c r="AO154" s="1424"/>
      <c r="AP154" s="1424"/>
      <c r="AQ154" s="1424"/>
      <c r="AR154" s="1424"/>
      <c r="AS154" s="1424"/>
      <c r="AT154" s="1424"/>
      <c r="AU154" s="1424"/>
      <c r="AV154" s="1424"/>
      <c r="AW154" s="1424"/>
      <c r="AX154" s="1424"/>
      <c r="AY154" s="1424"/>
      <c r="AZ154" s="1424"/>
      <c r="BA154" s="1424"/>
      <c r="BB154" s="1424"/>
      <c r="BC154" s="1424"/>
      <c r="BD154" s="1424"/>
      <c r="BE154" s="1424"/>
      <c r="BF154" s="1424"/>
      <c r="BG154" s="1424"/>
      <c r="BH154" s="1424"/>
      <c r="BI154" s="1424"/>
      <c r="BJ154" s="1424"/>
      <c r="BK154" s="1424"/>
      <c r="BL154" s="1424"/>
      <c r="BM154" s="1424"/>
      <c r="BN154" s="1424"/>
      <c r="BO154" s="1424"/>
      <c r="BP154" s="1424"/>
      <c r="BQ154" s="1424"/>
      <c r="BR154" s="1424"/>
      <c r="BS154" s="1424"/>
      <c r="BT154" s="1424"/>
      <c r="BU154" s="1424"/>
      <c r="BV154" s="961"/>
      <c r="BW154" s="961"/>
      <c r="BX154" s="961"/>
      <c r="BY154" s="961"/>
      <c r="BZ154" s="961"/>
      <c r="CA154" s="961"/>
      <c r="CB154" s="961"/>
      <c r="CC154" s="961"/>
      <c r="CD154" s="961"/>
      <c r="CE154" s="961"/>
      <c r="CF154" s="1606"/>
    </row>
    <row r="155" spans="1:84" ht="5.25" hidden="1" customHeight="1">
      <c r="A155" s="1552"/>
      <c r="B155" s="1424"/>
      <c r="C155" s="1424"/>
      <c r="D155" s="2499"/>
      <c r="E155" s="878"/>
      <c r="F155" s="878"/>
      <c r="G155" s="878"/>
      <c r="H155" s="878"/>
      <c r="I155" s="878"/>
      <c r="J155" s="878"/>
      <c r="K155" s="878"/>
      <c r="L155" s="878"/>
      <c r="M155" s="878"/>
      <c r="N155" s="878"/>
      <c r="O155" s="878"/>
      <c r="P155" s="878"/>
      <c r="Q155" s="879"/>
      <c r="R155" s="880"/>
      <c r="S155" s="881"/>
      <c r="T155" s="635" t="s">
        <v>707</v>
      </c>
      <c r="U155" s="2399">
        <v>1</v>
      </c>
      <c r="V155" s="2399" t="s">
        <v>664</v>
      </c>
      <c r="W155" s="1424"/>
      <c r="X155" s="1424"/>
      <c r="Y155" s="1424"/>
      <c r="Z155" s="1424"/>
      <c r="AA155" s="1424"/>
      <c r="AB155" s="1424"/>
      <c r="AC155" s="876"/>
      <c r="AD155" s="877"/>
      <c r="AE155" s="1424"/>
      <c r="AF155" s="1424"/>
      <c r="AG155" s="1424"/>
      <c r="AH155" s="1424"/>
      <c r="AI155" s="1424"/>
      <c r="AJ155" s="1424"/>
      <c r="AK155" s="1424"/>
      <c r="AL155" s="1424"/>
      <c r="AM155" s="1424"/>
      <c r="AN155" s="1424"/>
      <c r="AO155" s="1424"/>
      <c r="AP155" s="1424"/>
      <c r="AQ155" s="1424"/>
      <c r="AR155" s="1424"/>
      <c r="AS155" s="1424"/>
      <c r="AT155" s="1424"/>
      <c r="AU155" s="1424"/>
      <c r="AV155" s="1424"/>
      <c r="AW155" s="1424"/>
      <c r="AX155" s="1424"/>
      <c r="AY155" s="1424"/>
      <c r="AZ155" s="1424"/>
      <c r="BA155" s="1424"/>
      <c r="BB155" s="1424"/>
      <c r="BC155" s="1424"/>
      <c r="BD155" s="1424"/>
      <c r="BE155" s="1424"/>
      <c r="BF155" s="1424"/>
      <c r="BG155" s="1424"/>
      <c r="BH155" s="1424"/>
      <c r="BI155" s="1424"/>
      <c r="BJ155" s="1424"/>
      <c r="BK155" s="1424"/>
      <c r="BL155" s="1424"/>
      <c r="BM155" s="1424"/>
      <c r="BN155" s="1424"/>
      <c r="BO155" s="1424"/>
      <c r="BP155" s="1424"/>
      <c r="BQ155" s="1424"/>
      <c r="BR155" s="1424"/>
      <c r="BS155" s="1424"/>
      <c r="BT155" s="1424"/>
      <c r="BU155" s="1424"/>
      <c r="BV155" s="1424"/>
      <c r="BW155" s="1424"/>
      <c r="BX155" s="1424"/>
      <c r="BY155" s="1424"/>
      <c r="BZ155" s="1424"/>
      <c r="CA155" s="1424"/>
      <c r="CB155" s="1424"/>
      <c r="CC155" s="1424"/>
      <c r="CD155" s="1424"/>
      <c r="CE155" s="1424"/>
      <c r="CF155" s="1104"/>
    </row>
    <row r="156" spans="1:84" ht="5.25" hidden="1" customHeight="1">
      <c r="A156" s="1552"/>
      <c r="B156" s="1424"/>
      <c r="C156" s="1424"/>
      <c r="D156" s="2499"/>
      <c r="E156" s="566"/>
      <c r="F156" s="566"/>
      <c r="G156" s="566"/>
      <c r="H156" s="566"/>
      <c r="I156" s="566"/>
      <c r="J156" s="566"/>
      <c r="K156" s="566"/>
      <c r="L156" s="566"/>
      <c r="M156" s="566"/>
      <c r="N156" s="566"/>
      <c r="O156" s="566"/>
      <c r="P156" s="566"/>
      <c r="Q156" s="566"/>
      <c r="R156" s="566"/>
      <c r="S156" s="567"/>
      <c r="T156" s="636"/>
      <c r="U156" s="2399"/>
      <c r="V156" s="2399"/>
      <c r="W156" s="1424"/>
      <c r="X156" s="1424"/>
      <c r="Y156" s="1424"/>
      <c r="Z156" s="1424"/>
      <c r="AA156" s="1424"/>
      <c r="AB156" s="1424"/>
      <c r="AC156" s="876"/>
      <c r="AD156" s="877"/>
      <c r="AE156" s="1424"/>
      <c r="AF156" s="1424"/>
      <c r="AG156" s="1424"/>
      <c r="AH156" s="1424"/>
      <c r="AI156" s="1424"/>
      <c r="AJ156" s="1424"/>
      <c r="AK156" s="1424"/>
      <c r="AL156" s="1424"/>
      <c r="AM156" s="1424"/>
      <c r="AN156" s="1424"/>
      <c r="AO156" s="1424"/>
      <c r="AP156" s="1424"/>
      <c r="AQ156" s="1424"/>
      <c r="AR156" s="1424"/>
      <c r="AS156" s="1424"/>
      <c r="AT156" s="1424"/>
      <c r="AU156" s="1424"/>
      <c r="AV156" s="1424"/>
      <c r="AW156" s="1424"/>
      <c r="AX156" s="1424"/>
      <c r="AY156" s="1424"/>
      <c r="AZ156" s="1424"/>
      <c r="BA156" s="1424"/>
      <c r="BB156" s="1424"/>
      <c r="BC156" s="1424"/>
      <c r="BD156" s="1424"/>
      <c r="BE156" s="1424"/>
      <c r="BF156" s="1424"/>
      <c r="BG156" s="1424"/>
      <c r="BH156" s="1424"/>
      <c r="BI156" s="1424"/>
      <c r="BJ156" s="1424"/>
      <c r="BK156" s="1424"/>
      <c r="BL156" s="1424"/>
      <c r="BM156" s="1424"/>
      <c r="BN156" s="1424"/>
      <c r="BO156" s="1424"/>
      <c r="BP156" s="1424"/>
      <c r="BQ156" s="1424"/>
      <c r="BR156" s="1424"/>
      <c r="BS156" s="1424"/>
      <c r="BT156" s="1424"/>
      <c r="BU156" s="1424"/>
      <c r="BV156" s="1424"/>
      <c r="BW156" s="1424"/>
      <c r="BX156" s="1424"/>
      <c r="BY156" s="1424"/>
      <c r="BZ156" s="1424"/>
      <c r="CA156" s="1424"/>
      <c r="CB156" s="1424"/>
      <c r="CC156" s="1424"/>
      <c r="CD156" s="1424"/>
      <c r="CE156" s="1424"/>
      <c r="CF156" s="1104"/>
    </row>
    <row r="157" spans="1:84" ht="5.25" hidden="1" customHeight="1">
      <c r="A157" s="1552"/>
      <c r="B157" s="1424"/>
      <c r="C157" s="1424"/>
      <c r="D157" s="2500"/>
      <c r="E157" s="882"/>
      <c r="F157" s="883"/>
      <c r="G157" s="883"/>
      <c r="H157" s="884"/>
      <c r="I157" s="884"/>
      <c r="J157" s="884"/>
      <c r="K157" s="884"/>
      <c r="L157" s="884"/>
      <c r="M157" s="884"/>
      <c r="N157" s="884"/>
      <c r="O157" s="884"/>
      <c r="P157" s="884"/>
      <c r="Q157" s="884"/>
      <c r="R157" s="806"/>
      <c r="S157" s="885"/>
      <c r="T157" s="636"/>
      <c r="U157" s="2399"/>
      <c r="V157" s="2399"/>
      <c r="W157" s="1424"/>
      <c r="X157" s="1424"/>
      <c r="Y157" s="1424"/>
      <c r="Z157" s="1424"/>
      <c r="AA157" s="1424"/>
      <c r="AB157" s="1424"/>
      <c r="AC157" s="876"/>
      <c r="AD157" s="877"/>
      <c r="AE157" s="1424"/>
      <c r="AF157" s="1424"/>
      <c r="AG157" s="1424"/>
      <c r="AH157" s="1424"/>
      <c r="AI157" s="1424"/>
      <c r="AJ157" s="1424"/>
      <c r="AK157" s="1424"/>
      <c r="AL157" s="1424"/>
      <c r="AM157" s="1424"/>
      <c r="AN157" s="1424"/>
      <c r="AO157" s="1424"/>
      <c r="AP157" s="1424"/>
      <c r="AQ157" s="1424"/>
      <c r="AR157" s="1424"/>
      <c r="AS157" s="1424"/>
      <c r="AT157" s="1424"/>
      <c r="AU157" s="1424"/>
      <c r="AV157" s="1424"/>
      <c r="AW157" s="1424"/>
      <c r="AX157" s="1424"/>
      <c r="AY157" s="1424"/>
      <c r="AZ157" s="1424"/>
      <c r="BA157" s="1424"/>
      <c r="BB157" s="1424"/>
      <c r="BC157" s="1424"/>
      <c r="BD157" s="1424"/>
      <c r="BE157" s="1424"/>
      <c r="BF157" s="1424"/>
      <c r="BG157" s="1424"/>
      <c r="BH157" s="1424"/>
      <c r="BI157" s="1424"/>
      <c r="BJ157" s="1424"/>
      <c r="BK157" s="1424"/>
      <c r="BL157" s="1424"/>
      <c r="BM157" s="1424"/>
      <c r="BN157" s="1424"/>
      <c r="BO157" s="1424"/>
      <c r="BP157" s="1424"/>
      <c r="BQ157" s="1424"/>
      <c r="BR157" s="1424"/>
      <c r="BS157" s="1424"/>
      <c r="BT157" s="1424"/>
      <c r="BU157" s="1424"/>
      <c r="BV157" s="1424"/>
      <c r="BW157" s="1424"/>
      <c r="BX157" s="1424"/>
      <c r="BY157" s="1424"/>
      <c r="BZ157" s="1424"/>
      <c r="CA157" s="1424"/>
      <c r="CB157" s="1424"/>
      <c r="CC157" s="1424"/>
      <c r="CD157" s="1424"/>
      <c r="CE157" s="1424"/>
      <c r="CF157" s="1104"/>
    </row>
    <row r="158" spans="1:84" ht="15" hidden="1" customHeight="1">
      <c r="A158" s="554" t="s">
        <v>202</v>
      </c>
      <c r="B158" s="555"/>
      <c r="C158" s="555" t="s">
        <v>9</v>
      </c>
      <c r="D158" s="2498" t="s">
        <v>725</v>
      </c>
      <c r="E158" s="2495" t="s">
        <v>157</v>
      </c>
      <c r="F158" s="2496"/>
      <c r="G158" s="2497"/>
      <c r="H158" s="2491" t="str">
        <f>IF(A158="","",INDEX(DIFFERENTIATION_UNMERGE_VD,MATCH(A158,DIFFERENTIATION_ID_DIFF,0)))</f>
        <v>Производство тепловой энергии. Некомбинированная выработка; Передача. Тепловая энергия; Сбыт. Тепловая энергия</v>
      </c>
      <c r="I158" s="2491"/>
      <c r="J158" s="2491"/>
      <c r="K158" s="2491"/>
      <c r="L158" s="2491"/>
      <c r="M158" s="2491"/>
      <c r="N158" s="2491"/>
      <c r="O158" s="2491"/>
      <c r="P158" s="2491"/>
      <c r="Q158" s="2491"/>
      <c r="R158" s="2491"/>
      <c r="S158" s="637"/>
      <c r="T158" s="634"/>
      <c r="U158" s="556"/>
      <c r="V158" s="556"/>
      <c r="W158" s="557"/>
      <c r="X158" s="557"/>
      <c r="Y158" s="557"/>
      <c r="Z158" s="557"/>
      <c r="AA158" s="558"/>
      <c r="AB158" s="559"/>
      <c r="AC158" s="2494"/>
      <c r="AD158" s="560"/>
      <c r="AE158" s="561" t="s">
        <v>9</v>
      </c>
      <c r="AF158" s="561"/>
      <c r="AG158" s="562" t="s">
        <v>704</v>
      </c>
      <c r="AH158" s="563">
        <v>3</v>
      </c>
      <c r="AI158" s="556"/>
      <c r="AJ158" s="556"/>
      <c r="AK158" s="556"/>
      <c r="AL158" s="556"/>
      <c r="AM158" s="556"/>
      <c r="AN158" s="556"/>
      <c r="AO158" s="556"/>
      <c r="AP158" s="556"/>
      <c r="AQ158" s="556"/>
      <c r="AR158" s="556"/>
      <c r="AS158" s="556"/>
      <c r="AT158" s="556"/>
      <c r="AU158" s="556"/>
      <c r="AV158" s="556"/>
      <c r="AW158" s="556"/>
      <c r="AX158" s="556"/>
      <c r="AY158" s="556"/>
      <c r="AZ158" s="556"/>
      <c r="BA158" s="556"/>
      <c r="BB158" s="556"/>
      <c r="BC158" s="556"/>
      <c r="BD158" s="556"/>
      <c r="BE158" s="556"/>
      <c r="BF158" s="556"/>
      <c r="BG158" s="556"/>
      <c r="BH158" s="556"/>
      <c r="BI158" s="556"/>
      <c r="BJ158" s="556"/>
      <c r="BK158" s="556"/>
      <c r="BL158" s="556"/>
      <c r="BM158" s="556"/>
      <c r="BN158" s="556"/>
      <c r="BO158" s="556"/>
      <c r="BP158" s="556"/>
      <c r="BQ158" s="556"/>
      <c r="BR158" s="556"/>
      <c r="BS158" s="556"/>
      <c r="BT158" s="556"/>
      <c r="BU158" s="556"/>
      <c r="BV158" s="557"/>
      <c r="BW158" s="557"/>
      <c r="BX158" s="557"/>
      <c r="BY158" s="557"/>
      <c r="BZ158" s="557"/>
      <c r="CA158" s="557"/>
      <c r="CB158" s="557"/>
      <c r="CC158" s="557"/>
      <c r="CD158" s="557"/>
      <c r="CE158" s="557"/>
      <c r="CF158" s="1606"/>
    </row>
    <row r="159" spans="1:84" ht="15" hidden="1" customHeight="1">
      <c r="A159" s="554"/>
      <c r="B159" s="555"/>
      <c r="C159" s="555"/>
      <c r="D159" s="2499"/>
      <c r="E159" s="2495" t="s">
        <v>648</v>
      </c>
      <c r="F159" s="2496"/>
      <c r="G159" s="2497"/>
      <c r="H159" s="2491" t="str">
        <f>IF(A158="","",INDEX(DIFFERENTIATION_UNMERGE_AREA,MATCH(A158,DIFFERENTIATION_ID_DIFF,0)))</f>
        <v>Территория 12</v>
      </c>
      <c r="I159" s="2491"/>
      <c r="J159" s="2491"/>
      <c r="K159" s="2491"/>
      <c r="L159" s="2491"/>
      <c r="M159" s="2491"/>
      <c r="N159" s="2491"/>
      <c r="O159" s="2491"/>
      <c r="P159" s="2491"/>
      <c r="Q159" s="2491"/>
      <c r="R159" s="2491"/>
      <c r="S159" s="637"/>
      <c r="T159" s="634"/>
      <c r="U159" s="556"/>
      <c r="V159" s="556"/>
      <c r="W159" s="557"/>
      <c r="X159" s="557"/>
      <c r="Y159" s="557"/>
      <c r="Z159" s="557"/>
      <c r="AA159" s="558"/>
      <c r="AB159" s="559"/>
      <c r="AC159" s="2494"/>
      <c r="AD159" s="560"/>
      <c r="AE159" s="561"/>
      <c r="AF159" s="561"/>
      <c r="AG159" s="562"/>
      <c r="AH159" s="563"/>
      <c r="AI159" s="556"/>
      <c r="AJ159" s="556"/>
      <c r="AK159" s="556"/>
      <c r="AL159" s="556"/>
      <c r="AM159" s="556"/>
      <c r="AN159" s="556"/>
      <c r="AO159" s="556"/>
      <c r="AP159" s="556"/>
      <c r="AQ159" s="556"/>
      <c r="AR159" s="556"/>
      <c r="AS159" s="556"/>
      <c r="AT159" s="556"/>
      <c r="AU159" s="556"/>
      <c r="AV159" s="556"/>
      <c r="AW159" s="556"/>
      <c r="AX159" s="556"/>
      <c r="AY159" s="556"/>
      <c r="AZ159" s="556"/>
      <c r="BA159" s="556"/>
      <c r="BB159" s="556"/>
      <c r="BC159" s="556"/>
      <c r="BD159" s="556"/>
      <c r="BE159" s="556"/>
      <c r="BF159" s="556"/>
      <c r="BG159" s="556"/>
      <c r="BH159" s="556"/>
      <c r="BI159" s="556"/>
      <c r="BJ159" s="556"/>
      <c r="BK159" s="556"/>
      <c r="BL159" s="556"/>
      <c r="BM159" s="556"/>
      <c r="BN159" s="556"/>
      <c r="BO159" s="556"/>
      <c r="BP159" s="556"/>
      <c r="BQ159" s="556"/>
      <c r="BR159" s="556"/>
      <c r="BS159" s="556"/>
      <c r="BT159" s="556"/>
      <c r="BU159" s="556"/>
      <c r="BV159" s="557"/>
      <c r="BW159" s="557"/>
      <c r="BX159" s="557"/>
      <c r="BY159" s="557"/>
      <c r="BZ159" s="557"/>
      <c r="CA159" s="557"/>
      <c r="CB159" s="557"/>
      <c r="CC159" s="557"/>
      <c r="CD159" s="557"/>
      <c r="CE159" s="557"/>
      <c r="CF159" s="1606"/>
    </row>
    <row r="160" spans="1:84" ht="15" hidden="1" customHeight="1">
      <c r="A160" s="554"/>
      <c r="B160" s="555"/>
      <c r="C160" s="555"/>
      <c r="D160" s="2499"/>
      <c r="E160" s="2495" t="s">
        <v>649</v>
      </c>
      <c r="F160" s="2496"/>
      <c r="G160" s="2497"/>
      <c r="H160" s="2491" t="str">
        <f>IF(A158="","",INDEX(DIFFERENTIATION_UNMERGE_SYSTEM,MATCH(A158,DIFFERENTIATION_ID_DIFF,0)))</f>
        <v>п. Красный</v>
      </c>
      <c r="I160" s="2491"/>
      <c r="J160" s="2491"/>
      <c r="K160" s="2491"/>
      <c r="L160" s="2491"/>
      <c r="M160" s="2491"/>
      <c r="N160" s="2491"/>
      <c r="O160" s="2491"/>
      <c r="P160" s="2491"/>
      <c r="Q160" s="2491"/>
      <c r="R160" s="2491"/>
      <c r="S160" s="637"/>
      <c r="T160" s="634"/>
      <c r="U160" s="556"/>
      <c r="V160" s="556"/>
      <c r="W160" s="557"/>
      <c r="X160" s="557"/>
      <c r="Y160" s="557"/>
      <c r="Z160" s="557"/>
      <c r="AA160" s="558"/>
      <c r="AB160" s="559"/>
      <c r="AC160" s="2494"/>
      <c r="AD160" s="560"/>
      <c r="AE160" s="561"/>
      <c r="AF160" s="561"/>
      <c r="AG160" s="562"/>
      <c r="AH160" s="563"/>
      <c r="AI160" s="556"/>
      <c r="AJ160" s="556"/>
      <c r="AK160" s="556"/>
      <c r="AL160" s="556"/>
      <c r="AM160" s="556"/>
      <c r="AN160" s="556"/>
      <c r="AO160" s="556"/>
      <c r="AP160" s="556"/>
      <c r="AQ160" s="556"/>
      <c r="AR160" s="556"/>
      <c r="AS160" s="556"/>
      <c r="AT160" s="556"/>
      <c r="AU160" s="556"/>
      <c r="AV160" s="556"/>
      <c r="AW160" s="556"/>
      <c r="AX160" s="556"/>
      <c r="AY160" s="556"/>
      <c r="AZ160" s="556"/>
      <c r="BA160" s="556"/>
      <c r="BB160" s="556"/>
      <c r="BC160" s="556"/>
      <c r="BD160" s="556"/>
      <c r="BE160" s="556"/>
      <c r="BF160" s="556"/>
      <c r="BG160" s="556"/>
      <c r="BH160" s="556"/>
      <c r="BI160" s="556"/>
      <c r="BJ160" s="556"/>
      <c r="BK160" s="556"/>
      <c r="BL160" s="556"/>
      <c r="BM160" s="556"/>
      <c r="BN160" s="556"/>
      <c r="BO160" s="556"/>
      <c r="BP160" s="556"/>
      <c r="BQ160" s="556"/>
      <c r="BR160" s="556"/>
      <c r="BS160" s="556"/>
      <c r="BT160" s="556"/>
      <c r="BU160" s="556"/>
      <c r="BV160" s="557"/>
      <c r="BW160" s="557"/>
      <c r="BX160" s="557"/>
      <c r="BY160" s="557"/>
      <c r="BZ160" s="557"/>
      <c r="CA160" s="557"/>
      <c r="CB160" s="557"/>
      <c r="CC160" s="557"/>
      <c r="CD160" s="557"/>
      <c r="CE160" s="557"/>
      <c r="CF160" s="1606"/>
    </row>
    <row r="161" spans="1:84" ht="24.75" hidden="1" customHeight="1">
      <c r="A161" s="1565"/>
      <c r="B161" s="961"/>
      <c r="C161" s="345"/>
      <c r="D161" s="2499"/>
      <c r="E161" s="2493" t="s">
        <v>705</v>
      </c>
      <c r="F161" s="2493"/>
      <c r="G161" s="2493"/>
      <c r="H161" s="2493"/>
      <c r="I161" s="2493"/>
      <c r="J161" s="2493"/>
      <c r="K161" s="2493"/>
      <c r="L161" s="2493"/>
      <c r="M161" s="2493"/>
      <c r="N161" s="2493"/>
      <c r="O161" s="2493"/>
      <c r="P161" s="2493"/>
      <c r="Q161" s="490">
        <f>SUMIF(T162:T163,"i",Q162:Q163)</f>
        <v>0</v>
      </c>
      <c r="R161" s="869"/>
      <c r="S161" s="1557" t="s">
        <v>706</v>
      </c>
      <c r="T161" s="635" t="s">
        <v>707</v>
      </c>
      <c r="U161" s="2399">
        <v>1</v>
      </c>
      <c r="V161" s="2399" t="str">
        <f>INDEX(B_FHD_FLAG_INDEX_1,1,MATCH(A158,B_FHD_FLAG_DIFFERENTIATION,0))</f>
        <v>отсутствует</v>
      </c>
      <c r="W161" s="961"/>
      <c r="X161" s="961"/>
      <c r="Y161" s="961"/>
      <c r="Z161" s="961"/>
      <c r="AA161" s="1424"/>
      <c r="AB161" s="961"/>
      <c r="AC161" s="2494"/>
      <c r="AD161" s="560"/>
      <c r="AE161" s="961"/>
      <c r="AF161" s="961"/>
      <c r="AG161" s="1424"/>
      <c r="AH161" s="1424"/>
      <c r="AI161" s="1424"/>
      <c r="AJ161" s="1424"/>
      <c r="AK161" s="1424"/>
      <c r="AL161" s="1424"/>
      <c r="AM161" s="1424"/>
      <c r="AN161" s="1424"/>
      <c r="AO161" s="1424"/>
      <c r="AP161" s="1424"/>
      <c r="AQ161" s="1424"/>
      <c r="AR161" s="1424"/>
      <c r="AS161" s="1424"/>
      <c r="AT161" s="1424"/>
      <c r="AU161" s="1424"/>
      <c r="AV161" s="1424"/>
      <c r="AW161" s="1424"/>
      <c r="AX161" s="1424"/>
      <c r="AY161" s="1424"/>
      <c r="AZ161" s="1424"/>
      <c r="BA161" s="1424"/>
      <c r="BB161" s="1424"/>
      <c r="BC161" s="1424"/>
      <c r="BD161" s="1424"/>
      <c r="BE161" s="1424"/>
      <c r="BF161" s="1424"/>
      <c r="BG161" s="1424"/>
      <c r="BH161" s="1424"/>
      <c r="BI161" s="1424"/>
      <c r="BJ161" s="1424"/>
      <c r="BK161" s="1424"/>
      <c r="BL161" s="1424"/>
      <c r="BM161" s="1424"/>
      <c r="BN161" s="1424"/>
      <c r="BO161" s="1424"/>
      <c r="BP161" s="1424"/>
      <c r="BQ161" s="1424"/>
      <c r="BR161" s="1424"/>
      <c r="BS161" s="1424"/>
      <c r="BT161" s="1424"/>
      <c r="BU161" s="1424"/>
      <c r="BV161" s="961"/>
      <c r="BW161" s="961"/>
      <c r="BX161" s="961"/>
      <c r="BY161" s="961"/>
      <c r="BZ161" s="961"/>
      <c r="CA161" s="961"/>
      <c r="CB161" s="961"/>
      <c r="CC161" s="961"/>
      <c r="CD161" s="961"/>
      <c r="CE161" s="961"/>
      <c r="CF161" s="1606"/>
    </row>
    <row r="162" spans="1:84" ht="11.25" hidden="1" customHeight="1">
      <c r="A162" s="1552"/>
      <c r="B162" s="1424"/>
      <c r="C162" s="1424"/>
      <c r="D162" s="2499"/>
      <c r="E162" s="566"/>
      <c r="F162" s="566">
        <v>0</v>
      </c>
      <c r="G162" s="566"/>
      <c r="H162" s="566"/>
      <c r="I162" s="566"/>
      <c r="J162" s="566"/>
      <c r="K162" s="566"/>
      <c r="L162" s="566"/>
      <c r="M162" s="566"/>
      <c r="N162" s="566"/>
      <c r="O162" s="566"/>
      <c r="P162" s="566"/>
      <c r="Q162" s="566"/>
      <c r="R162" s="566"/>
      <c r="S162" s="567"/>
      <c r="T162" s="636"/>
      <c r="U162" s="2399"/>
      <c r="V162" s="2399"/>
      <c r="W162" s="1424"/>
      <c r="X162" s="1424"/>
      <c r="Y162" s="1424"/>
      <c r="Z162" s="1424"/>
      <c r="AA162" s="1424"/>
      <c r="AB162" s="961"/>
      <c r="AC162" s="2494"/>
      <c r="AD162" s="560"/>
      <c r="AE162" s="961"/>
      <c r="AF162" s="961"/>
      <c r="AG162" s="1424"/>
      <c r="AH162" s="1424"/>
      <c r="AI162" s="1424"/>
      <c r="AJ162" s="1424"/>
      <c r="AK162" s="1424"/>
      <c r="AL162" s="1424"/>
      <c r="AM162" s="1424"/>
      <c r="AN162" s="1424"/>
      <c r="AO162" s="1424"/>
      <c r="AP162" s="1424"/>
      <c r="AQ162" s="1424"/>
      <c r="AR162" s="1424"/>
      <c r="AS162" s="1424"/>
      <c r="AT162" s="1424"/>
      <c r="AU162" s="1424"/>
      <c r="AV162" s="1424"/>
      <c r="AW162" s="1424"/>
      <c r="AX162" s="1424"/>
      <c r="AY162" s="1424"/>
      <c r="AZ162" s="1424"/>
      <c r="BA162" s="1424"/>
      <c r="BB162" s="1424"/>
      <c r="BC162" s="1424"/>
      <c r="BD162" s="1424"/>
      <c r="BE162" s="1424"/>
      <c r="BF162" s="1424"/>
      <c r="BG162" s="1424"/>
      <c r="BH162" s="1424"/>
      <c r="BI162" s="1424"/>
      <c r="BJ162" s="1424"/>
      <c r="BK162" s="1424"/>
      <c r="BL162" s="1424"/>
      <c r="BM162" s="1424"/>
      <c r="BN162" s="1424"/>
      <c r="BO162" s="1424"/>
      <c r="BP162" s="1424"/>
      <c r="BQ162" s="1424"/>
      <c r="BR162" s="1424"/>
      <c r="BS162" s="1424"/>
      <c r="BT162" s="1424"/>
      <c r="BU162" s="1424"/>
      <c r="BV162" s="1424"/>
      <c r="BW162" s="1424"/>
      <c r="BX162" s="1424"/>
      <c r="BY162" s="1424"/>
      <c r="BZ162" s="1424"/>
      <c r="CA162" s="1424"/>
      <c r="CB162" s="1424"/>
      <c r="CC162" s="1424"/>
      <c r="CD162" s="1424"/>
      <c r="CE162" s="1424"/>
      <c r="CF162" s="1606"/>
    </row>
    <row r="163" spans="1:84" ht="11.25" hidden="1" customHeight="1">
      <c r="A163" s="1565"/>
      <c r="B163" s="961"/>
      <c r="C163" s="345"/>
      <c r="D163" s="2499"/>
      <c r="E163" s="580" t="s">
        <v>9</v>
      </c>
      <c r="F163" s="969" t="s">
        <v>9</v>
      </c>
      <c r="G163" s="969" t="s">
        <v>710</v>
      </c>
      <c r="H163" s="582" t="s">
        <v>9</v>
      </c>
      <c r="I163" s="582"/>
      <c r="J163" s="582"/>
      <c r="K163" s="582"/>
      <c r="L163" s="582"/>
      <c r="M163" s="582"/>
      <c r="N163" s="582"/>
      <c r="O163" s="582"/>
      <c r="P163" s="582"/>
      <c r="Q163" s="582"/>
      <c r="R163" s="583"/>
      <c r="S163" s="584"/>
      <c r="T163" s="636"/>
      <c r="U163" s="2399"/>
      <c r="V163" s="2399"/>
      <c r="W163" s="961"/>
      <c r="X163" s="961"/>
      <c r="Y163" s="961"/>
      <c r="Z163" s="961"/>
      <c r="AA163" s="1424"/>
      <c r="AB163" s="961"/>
      <c r="AC163" s="2494"/>
      <c r="AD163" s="560"/>
      <c r="AE163" s="961"/>
      <c r="AF163" s="961"/>
      <c r="AG163" s="1424"/>
      <c r="AH163" s="1424"/>
      <c r="AI163" s="1424"/>
      <c r="AJ163" s="1424"/>
      <c r="AK163" s="1424"/>
      <c r="AL163" s="1424"/>
      <c r="AM163" s="1424"/>
      <c r="AN163" s="1424"/>
      <c r="AO163" s="1424"/>
      <c r="AP163" s="1424"/>
      <c r="AQ163" s="1424"/>
      <c r="AR163" s="1424"/>
      <c r="AS163" s="1424"/>
      <c r="AT163" s="1424"/>
      <c r="AU163" s="1424"/>
      <c r="AV163" s="1424"/>
      <c r="AW163" s="1424"/>
      <c r="AX163" s="1424"/>
      <c r="AY163" s="1424"/>
      <c r="AZ163" s="1424"/>
      <c r="BA163" s="1424"/>
      <c r="BB163" s="1424"/>
      <c r="BC163" s="1424"/>
      <c r="BD163" s="1424"/>
      <c r="BE163" s="1424"/>
      <c r="BF163" s="1424"/>
      <c r="BG163" s="1424"/>
      <c r="BH163" s="1424"/>
      <c r="BI163" s="1424"/>
      <c r="BJ163" s="1424"/>
      <c r="BK163" s="1424"/>
      <c r="BL163" s="1424"/>
      <c r="BM163" s="1424"/>
      <c r="BN163" s="1424"/>
      <c r="BO163" s="1424"/>
      <c r="BP163" s="1424"/>
      <c r="BQ163" s="1424"/>
      <c r="BR163" s="1424"/>
      <c r="BS163" s="1424"/>
      <c r="BT163" s="1424"/>
      <c r="BU163" s="1424"/>
      <c r="BV163" s="961"/>
      <c r="BW163" s="961"/>
      <c r="BX163" s="961"/>
      <c r="BY163" s="961"/>
      <c r="BZ163" s="961"/>
      <c r="CA163" s="961"/>
      <c r="CB163" s="961"/>
      <c r="CC163" s="961"/>
      <c r="CD163" s="961"/>
      <c r="CE163" s="961"/>
      <c r="CF163" s="1606"/>
    </row>
    <row r="164" spans="1:84" ht="5.25" hidden="1" customHeight="1">
      <c r="A164" s="1552"/>
      <c r="B164" s="1424"/>
      <c r="C164" s="1424"/>
      <c r="D164" s="2499"/>
      <c r="E164" s="878"/>
      <c r="F164" s="878"/>
      <c r="G164" s="878"/>
      <c r="H164" s="878"/>
      <c r="I164" s="878"/>
      <c r="J164" s="878"/>
      <c r="K164" s="878"/>
      <c r="L164" s="878"/>
      <c r="M164" s="878"/>
      <c r="N164" s="878"/>
      <c r="O164" s="878"/>
      <c r="P164" s="878"/>
      <c r="Q164" s="879"/>
      <c r="R164" s="880"/>
      <c r="S164" s="881"/>
      <c r="T164" s="635" t="s">
        <v>707</v>
      </c>
      <c r="U164" s="2399">
        <v>1</v>
      </c>
      <c r="V164" s="2399" t="s">
        <v>664</v>
      </c>
      <c r="W164" s="1424"/>
      <c r="X164" s="1424"/>
      <c r="Y164" s="1424"/>
      <c r="Z164" s="1424"/>
      <c r="AA164" s="1424"/>
      <c r="AB164" s="1424"/>
      <c r="AC164" s="876"/>
      <c r="AD164" s="877"/>
      <c r="AE164" s="1424"/>
      <c r="AF164" s="1424"/>
      <c r="AG164" s="1424"/>
      <c r="AH164" s="1424"/>
      <c r="AI164" s="1424"/>
      <c r="AJ164" s="1424"/>
      <c r="AK164" s="1424"/>
      <c r="AL164" s="1424"/>
      <c r="AM164" s="1424"/>
      <c r="AN164" s="1424"/>
      <c r="AO164" s="1424"/>
      <c r="AP164" s="1424"/>
      <c r="AQ164" s="1424"/>
      <c r="AR164" s="1424"/>
      <c r="AS164" s="1424"/>
      <c r="AT164" s="1424"/>
      <c r="AU164" s="1424"/>
      <c r="AV164" s="1424"/>
      <c r="AW164" s="1424"/>
      <c r="AX164" s="1424"/>
      <c r="AY164" s="1424"/>
      <c r="AZ164" s="1424"/>
      <c r="BA164" s="1424"/>
      <c r="BB164" s="1424"/>
      <c r="BC164" s="1424"/>
      <c r="BD164" s="1424"/>
      <c r="BE164" s="1424"/>
      <c r="BF164" s="1424"/>
      <c r="BG164" s="1424"/>
      <c r="BH164" s="1424"/>
      <c r="BI164" s="1424"/>
      <c r="BJ164" s="1424"/>
      <c r="BK164" s="1424"/>
      <c r="BL164" s="1424"/>
      <c r="BM164" s="1424"/>
      <c r="BN164" s="1424"/>
      <c r="BO164" s="1424"/>
      <c r="BP164" s="1424"/>
      <c r="BQ164" s="1424"/>
      <c r="BR164" s="1424"/>
      <c r="BS164" s="1424"/>
      <c r="BT164" s="1424"/>
      <c r="BU164" s="1424"/>
      <c r="BV164" s="1424"/>
      <c r="BW164" s="1424"/>
      <c r="BX164" s="1424"/>
      <c r="BY164" s="1424"/>
      <c r="BZ164" s="1424"/>
      <c r="CA164" s="1424"/>
      <c r="CB164" s="1424"/>
      <c r="CC164" s="1424"/>
      <c r="CD164" s="1424"/>
      <c r="CE164" s="1424"/>
      <c r="CF164" s="1104"/>
    </row>
    <row r="165" spans="1:84" ht="5.25" hidden="1" customHeight="1">
      <c r="A165" s="1552"/>
      <c r="B165" s="1424"/>
      <c r="C165" s="1424"/>
      <c r="D165" s="2499"/>
      <c r="E165" s="566"/>
      <c r="F165" s="566"/>
      <c r="G165" s="566"/>
      <c r="H165" s="566"/>
      <c r="I165" s="566"/>
      <c r="J165" s="566"/>
      <c r="K165" s="566"/>
      <c r="L165" s="566"/>
      <c r="M165" s="566"/>
      <c r="N165" s="566"/>
      <c r="O165" s="566"/>
      <c r="P165" s="566"/>
      <c r="Q165" s="566"/>
      <c r="R165" s="566"/>
      <c r="S165" s="567"/>
      <c r="T165" s="636"/>
      <c r="U165" s="2399"/>
      <c r="V165" s="2399"/>
      <c r="W165" s="1424"/>
      <c r="X165" s="1424"/>
      <c r="Y165" s="1424"/>
      <c r="Z165" s="1424"/>
      <c r="AA165" s="1424"/>
      <c r="AB165" s="1424"/>
      <c r="AC165" s="876"/>
      <c r="AD165" s="877"/>
      <c r="AE165" s="1424"/>
      <c r="AF165" s="1424"/>
      <c r="AG165" s="1424"/>
      <c r="AH165" s="1424"/>
      <c r="AI165" s="1424"/>
      <c r="AJ165" s="1424"/>
      <c r="AK165" s="1424"/>
      <c r="AL165" s="1424"/>
      <c r="AM165" s="1424"/>
      <c r="AN165" s="1424"/>
      <c r="AO165" s="1424"/>
      <c r="AP165" s="1424"/>
      <c r="AQ165" s="1424"/>
      <c r="AR165" s="1424"/>
      <c r="AS165" s="1424"/>
      <c r="AT165" s="1424"/>
      <c r="AU165" s="1424"/>
      <c r="AV165" s="1424"/>
      <c r="AW165" s="1424"/>
      <c r="AX165" s="1424"/>
      <c r="AY165" s="1424"/>
      <c r="AZ165" s="1424"/>
      <c r="BA165" s="1424"/>
      <c r="BB165" s="1424"/>
      <c r="BC165" s="1424"/>
      <c r="BD165" s="1424"/>
      <c r="BE165" s="1424"/>
      <c r="BF165" s="1424"/>
      <c r="BG165" s="1424"/>
      <c r="BH165" s="1424"/>
      <c r="BI165" s="1424"/>
      <c r="BJ165" s="1424"/>
      <c r="BK165" s="1424"/>
      <c r="BL165" s="1424"/>
      <c r="BM165" s="1424"/>
      <c r="BN165" s="1424"/>
      <c r="BO165" s="1424"/>
      <c r="BP165" s="1424"/>
      <c r="BQ165" s="1424"/>
      <c r="BR165" s="1424"/>
      <c r="BS165" s="1424"/>
      <c r="BT165" s="1424"/>
      <c r="BU165" s="1424"/>
      <c r="BV165" s="1424"/>
      <c r="BW165" s="1424"/>
      <c r="BX165" s="1424"/>
      <c r="BY165" s="1424"/>
      <c r="BZ165" s="1424"/>
      <c r="CA165" s="1424"/>
      <c r="CB165" s="1424"/>
      <c r="CC165" s="1424"/>
      <c r="CD165" s="1424"/>
      <c r="CE165" s="1424"/>
      <c r="CF165" s="1104"/>
    </row>
    <row r="166" spans="1:84" ht="5.25" hidden="1" customHeight="1">
      <c r="A166" s="1552"/>
      <c r="B166" s="1424"/>
      <c r="C166" s="1424"/>
      <c r="D166" s="2500"/>
      <c r="E166" s="882"/>
      <c r="F166" s="883"/>
      <c r="G166" s="883"/>
      <c r="H166" s="884"/>
      <c r="I166" s="884"/>
      <c r="J166" s="884"/>
      <c r="K166" s="884"/>
      <c r="L166" s="884"/>
      <c r="M166" s="884"/>
      <c r="N166" s="884"/>
      <c r="O166" s="884"/>
      <c r="P166" s="884"/>
      <c r="Q166" s="884"/>
      <c r="R166" s="806"/>
      <c r="S166" s="885"/>
      <c r="T166" s="636"/>
      <c r="U166" s="2399"/>
      <c r="V166" s="2399"/>
      <c r="W166" s="1424"/>
      <c r="X166" s="1424"/>
      <c r="Y166" s="1424"/>
      <c r="Z166" s="1424"/>
      <c r="AA166" s="1424"/>
      <c r="AB166" s="1424"/>
      <c r="AC166" s="876"/>
      <c r="AD166" s="877"/>
      <c r="AE166" s="1424"/>
      <c r="AF166" s="1424"/>
      <c r="AG166" s="1424"/>
      <c r="AH166" s="1424"/>
      <c r="AI166" s="1424"/>
      <c r="AJ166" s="1424"/>
      <c r="AK166" s="1424"/>
      <c r="AL166" s="1424"/>
      <c r="AM166" s="1424"/>
      <c r="AN166" s="1424"/>
      <c r="AO166" s="1424"/>
      <c r="AP166" s="1424"/>
      <c r="AQ166" s="1424"/>
      <c r="AR166" s="1424"/>
      <c r="AS166" s="1424"/>
      <c r="AT166" s="1424"/>
      <c r="AU166" s="1424"/>
      <c r="AV166" s="1424"/>
      <c r="AW166" s="1424"/>
      <c r="AX166" s="1424"/>
      <c r="AY166" s="1424"/>
      <c r="AZ166" s="1424"/>
      <c r="BA166" s="1424"/>
      <c r="BB166" s="1424"/>
      <c r="BC166" s="1424"/>
      <c r="BD166" s="1424"/>
      <c r="BE166" s="1424"/>
      <c r="BF166" s="1424"/>
      <c r="BG166" s="1424"/>
      <c r="BH166" s="1424"/>
      <c r="BI166" s="1424"/>
      <c r="BJ166" s="1424"/>
      <c r="BK166" s="1424"/>
      <c r="BL166" s="1424"/>
      <c r="BM166" s="1424"/>
      <c r="BN166" s="1424"/>
      <c r="BO166" s="1424"/>
      <c r="BP166" s="1424"/>
      <c r="BQ166" s="1424"/>
      <c r="BR166" s="1424"/>
      <c r="BS166" s="1424"/>
      <c r="BT166" s="1424"/>
      <c r="BU166" s="1424"/>
      <c r="BV166" s="1424"/>
      <c r="BW166" s="1424"/>
      <c r="BX166" s="1424"/>
      <c r="BY166" s="1424"/>
      <c r="BZ166" s="1424"/>
      <c r="CA166" s="1424"/>
      <c r="CB166" s="1424"/>
      <c r="CC166" s="1424"/>
      <c r="CD166" s="1424"/>
      <c r="CE166" s="1424"/>
      <c r="CF166" s="1104"/>
    </row>
    <row r="167" spans="1:84" ht="15" hidden="1" customHeight="1">
      <c r="A167" s="554" t="s">
        <v>204</v>
      </c>
      <c r="B167" s="555"/>
      <c r="C167" s="555" t="s">
        <v>9</v>
      </c>
      <c r="D167" s="2498" t="s">
        <v>726</v>
      </c>
      <c r="E167" s="2495" t="s">
        <v>157</v>
      </c>
      <c r="F167" s="2496"/>
      <c r="G167" s="2497"/>
      <c r="H167" s="2491" t="str">
        <f>IF(A167="","",INDEX(DIFFERENTIATION_UNMERGE_VD,MATCH(A167,DIFFERENTIATION_ID_DIFF,0)))</f>
        <v>Производство тепловой энергии. Некомбинированная выработка; Передача. Тепловая энергия; Сбыт. Тепловая энергия</v>
      </c>
      <c r="I167" s="2491"/>
      <c r="J167" s="2491"/>
      <c r="K167" s="2491"/>
      <c r="L167" s="2491"/>
      <c r="M167" s="2491"/>
      <c r="N167" s="2491"/>
      <c r="O167" s="2491"/>
      <c r="P167" s="2491"/>
      <c r="Q167" s="2491"/>
      <c r="R167" s="2491"/>
      <c r="S167" s="637"/>
      <c r="T167" s="634"/>
      <c r="U167" s="556"/>
      <c r="V167" s="556"/>
      <c r="W167" s="557"/>
      <c r="X167" s="557"/>
      <c r="Y167" s="557"/>
      <c r="Z167" s="557"/>
      <c r="AA167" s="558"/>
      <c r="AB167" s="559"/>
      <c r="AC167" s="2494"/>
      <c r="AD167" s="560"/>
      <c r="AE167" s="561" t="s">
        <v>9</v>
      </c>
      <c r="AF167" s="561"/>
      <c r="AG167" s="562" t="s">
        <v>704</v>
      </c>
      <c r="AH167" s="563">
        <v>3</v>
      </c>
      <c r="AI167" s="556"/>
      <c r="AJ167" s="556"/>
      <c r="AK167" s="556"/>
      <c r="AL167" s="556"/>
      <c r="AM167" s="556"/>
      <c r="AN167" s="556"/>
      <c r="AO167" s="556"/>
      <c r="AP167" s="556"/>
      <c r="AQ167" s="556"/>
      <c r="AR167" s="556"/>
      <c r="AS167" s="556"/>
      <c r="AT167" s="556"/>
      <c r="AU167" s="556"/>
      <c r="AV167" s="556"/>
      <c r="AW167" s="556"/>
      <c r="AX167" s="556"/>
      <c r="AY167" s="556"/>
      <c r="AZ167" s="556"/>
      <c r="BA167" s="556"/>
      <c r="BB167" s="556"/>
      <c r="BC167" s="556"/>
      <c r="BD167" s="556"/>
      <c r="BE167" s="556"/>
      <c r="BF167" s="556"/>
      <c r="BG167" s="556"/>
      <c r="BH167" s="556"/>
      <c r="BI167" s="556"/>
      <c r="BJ167" s="556"/>
      <c r="BK167" s="556"/>
      <c r="BL167" s="556"/>
      <c r="BM167" s="556"/>
      <c r="BN167" s="556"/>
      <c r="BO167" s="556"/>
      <c r="BP167" s="556"/>
      <c r="BQ167" s="556"/>
      <c r="BR167" s="556"/>
      <c r="BS167" s="556"/>
      <c r="BT167" s="556"/>
      <c r="BU167" s="556"/>
      <c r="BV167" s="557"/>
      <c r="BW167" s="557"/>
      <c r="BX167" s="557"/>
      <c r="BY167" s="557"/>
      <c r="BZ167" s="557"/>
      <c r="CA167" s="557"/>
      <c r="CB167" s="557"/>
      <c r="CC167" s="557"/>
      <c r="CD167" s="557"/>
      <c r="CE167" s="557"/>
      <c r="CF167" s="1606"/>
    </row>
    <row r="168" spans="1:84" ht="15" hidden="1" customHeight="1">
      <c r="A168" s="554"/>
      <c r="B168" s="555"/>
      <c r="C168" s="555"/>
      <c r="D168" s="2499"/>
      <c r="E168" s="2495" t="s">
        <v>648</v>
      </c>
      <c r="F168" s="2496"/>
      <c r="G168" s="2497"/>
      <c r="H168" s="2491" t="str">
        <f>IF(A167="","",INDEX(DIFFERENTIATION_UNMERGE_AREA,MATCH(A167,DIFFERENTIATION_ID_DIFF,0)))</f>
        <v>Территория 13</v>
      </c>
      <c r="I168" s="2491"/>
      <c r="J168" s="2491"/>
      <c r="K168" s="2491"/>
      <c r="L168" s="2491"/>
      <c r="M168" s="2491"/>
      <c r="N168" s="2491"/>
      <c r="O168" s="2491"/>
      <c r="P168" s="2491"/>
      <c r="Q168" s="2491"/>
      <c r="R168" s="2491"/>
      <c r="S168" s="637"/>
      <c r="T168" s="634"/>
      <c r="U168" s="556"/>
      <c r="V168" s="556"/>
      <c r="W168" s="557"/>
      <c r="X168" s="557"/>
      <c r="Y168" s="557"/>
      <c r="Z168" s="557"/>
      <c r="AA168" s="558"/>
      <c r="AB168" s="559"/>
      <c r="AC168" s="2494"/>
      <c r="AD168" s="560"/>
      <c r="AE168" s="561"/>
      <c r="AF168" s="561"/>
      <c r="AG168" s="562"/>
      <c r="AH168" s="563"/>
      <c r="AI168" s="556"/>
      <c r="AJ168" s="556"/>
      <c r="AK168" s="556"/>
      <c r="AL168" s="556"/>
      <c r="AM168" s="556"/>
      <c r="AN168" s="556"/>
      <c r="AO168" s="556"/>
      <c r="AP168" s="556"/>
      <c r="AQ168" s="556"/>
      <c r="AR168" s="556"/>
      <c r="AS168" s="556"/>
      <c r="AT168" s="556"/>
      <c r="AU168" s="556"/>
      <c r="AV168" s="556"/>
      <c r="AW168" s="556"/>
      <c r="AX168" s="556"/>
      <c r="AY168" s="556"/>
      <c r="AZ168" s="556"/>
      <c r="BA168" s="556"/>
      <c r="BB168" s="556"/>
      <c r="BC168" s="556"/>
      <c r="BD168" s="556"/>
      <c r="BE168" s="556"/>
      <c r="BF168" s="556"/>
      <c r="BG168" s="556"/>
      <c r="BH168" s="556"/>
      <c r="BI168" s="556"/>
      <c r="BJ168" s="556"/>
      <c r="BK168" s="556"/>
      <c r="BL168" s="556"/>
      <c r="BM168" s="556"/>
      <c r="BN168" s="556"/>
      <c r="BO168" s="556"/>
      <c r="BP168" s="556"/>
      <c r="BQ168" s="556"/>
      <c r="BR168" s="556"/>
      <c r="BS168" s="556"/>
      <c r="BT168" s="556"/>
      <c r="BU168" s="556"/>
      <c r="BV168" s="557"/>
      <c r="BW168" s="557"/>
      <c r="BX168" s="557"/>
      <c r="BY168" s="557"/>
      <c r="BZ168" s="557"/>
      <c r="CA168" s="557"/>
      <c r="CB168" s="557"/>
      <c r="CC168" s="557"/>
      <c r="CD168" s="557"/>
      <c r="CE168" s="557"/>
      <c r="CF168" s="1606"/>
    </row>
    <row r="169" spans="1:84" ht="15" hidden="1" customHeight="1">
      <c r="A169" s="554"/>
      <c r="B169" s="555"/>
      <c r="C169" s="555"/>
      <c r="D169" s="2499"/>
      <c r="E169" s="2495" t="s">
        <v>649</v>
      </c>
      <c r="F169" s="2496"/>
      <c r="G169" s="2497"/>
      <c r="H169" s="2491" t="str">
        <f>IF(A167="","",INDEX(DIFFERENTIATION_UNMERGE_SYSTEM,MATCH(A167,DIFFERENTIATION_ID_DIFF,0)))</f>
        <v>котельная д. Богородицкое</v>
      </c>
      <c r="I169" s="2491"/>
      <c r="J169" s="2491"/>
      <c r="K169" s="2491"/>
      <c r="L169" s="2491"/>
      <c r="M169" s="2491"/>
      <c r="N169" s="2491"/>
      <c r="O169" s="2491"/>
      <c r="P169" s="2491"/>
      <c r="Q169" s="2491"/>
      <c r="R169" s="2491"/>
      <c r="S169" s="637"/>
      <c r="T169" s="634"/>
      <c r="U169" s="556"/>
      <c r="V169" s="556"/>
      <c r="W169" s="557"/>
      <c r="X169" s="557"/>
      <c r="Y169" s="557"/>
      <c r="Z169" s="557"/>
      <c r="AA169" s="558"/>
      <c r="AB169" s="559"/>
      <c r="AC169" s="2494"/>
      <c r="AD169" s="560"/>
      <c r="AE169" s="561"/>
      <c r="AF169" s="561"/>
      <c r="AG169" s="562"/>
      <c r="AH169" s="563"/>
      <c r="AI169" s="556"/>
      <c r="AJ169" s="556"/>
      <c r="AK169" s="556"/>
      <c r="AL169" s="556"/>
      <c r="AM169" s="556"/>
      <c r="AN169" s="556"/>
      <c r="AO169" s="556"/>
      <c r="AP169" s="556"/>
      <c r="AQ169" s="556"/>
      <c r="AR169" s="556"/>
      <c r="AS169" s="556"/>
      <c r="AT169" s="556"/>
      <c r="AU169" s="556"/>
      <c r="AV169" s="556"/>
      <c r="AW169" s="556"/>
      <c r="AX169" s="556"/>
      <c r="AY169" s="556"/>
      <c r="AZ169" s="556"/>
      <c r="BA169" s="556"/>
      <c r="BB169" s="556"/>
      <c r="BC169" s="556"/>
      <c r="BD169" s="556"/>
      <c r="BE169" s="556"/>
      <c r="BF169" s="556"/>
      <c r="BG169" s="556"/>
      <c r="BH169" s="556"/>
      <c r="BI169" s="556"/>
      <c r="BJ169" s="556"/>
      <c r="BK169" s="556"/>
      <c r="BL169" s="556"/>
      <c r="BM169" s="556"/>
      <c r="BN169" s="556"/>
      <c r="BO169" s="556"/>
      <c r="BP169" s="556"/>
      <c r="BQ169" s="556"/>
      <c r="BR169" s="556"/>
      <c r="BS169" s="556"/>
      <c r="BT169" s="556"/>
      <c r="BU169" s="556"/>
      <c r="BV169" s="557"/>
      <c r="BW169" s="557"/>
      <c r="BX169" s="557"/>
      <c r="BY169" s="557"/>
      <c r="BZ169" s="557"/>
      <c r="CA169" s="557"/>
      <c r="CB169" s="557"/>
      <c r="CC169" s="557"/>
      <c r="CD169" s="557"/>
      <c r="CE169" s="557"/>
      <c r="CF169" s="1606"/>
    </row>
    <row r="170" spans="1:84" ht="24.75" hidden="1" customHeight="1">
      <c r="A170" s="1565"/>
      <c r="B170" s="961"/>
      <c r="C170" s="345"/>
      <c r="D170" s="2499"/>
      <c r="E170" s="2493" t="s">
        <v>705</v>
      </c>
      <c r="F170" s="2493"/>
      <c r="G170" s="2493"/>
      <c r="H170" s="2493"/>
      <c r="I170" s="2493"/>
      <c r="J170" s="2493"/>
      <c r="K170" s="2493"/>
      <c r="L170" s="2493"/>
      <c r="M170" s="2493"/>
      <c r="N170" s="2493"/>
      <c r="O170" s="2493"/>
      <c r="P170" s="2493"/>
      <c r="Q170" s="490">
        <f>SUMIF(T171:T172,"i",Q171:Q172)</f>
        <v>0</v>
      </c>
      <c r="R170" s="869"/>
      <c r="S170" s="1557" t="s">
        <v>706</v>
      </c>
      <c r="T170" s="635" t="s">
        <v>707</v>
      </c>
      <c r="U170" s="2399">
        <v>1</v>
      </c>
      <c r="V170" s="2399" t="str">
        <f>INDEX(B_FHD_FLAG_INDEX_1,1,MATCH(A167,B_FHD_FLAG_DIFFERENTIATION,0))</f>
        <v>отсутствует</v>
      </c>
      <c r="W170" s="961"/>
      <c r="X170" s="961"/>
      <c r="Y170" s="961"/>
      <c r="Z170" s="961"/>
      <c r="AA170" s="1424"/>
      <c r="AB170" s="961"/>
      <c r="AC170" s="2494"/>
      <c r="AD170" s="560"/>
      <c r="AE170" s="961"/>
      <c r="AF170" s="961"/>
      <c r="AG170" s="1424"/>
      <c r="AH170" s="1424"/>
      <c r="AI170" s="1424"/>
      <c r="AJ170" s="1424"/>
      <c r="AK170" s="1424"/>
      <c r="AL170" s="1424"/>
      <c r="AM170" s="1424"/>
      <c r="AN170" s="1424"/>
      <c r="AO170" s="1424"/>
      <c r="AP170" s="1424"/>
      <c r="AQ170" s="1424"/>
      <c r="AR170" s="1424"/>
      <c r="AS170" s="1424"/>
      <c r="AT170" s="1424"/>
      <c r="AU170" s="1424"/>
      <c r="AV170" s="1424"/>
      <c r="AW170" s="1424"/>
      <c r="AX170" s="1424"/>
      <c r="AY170" s="1424"/>
      <c r="AZ170" s="1424"/>
      <c r="BA170" s="1424"/>
      <c r="BB170" s="1424"/>
      <c r="BC170" s="1424"/>
      <c r="BD170" s="1424"/>
      <c r="BE170" s="1424"/>
      <c r="BF170" s="1424"/>
      <c r="BG170" s="1424"/>
      <c r="BH170" s="1424"/>
      <c r="BI170" s="1424"/>
      <c r="BJ170" s="1424"/>
      <c r="BK170" s="1424"/>
      <c r="BL170" s="1424"/>
      <c r="BM170" s="1424"/>
      <c r="BN170" s="1424"/>
      <c r="BO170" s="1424"/>
      <c r="BP170" s="1424"/>
      <c r="BQ170" s="1424"/>
      <c r="BR170" s="1424"/>
      <c r="BS170" s="1424"/>
      <c r="BT170" s="1424"/>
      <c r="BU170" s="1424"/>
      <c r="BV170" s="961"/>
      <c r="BW170" s="961"/>
      <c r="BX170" s="961"/>
      <c r="BY170" s="961"/>
      <c r="BZ170" s="961"/>
      <c r="CA170" s="961"/>
      <c r="CB170" s="961"/>
      <c r="CC170" s="961"/>
      <c r="CD170" s="961"/>
      <c r="CE170" s="961"/>
      <c r="CF170" s="1606"/>
    </row>
    <row r="171" spans="1:84" ht="11.25" hidden="1" customHeight="1">
      <c r="A171" s="1552"/>
      <c r="B171" s="1424"/>
      <c r="C171" s="1424"/>
      <c r="D171" s="2499"/>
      <c r="E171" s="566"/>
      <c r="F171" s="566">
        <v>0</v>
      </c>
      <c r="G171" s="566"/>
      <c r="H171" s="566"/>
      <c r="I171" s="566"/>
      <c r="J171" s="566"/>
      <c r="K171" s="566"/>
      <c r="L171" s="566"/>
      <c r="M171" s="566"/>
      <c r="N171" s="566"/>
      <c r="O171" s="566"/>
      <c r="P171" s="566"/>
      <c r="Q171" s="566"/>
      <c r="R171" s="566"/>
      <c r="S171" s="567"/>
      <c r="T171" s="636"/>
      <c r="U171" s="2399"/>
      <c r="V171" s="2399"/>
      <c r="W171" s="1424"/>
      <c r="X171" s="1424"/>
      <c r="Y171" s="1424"/>
      <c r="Z171" s="1424"/>
      <c r="AA171" s="1424"/>
      <c r="AB171" s="961"/>
      <c r="AC171" s="2494"/>
      <c r="AD171" s="560"/>
      <c r="AE171" s="961"/>
      <c r="AF171" s="961"/>
      <c r="AG171" s="1424"/>
      <c r="AH171" s="1424"/>
      <c r="AI171" s="1424"/>
      <c r="AJ171" s="1424"/>
      <c r="AK171" s="1424"/>
      <c r="AL171" s="1424"/>
      <c r="AM171" s="1424"/>
      <c r="AN171" s="1424"/>
      <c r="AO171" s="1424"/>
      <c r="AP171" s="1424"/>
      <c r="AQ171" s="1424"/>
      <c r="AR171" s="1424"/>
      <c r="AS171" s="1424"/>
      <c r="AT171" s="1424"/>
      <c r="AU171" s="1424"/>
      <c r="AV171" s="1424"/>
      <c r="AW171" s="1424"/>
      <c r="AX171" s="1424"/>
      <c r="AY171" s="1424"/>
      <c r="AZ171" s="1424"/>
      <c r="BA171" s="1424"/>
      <c r="BB171" s="1424"/>
      <c r="BC171" s="1424"/>
      <c r="BD171" s="1424"/>
      <c r="BE171" s="1424"/>
      <c r="BF171" s="1424"/>
      <c r="BG171" s="1424"/>
      <c r="BH171" s="1424"/>
      <c r="BI171" s="1424"/>
      <c r="BJ171" s="1424"/>
      <c r="BK171" s="1424"/>
      <c r="BL171" s="1424"/>
      <c r="BM171" s="1424"/>
      <c r="BN171" s="1424"/>
      <c r="BO171" s="1424"/>
      <c r="BP171" s="1424"/>
      <c r="BQ171" s="1424"/>
      <c r="BR171" s="1424"/>
      <c r="BS171" s="1424"/>
      <c r="BT171" s="1424"/>
      <c r="BU171" s="1424"/>
      <c r="BV171" s="1424"/>
      <c r="BW171" s="1424"/>
      <c r="BX171" s="1424"/>
      <c r="BY171" s="1424"/>
      <c r="BZ171" s="1424"/>
      <c r="CA171" s="1424"/>
      <c r="CB171" s="1424"/>
      <c r="CC171" s="1424"/>
      <c r="CD171" s="1424"/>
      <c r="CE171" s="1424"/>
      <c r="CF171" s="1606"/>
    </row>
    <row r="172" spans="1:84" ht="11.25" hidden="1" customHeight="1">
      <c r="A172" s="1565"/>
      <c r="B172" s="961"/>
      <c r="C172" s="345"/>
      <c r="D172" s="2499"/>
      <c r="E172" s="580" t="s">
        <v>9</v>
      </c>
      <c r="F172" s="969" t="s">
        <v>9</v>
      </c>
      <c r="G172" s="969" t="s">
        <v>710</v>
      </c>
      <c r="H172" s="582" t="s">
        <v>9</v>
      </c>
      <c r="I172" s="582"/>
      <c r="J172" s="582"/>
      <c r="K172" s="582"/>
      <c r="L172" s="582"/>
      <c r="M172" s="582"/>
      <c r="N172" s="582"/>
      <c r="O172" s="582"/>
      <c r="P172" s="582"/>
      <c r="Q172" s="582"/>
      <c r="R172" s="583"/>
      <c r="S172" s="584"/>
      <c r="T172" s="636"/>
      <c r="U172" s="2399"/>
      <c r="V172" s="2399"/>
      <c r="W172" s="961"/>
      <c r="X172" s="961"/>
      <c r="Y172" s="961"/>
      <c r="Z172" s="961"/>
      <c r="AA172" s="1424"/>
      <c r="AB172" s="961"/>
      <c r="AC172" s="2494"/>
      <c r="AD172" s="560"/>
      <c r="AE172" s="961"/>
      <c r="AF172" s="961"/>
      <c r="AG172" s="1424"/>
      <c r="AH172" s="1424"/>
      <c r="AI172" s="1424"/>
      <c r="AJ172" s="1424"/>
      <c r="AK172" s="1424"/>
      <c r="AL172" s="1424"/>
      <c r="AM172" s="1424"/>
      <c r="AN172" s="1424"/>
      <c r="AO172" s="1424"/>
      <c r="AP172" s="1424"/>
      <c r="AQ172" s="1424"/>
      <c r="AR172" s="1424"/>
      <c r="AS172" s="1424"/>
      <c r="AT172" s="1424"/>
      <c r="AU172" s="1424"/>
      <c r="AV172" s="1424"/>
      <c r="AW172" s="1424"/>
      <c r="AX172" s="1424"/>
      <c r="AY172" s="1424"/>
      <c r="AZ172" s="1424"/>
      <c r="BA172" s="1424"/>
      <c r="BB172" s="1424"/>
      <c r="BC172" s="1424"/>
      <c r="BD172" s="1424"/>
      <c r="BE172" s="1424"/>
      <c r="BF172" s="1424"/>
      <c r="BG172" s="1424"/>
      <c r="BH172" s="1424"/>
      <c r="BI172" s="1424"/>
      <c r="BJ172" s="1424"/>
      <c r="BK172" s="1424"/>
      <c r="BL172" s="1424"/>
      <c r="BM172" s="1424"/>
      <c r="BN172" s="1424"/>
      <c r="BO172" s="1424"/>
      <c r="BP172" s="1424"/>
      <c r="BQ172" s="1424"/>
      <c r="BR172" s="1424"/>
      <c r="BS172" s="1424"/>
      <c r="BT172" s="1424"/>
      <c r="BU172" s="1424"/>
      <c r="BV172" s="961"/>
      <c r="BW172" s="961"/>
      <c r="BX172" s="961"/>
      <c r="BY172" s="961"/>
      <c r="BZ172" s="961"/>
      <c r="CA172" s="961"/>
      <c r="CB172" s="961"/>
      <c r="CC172" s="961"/>
      <c r="CD172" s="961"/>
      <c r="CE172" s="961"/>
      <c r="CF172" s="1606"/>
    </row>
    <row r="173" spans="1:84" ht="5.25" hidden="1" customHeight="1">
      <c r="A173" s="1552"/>
      <c r="B173" s="1424"/>
      <c r="C173" s="1424"/>
      <c r="D173" s="2499"/>
      <c r="E173" s="878"/>
      <c r="F173" s="878"/>
      <c r="G173" s="878"/>
      <c r="H173" s="878"/>
      <c r="I173" s="878"/>
      <c r="J173" s="878"/>
      <c r="K173" s="878"/>
      <c r="L173" s="878"/>
      <c r="M173" s="878"/>
      <c r="N173" s="878"/>
      <c r="O173" s="878"/>
      <c r="P173" s="878"/>
      <c r="Q173" s="879"/>
      <c r="R173" s="880"/>
      <c r="S173" s="881"/>
      <c r="T173" s="635" t="s">
        <v>707</v>
      </c>
      <c r="U173" s="2399">
        <v>1</v>
      </c>
      <c r="V173" s="2399" t="s">
        <v>664</v>
      </c>
      <c r="W173" s="1424"/>
      <c r="X173" s="1424"/>
      <c r="Y173" s="1424"/>
      <c r="Z173" s="1424"/>
      <c r="AA173" s="1424"/>
      <c r="AB173" s="1424"/>
      <c r="AC173" s="876"/>
      <c r="AD173" s="877"/>
      <c r="AE173" s="1424"/>
      <c r="AF173" s="1424"/>
      <c r="AG173" s="1424"/>
      <c r="AH173" s="1424"/>
      <c r="AI173" s="1424"/>
      <c r="AJ173" s="1424"/>
      <c r="AK173" s="1424"/>
      <c r="AL173" s="1424"/>
      <c r="AM173" s="1424"/>
      <c r="AN173" s="1424"/>
      <c r="AO173" s="1424"/>
      <c r="AP173" s="1424"/>
      <c r="AQ173" s="1424"/>
      <c r="AR173" s="1424"/>
      <c r="AS173" s="1424"/>
      <c r="AT173" s="1424"/>
      <c r="AU173" s="1424"/>
      <c r="AV173" s="1424"/>
      <c r="AW173" s="1424"/>
      <c r="AX173" s="1424"/>
      <c r="AY173" s="1424"/>
      <c r="AZ173" s="1424"/>
      <c r="BA173" s="1424"/>
      <c r="BB173" s="1424"/>
      <c r="BC173" s="1424"/>
      <c r="BD173" s="1424"/>
      <c r="BE173" s="1424"/>
      <c r="BF173" s="1424"/>
      <c r="BG173" s="1424"/>
      <c r="BH173" s="1424"/>
      <c r="BI173" s="1424"/>
      <c r="BJ173" s="1424"/>
      <c r="BK173" s="1424"/>
      <c r="BL173" s="1424"/>
      <c r="BM173" s="1424"/>
      <c r="BN173" s="1424"/>
      <c r="BO173" s="1424"/>
      <c r="BP173" s="1424"/>
      <c r="BQ173" s="1424"/>
      <c r="BR173" s="1424"/>
      <c r="BS173" s="1424"/>
      <c r="BT173" s="1424"/>
      <c r="BU173" s="1424"/>
      <c r="BV173" s="1424"/>
      <c r="BW173" s="1424"/>
      <c r="BX173" s="1424"/>
      <c r="BY173" s="1424"/>
      <c r="BZ173" s="1424"/>
      <c r="CA173" s="1424"/>
      <c r="CB173" s="1424"/>
      <c r="CC173" s="1424"/>
      <c r="CD173" s="1424"/>
      <c r="CE173" s="1424"/>
      <c r="CF173" s="1104"/>
    </row>
    <row r="174" spans="1:84" ht="5.25" hidden="1" customHeight="1">
      <c r="A174" s="1552"/>
      <c r="B174" s="1424"/>
      <c r="C174" s="1424"/>
      <c r="D174" s="2499"/>
      <c r="E174" s="566"/>
      <c r="F174" s="566"/>
      <c r="G174" s="566"/>
      <c r="H174" s="566"/>
      <c r="I174" s="566"/>
      <c r="J174" s="566"/>
      <c r="K174" s="566"/>
      <c r="L174" s="566"/>
      <c r="M174" s="566"/>
      <c r="N174" s="566"/>
      <c r="O174" s="566"/>
      <c r="P174" s="566"/>
      <c r="Q174" s="566"/>
      <c r="R174" s="566"/>
      <c r="S174" s="567"/>
      <c r="T174" s="636"/>
      <c r="U174" s="2399"/>
      <c r="V174" s="2399"/>
      <c r="W174" s="1424"/>
      <c r="X174" s="1424"/>
      <c r="Y174" s="1424"/>
      <c r="Z174" s="1424"/>
      <c r="AA174" s="1424"/>
      <c r="AB174" s="1424"/>
      <c r="AC174" s="876"/>
      <c r="AD174" s="877"/>
      <c r="AE174" s="1424"/>
      <c r="AF174" s="1424"/>
      <c r="AG174" s="1424"/>
      <c r="AH174" s="1424"/>
      <c r="AI174" s="1424"/>
      <c r="AJ174" s="1424"/>
      <c r="AK174" s="1424"/>
      <c r="AL174" s="1424"/>
      <c r="AM174" s="1424"/>
      <c r="AN174" s="1424"/>
      <c r="AO174" s="1424"/>
      <c r="AP174" s="1424"/>
      <c r="AQ174" s="1424"/>
      <c r="AR174" s="1424"/>
      <c r="AS174" s="1424"/>
      <c r="AT174" s="1424"/>
      <c r="AU174" s="1424"/>
      <c r="AV174" s="1424"/>
      <c r="AW174" s="1424"/>
      <c r="AX174" s="1424"/>
      <c r="AY174" s="1424"/>
      <c r="AZ174" s="1424"/>
      <c r="BA174" s="1424"/>
      <c r="BB174" s="1424"/>
      <c r="BC174" s="1424"/>
      <c r="BD174" s="1424"/>
      <c r="BE174" s="1424"/>
      <c r="BF174" s="1424"/>
      <c r="BG174" s="1424"/>
      <c r="BH174" s="1424"/>
      <c r="BI174" s="1424"/>
      <c r="BJ174" s="1424"/>
      <c r="BK174" s="1424"/>
      <c r="BL174" s="1424"/>
      <c r="BM174" s="1424"/>
      <c r="BN174" s="1424"/>
      <c r="BO174" s="1424"/>
      <c r="BP174" s="1424"/>
      <c r="BQ174" s="1424"/>
      <c r="BR174" s="1424"/>
      <c r="BS174" s="1424"/>
      <c r="BT174" s="1424"/>
      <c r="BU174" s="1424"/>
      <c r="BV174" s="1424"/>
      <c r="BW174" s="1424"/>
      <c r="BX174" s="1424"/>
      <c r="BY174" s="1424"/>
      <c r="BZ174" s="1424"/>
      <c r="CA174" s="1424"/>
      <c r="CB174" s="1424"/>
      <c r="CC174" s="1424"/>
      <c r="CD174" s="1424"/>
      <c r="CE174" s="1424"/>
      <c r="CF174" s="1104"/>
    </row>
    <row r="175" spans="1:84" ht="5.25" hidden="1" customHeight="1">
      <c r="A175" s="1552"/>
      <c r="B175" s="1424"/>
      <c r="C175" s="1424"/>
      <c r="D175" s="2500"/>
      <c r="E175" s="882"/>
      <c r="F175" s="883"/>
      <c r="G175" s="883"/>
      <c r="H175" s="884"/>
      <c r="I175" s="884"/>
      <c r="J175" s="884"/>
      <c r="K175" s="884"/>
      <c r="L175" s="884"/>
      <c r="M175" s="884"/>
      <c r="N175" s="884"/>
      <c r="O175" s="884"/>
      <c r="P175" s="884"/>
      <c r="Q175" s="884"/>
      <c r="R175" s="806"/>
      <c r="S175" s="885"/>
      <c r="T175" s="636"/>
      <c r="U175" s="2399"/>
      <c r="V175" s="2399"/>
      <c r="W175" s="1424"/>
      <c r="X175" s="1424"/>
      <c r="Y175" s="1424"/>
      <c r="Z175" s="1424"/>
      <c r="AA175" s="1424"/>
      <c r="AB175" s="1424"/>
      <c r="AC175" s="876"/>
      <c r="AD175" s="877"/>
      <c r="AE175" s="1424"/>
      <c r="AF175" s="1424"/>
      <c r="AG175" s="1424"/>
      <c r="AH175" s="1424"/>
      <c r="AI175" s="1424"/>
      <c r="AJ175" s="1424"/>
      <c r="AK175" s="1424"/>
      <c r="AL175" s="1424"/>
      <c r="AM175" s="1424"/>
      <c r="AN175" s="1424"/>
      <c r="AO175" s="1424"/>
      <c r="AP175" s="1424"/>
      <c r="AQ175" s="1424"/>
      <c r="AR175" s="1424"/>
      <c r="AS175" s="1424"/>
      <c r="AT175" s="1424"/>
      <c r="AU175" s="1424"/>
      <c r="AV175" s="1424"/>
      <c r="AW175" s="1424"/>
      <c r="AX175" s="1424"/>
      <c r="AY175" s="1424"/>
      <c r="AZ175" s="1424"/>
      <c r="BA175" s="1424"/>
      <c r="BB175" s="1424"/>
      <c r="BC175" s="1424"/>
      <c r="BD175" s="1424"/>
      <c r="BE175" s="1424"/>
      <c r="BF175" s="1424"/>
      <c r="BG175" s="1424"/>
      <c r="BH175" s="1424"/>
      <c r="BI175" s="1424"/>
      <c r="BJ175" s="1424"/>
      <c r="BK175" s="1424"/>
      <c r="BL175" s="1424"/>
      <c r="BM175" s="1424"/>
      <c r="BN175" s="1424"/>
      <c r="BO175" s="1424"/>
      <c r="BP175" s="1424"/>
      <c r="BQ175" s="1424"/>
      <c r="BR175" s="1424"/>
      <c r="BS175" s="1424"/>
      <c r="BT175" s="1424"/>
      <c r="BU175" s="1424"/>
      <c r="BV175" s="1424"/>
      <c r="BW175" s="1424"/>
      <c r="BX175" s="1424"/>
      <c r="BY175" s="1424"/>
      <c r="BZ175" s="1424"/>
      <c r="CA175" s="1424"/>
      <c r="CB175" s="1424"/>
      <c r="CC175" s="1424"/>
      <c r="CD175" s="1424"/>
      <c r="CE175" s="1424"/>
      <c r="CF175" s="1104"/>
    </row>
    <row r="176" spans="1:84" ht="15" hidden="1" customHeight="1">
      <c r="A176" s="554" t="s">
        <v>206</v>
      </c>
      <c r="B176" s="555"/>
      <c r="C176" s="555" t="s">
        <v>9</v>
      </c>
      <c r="D176" s="2498" t="s">
        <v>727</v>
      </c>
      <c r="E176" s="2495" t="s">
        <v>157</v>
      </c>
      <c r="F176" s="2496"/>
      <c r="G176" s="2497"/>
      <c r="H176" s="2491" t="str">
        <f>IF(A176="","",INDEX(DIFFERENTIATION_UNMERGE_VD,MATCH(A176,DIFFERENTIATION_ID_DIFF,0)))</f>
        <v>Производство тепловой энергии. Некомбинированная выработка; Передача. Тепловая энергия; Сбыт. Тепловая энергия</v>
      </c>
      <c r="I176" s="2491"/>
      <c r="J176" s="2491"/>
      <c r="K176" s="2491"/>
      <c r="L176" s="2491"/>
      <c r="M176" s="2491"/>
      <c r="N176" s="2491"/>
      <c r="O176" s="2491"/>
      <c r="P176" s="2491"/>
      <c r="Q176" s="2491"/>
      <c r="R176" s="2491"/>
      <c r="S176" s="637"/>
      <c r="T176" s="634"/>
      <c r="U176" s="556"/>
      <c r="V176" s="556"/>
      <c r="W176" s="557"/>
      <c r="X176" s="557"/>
      <c r="Y176" s="557"/>
      <c r="Z176" s="557"/>
      <c r="AA176" s="558"/>
      <c r="AB176" s="559"/>
      <c r="AC176" s="2494"/>
      <c r="AD176" s="560"/>
      <c r="AE176" s="561" t="s">
        <v>9</v>
      </c>
      <c r="AF176" s="561"/>
      <c r="AG176" s="562" t="s">
        <v>704</v>
      </c>
      <c r="AH176" s="563">
        <v>3</v>
      </c>
      <c r="AI176" s="556"/>
      <c r="AJ176" s="556"/>
      <c r="AK176" s="556"/>
      <c r="AL176" s="556"/>
      <c r="AM176" s="556"/>
      <c r="AN176" s="556"/>
      <c r="AO176" s="556"/>
      <c r="AP176" s="556"/>
      <c r="AQ176" s="556"/>
      <c r="AR176" s="556"/>
      <c r="AS176" s="556"/>
      <c r="AT176" s="556"/>
      <c r="AU176" s="556"/>
      <c r="AV176" s="556"/>
      <c r="AW176" s="556"/>
      <c r="AX176" s="556"/>
      <c r="AY176" s="556"/>
      <c r="AZ176" s="556"/>
      <c r="BA176" s="556"/>
      <c r="BB176" s="556"/>
      <c r="BC176" s="556"/>
      <c r="BD176" s="556"/>
      <c r="BE176" s="556"/>
      <c r="BF176" s="556"/>
      <c r="BG176" s="556"/>
      <c r="BH176" s="556"/>
      <c r="BI176" s="556"/>
      <c r="BJ176" s="556"/>
      <c r="BK176" s="556"/>
      <c r="BL176" s="556"/>
      <c r="BM176" s="556"/>
      <c r="BN176" s="556"/>
      <c r="BO176" s="556"/>
      <c r="BP176" s="556"/>
      <c r="BQ176" s="556"/>
      <c r="BR176" s="556"/>
      <c r="BS176" s="556"/>
      <c r="BT176" s="556"/>
      <c r="BU176" s="556"/>
      <c r="BV176" s="557"/>
      <c r="BW176" s="557"/>
      <c r="BX176" s="557"/>
      <c r="BY176" s="557"/>
      <c r="BZ176" s="557"/>
      <c r="CA176" s="557"/>
      <c r="CB176" s="557"/>
      <c r="CC176" s="557"/>
      <c r="CD176" s="557"/>
      <c r="CE176" s="557"/>
      <c r="CF176" s="1606"/>
    </row>
    <row r="177" spans="1:84" ht="15" hidden="1" customHeight="1">
      <c r="A177" s="554"/>
      <c r="B177" s="555"/>
      <c r="C177" s="555"/>
      <c r="D177" s="2499"/>
      <c r="E177" s="2495" t="s">
        <v>648</v>
      </c>
      <c r="F177" s="2496"/>
      <c r="G177" s="2497"/>
      <c r="H177" s="2491" t="str">
        <f>IF(A176="","",INDEX(DIFFERENTIATION_UNMERGE_AREA,MATCH(A176,DIFFERENTIATION_ID_DIFF,0)))</f>
        <v>Территория 13</v>
      </c>
      <c r="I177" s="2491"/>
      <c r="J177" s="2491"/>
      <c r="K177" s="2491"/>
      <c r="L177" s="2491"/>
      <c r="M177" s="2491"/>
      <c r="N177" s="2491"/>
      <c r="O177" s="2491"/>
      <c r="P177" s="2491"/>
      <c r="Q177" s="2491"/>
      <c r="R177" s="2491"/>
      <c r="S177" s="637"/>
      <c r="T177" s="634"/>
      <c r="U177" s="556"/>
      <c r="V177" s="556"/>
      <c r="W177" s="557"/>
      <c r="X177" s="557"/>
      <c r="Y177" s="557"/>
      <c r="Z177" s="557"/>
      <c r="AA177" s="558"/>
      <c r="AB177" s="559"/>
      <c r="AC177" s="2494"/>
      <c r="AD177" s="560"/>
      <c r="AE177" s="561"/>
      <c r="AF177" s="561"/>
      <c r="AG177" s="562"/>
      <c r="AH177" s="563"/>
      <c r="AI177" s="556"/>
      <c r="AJ177" s="556"/>
      <c r="AK177" s="556"/>
      <c r="AL177" s="556"/>
      <c r="AM177" s="556"/>
      <c r="AN177" s="556"/>
      <c r="AO177" s="556"/>
      <c r="AP177" s="556"/>
      <c r="AQ177" s="556"/>
      <c r="AR177" s="556"/>
      <c r="AS177" s="556"/>
      <c r="AT177" s="556"/>
      <c r="AU177" s="556"/>
      <c r="AV177" s="556"/>
      <c r="AW177" s="556"/>
      <c r="AX177" s="556"/>
      <c r="AY177" s="556"/>
      <c r="AZ177" s="556"/>
      <c r="BA177" s="556"/>
      <c r="BB177" s="556"/>
      <c r="BC177" s="556"/>
      <c r="BD177" s="556"/>
      <c r="BE177" s="556"/>
      <c r="BF177" s="556"/>
      <c r="BG177" s="556"/>
      <c r="BH177" s="556"/>
      <c r="BI177" s="556"/>
      <c r="BJ177" s="556"/>
      <c r="BK177" s="556"/>
      <c r="BL177" s="556"/>
      <c r="BM177" s="556"/>
      <c r="BN177" s="556"/>
      <c r="BO177" s="556"/>
      <c r="BP177" s="556"/>
      <c r="BQ177" s="556"/>
      <c r="BR177" s="556"/>
      <c r="BS177" s="556"/>
      <c r="BT177" s="556"/>
      <c r="BU177" s="556"/>
      <c r="BV177" s="557"/>
      <c r="BW177" s="557"/>
      <c r="BX177" s="557"/>
      <c r="BY177" s="557"/>
      <c r="BZ177" s="557"/>
      <c r="CA177" s="557"/>
      <c r="CB177" s="557"/>
      <c r="CC177" s="557"/>
      <c r="CD177" s="557"/>
      <c r="CE177" s="557"/>
      <c r="CF177" s="1606"/>
    </row>
    <row r="178" spans="1:84" ht="15" hidden="1" customHeight="1">
      <c r="A178" s="554"/>
      <c r="B178" s="555"/>
      <c r="C178" s="555"/>
      <c r="D178" s="2499"/>
      <c r="E178" s="2495" t="s">
        <v>649</v>
      </c>
      <c r="F178" s="2496"/>
      <c r="G178" s="2497"/>
      <c r="H178" s="2491" t="str">
        <f>IF(A176="","",INDEX(DIFFERENTIATION_UNMERGE_SYSTEM,MATCH(A176,DIFFERENTIATION_ID_DIFF,0)))</f>
        <v>котельная д. Сметанино</v>
      </c>
      <c r="I178" s="2491"/>
      <c r="J178" s="2491"/>
      <c r="K178" s="2491"/>
      <c r="L178" s="2491"/>
      <c r="M178" s="2491"/>
      <c r="N178" s="2491"/>
      <c r="O178" s="2491"/>
      <c r="P178" s="2491"/>
      <c r="Q178" s="2491"/>
      <c r="R178" s="2491"/>
      <c r="S178" s="637"/>
      <c r="T178" s="634"/>
      <c r="U178" s="556"/>
      <c r="V178" s="556"/>
      <c r="W178" s="557"/>
      <c r="X178" s="557"/>
      <c r="Y178" s="557"/>
      <c r="Z178" s="557"/>
      <c r="AA178" s="558"/>
      <c r="AB178" s="559"/>
      <c r="AC178" s="2494"/>
      <c r="AD178" s="560"/>
      <c r="AE178" s="561"/>
      <c r="AF178" s="561"/>
      <c r="AG178" s="562"/>
      <c r="AH178" s="563"/>
      <c r="AI178" s="556"/>
      <c r="AJ178" s="556"/>
      <c r="AK178" s="556"/>
      <c r="AL178" s="556"/>
      <c r="AM178" s="556"/>
      <c r="AN178" s="556"/>
      <c r="AO178" s="556"/>
      <c r="AP178" s="556"/>
      <c r="AQ178" s="556"/>
      <c r="AR178" s="556"/>
      <c r="AS178" s="556"/>
      <c r="AT178" s="556"/>
      <c r="AU178" s="556"/>
      <c r="AV178" s="556"/>
      <c r="AW178" s="556"/>
      <c r="AX178" s="556"/>
      <c r="AY178" s="556"/>
      <c r="AZ178" s="556"/>
      <c r="BA178" s="556"/>
      <c r="BB178" s="556"/>
      <c r="BC178" s="556"/>
      <c r="BD178" s="556"/>
      <c r="BE178" s="556"/>
      <c r="BF178" s="556"/>
      <c r="BG178" s="556"/>
      <c r="BH178" s="556"/>
      <c r="BI178" s="556"/>
      <c r="BJ178" s="556"/>
      <c r="BK178" s="556"/>
      <c r="BL178" s="556"/>
      <c r="BM178" s="556"/>
      <c r="BN178" s="556"/>
      <c r="BO178" s="556"/>
      <c r="BP178" s="556"/>
      <c r="BQ178" s="556"/>
      <c r="BR178" s="556"/>
      <c r="BS178" s="556"/>
      <c r="BT178" s="556"/>
      <c r="BU178" s="556"/>
      <c r="BV178" s="557"/>
      <c r="BW178" s="557"/>
      <c r="BX178" s="557"/>
      <c r="BY178" s="557"/>
      <c r="BZ178" s="557"/>
      <c r="CA178" s="557"/>
      <c r="CB178" s="557"/>
      <c r="CC178" s="557"/>
      <c r="CD178" s="557"/>
      <c r="CE178" s="557"/>
      <c r="CF178" s="1606"/>
    </row>
    <row r="179" spans="1:84" ht="24.75" hidden="1" customHeight="1">
      <c r="A179" s="1565"/>
      <c r="B179" s="961"/>
      <c r="C179" s="345"/>
      <c r="D179" s="2499"/>
      <c r="E179" s="2493" t="s">
        <v>705</v>
      </c>
      <c r="F179" s="2493"/>
      <c r="G179" s="2493"/>
      <c r="H179" s="2493"/>
      <c r="I179" s="2493"/>
      <c r="J179" s="2493"/>
      <c r="K179" s="2493"/>
      <c r="L179" s="2493"/>
      <c r="M179" s="2493"/>
      <c r="N179" s="2493"/>
      <c r="O179" s="2493"/>
      <c r="P179" s="2493"/>
      <c r="Q179" s="490">
        <f>SUMIF(T180:T181,"i",Q180:Q181)</f>
        <v>0</v>
      </c>
      <c r="R179" s="869"/>
      <c r="S179" s="1557" t="s">
        <v>706</v>
      </c>
      <c r="T179" s="635" t="s">
        <v>707</v>
      </c>
      <c r="U179" s="2399">
        <v>1</v>
      </c>
      <c r="V179" s="2399" t="str">
        <f>INDEX(B_FHD_FLAG_INDEX_1,1,MATCH(A176,B_FHD_FLAG_DIFFERENTIATION,0))</f>
        <v>отсутствует</v>
      </c>
      <c r="W179" s="961"/>
      <c r="X179" s="961"/>
      <c r="Y179" s="961"/>
      <c r="Z179" s="961"/>
      <c r="AA179" s="1424"/>
      <c r="AB179" s="961"/>
      <c r="AC179" s="2494"/>
      <c r="AD179" s="560"/>
      <c r="AE179" s="961"/>
      <c r="AF179" s="961"/>
      <c r="AG179" s="1424"/>
      <c r="AH179" s="1424"/>
      <c r="AI179" s="1424"/>
      <c r="AJ179" s="1424"/>
      <c r="AK179" s="1424"/>
      <c r="AL179" s="1424"/>
      <c r="AM179" s="1424"/>
      <c r="AN179" s="1424"/>
      <c r="AO179" s="1424"/>
      <c r="AP179" s="1424"/>
      <c r="AQ179" s="1424"/>
      <c r="AR179" s="1424"/>
      <c r="AS179" s="1424"/>
      <c r="AT179" s="1424"/>
      <c r="AU179" s="1424"/>
      <c r="AV179" s="1424"/>
      <c r="AW179" s="1424"/>
      <c r="AX179" s="1424"/>
      <c r="AY179" s="1424"/>
      <c r="AZ179" s="1424"/>
      <c r="BA179" s="1424"/>
      <c r="BB179" s="1424"/>
      <c r="BC179" s="1424"/>
      <c r="BD179" s="1424"/>
      <c r="BE179" s="1424"/>
      <c r="BF179" s="1424"/>
      <c r="BG179" s="1424"/>
      <c r="BH179" s="1424"/>
      <c r="BI179" s="1424"/>
      <c r="BJ179" s="1424"/>
      <c r="BK179" s="1424"/>
      <c r="BL179" s="1424"/>
      <c r="BM179" s="1424"/>
      <c r="BN179" s="1424"/>
      <c r="BO179" s="1424"/>
      <c r="BP179" s="1424"/>
      <c r="BQ179" s="1424"/>
      <c r="BR179" s="1424"/>
      <c r="BS179" s="1424"/>
      <c r="BT179" s="1424"/>
      <c r="BU179" s="1424"/>
      <c r="BV179" s="961"/>
      <c r="BW179" s="961"/>
      <c r="BX179" s="961"/>
      <c r="BY179" s="961"/>
      <c r="BZ179" s="961"/>
      <c r="CA179" s="961"/>
      <c r="CB179" s="961"/>
      <c r="CC179" s="961"/>
      <c r="CD179" s="961"/>
      <c r="CE179" s="961"/>
      <c r="CF179" s="1606"/>
    </row>
    <row r="180" spans="1:84" ht="11.25" hidden="1" customHeight="1">
      <c r="A180" s="1552"/>
      <c r="B180" s="1424"/>
      <c r="C180" s="1424"/>
      <c r="D180" s="2499"/>
      <c r="E180" s="566"/>
      <c r="F180" s="566">
        <v>0</v>
      </c>
      <c r="G180" s="566"/>
      <c r="H180" s="566"/>
      <c r="I180" s="566"/>
      <c r="J180" s="566"/>
      <c r="K180" s="566"/>
      <c r="L180" s="566"/>
      <c r="M180" s="566"/>
      <c r="N180" s="566"/>
      <c r="O180" s="566"/>
      <c r="P180" s="566"/>
      <c r="Q180" s="566"/>
      <c r="R180" s="566"/>
      <c r="S180" s="567"/>
      <c r="T180" s="636"/>
      <c r="U180" s="2399"/>
      <c r="V180" s="2399"/>
      <c r="W180" s="1424"/>
      <c r="X180" s="1424"/>
      <c r="Y180" s="1424"/>
      <c r="Z180" s="1424"/>
      <c r="AA180" s="1424"/>
      <c r="AB180" s="961"/>
      <c r="AC180" s="2494"/>
      <c r="AD180" s="560"/>
      <c r="AE180" s="961"/>
      <c r="AF180" s="961"/>
      <c r="AG180" s="1424"/>
      <c r="AH180" s="1424"/>
      <c r="AI180" s="1424"/>
      <c r="AJ180" s="1424"/>
      <c r="AK180" s="1424"/>
      <c r="AL180" s="1424"/>
      <c r="AM180" s="1424"/>
      <c r="AN180" s="1424"/>
      <c r="AO180" s="1424"/>
      <c r="AP180" s="1424"/>
      <c r="AQ180" s="1424"/>
      <c r="AR180" s="1424"/>
      <c r="AS180" s="1424"/>
      <c r="AT180" s="1424"/>
      <c r="AU180" s="1424"/>
      <c r="AV180" s="1424"/>
      <c r="AW180" s="1424"/>
      <c r="AX180" s="1424"/>
      <c r="AY180" s="1424"/>
      <c r="AZ180" s="1424"/>
      <c r="BA180" s="1424"/>
      <c r="BB180" s="1424"/>
      <c r="BC180" s="1424"/>
      <c r="BD180" s="1424"/>
      <c r="BE180" s="1424"/>
      <c r="BF180" s="1424"/>
      <c r="BG180" s="1424"/>
      <c r="BH180" s="1424"/>
      <c r="BI180" s="1424"/>
      <c r="BJ180" s="1424"/>
      <c r="BK180" s="1424"/>
      <c r="BL180" s="1424"/>
      <c r="BM180" s="1424"/>
      <c r="BN180" s="1424"/>
      <c r="BO180" s="1424"/>
      <c r="BP180" s="1424"/>
      <c r="BQ180" s="1424"/>
      <c r="BR180" s="1424"/>
      <c r="BS180" s="1424"/>
      <c r="BT180" s="1424"/>
      <c r="BU180" s="1424"/>
      <c r="BV180" s="1424"/>
      <c r="BW180" s="1424"/>
      <c r="BX180" s="1424"/>
      <c r="BY180" s="1424"/>
      <c r="BZ180" s="1424"/>
      <c r="CA180" s="1424"/>
      <c r="CB180" s="1424"/>
      <c r="CC180" s="1424"/>
      <c r="CD180" s="1424"/>
      <c r="CE180" s="1424"/>
      <c r="CF180" s="1606"/>
    </row>
    <row r="181" spans="1:84" ht="11.25" hidden="1" customHeight="1">
      <c r="A181" s="1565"/>
      <c r="B181" s="961"/>
      <c r="C181" s="345"/>
      <c r="D181" s="2499"/>
      <c r="E181" s="580" t="s">
        <v>9</v>
      </c>
      <c r="F181" s="969" t="s">
        <v>9</v>
      </c>
      <c r="G181" s="969" t="s">
        <v>710</v>
      </c>
      <c r="H181" s="582" t="s">
        <v>9</v>
      </c>
      <c r="I181" s="582"/>
      <c r="J181" s="582"/>
      <c r="K181" s="582"/>
      <c r="L181" s="582"/>
      <c r="M181" s="582"/>
      <c r="N181" s="582"/>
      <c r="O181" s="582"/>
      <c r="P181" s="582"/>
      <c r="Q181" s="582"/>
      <c r="R181" s="583"/>
      <c r="S181" s="584"/>
      <c r="T181" s="636"/>
      <c r="U181" s="2399"/>
      <c r="V181" s="2399"/>
      <c r="W181" s="961"/>
      <c r="X181" s="961"/>
      <c r="Y181" s="961"/>
      <c r="Z181" s="961"/>
      <c r="AA181" s="1424"/>
      <c r="AB181" s="961"/>
      <c r="AC181" s="2494"/>
      <c r="AD181" s="560"/>
      <c r="AE181" s="961"/>
      <c r="AF181" s="961"/>
      <c r="AG181" s="1424"/>
      <c r="AH181" s="1424"/>
      <c r="AI181" s="1424"/>
      <c r="AJ181" s="1424"/>
      <c r="AK181" s="1424"/>
      <c r="AL181" s="1424"/>
      <c r="AM181" s="1424"/>
      <c r="AN181" s="1424"/>
      <c r="AO181" s="1424"/>
      <c r="AP181" s="1424"/>
      <c r="AQ181" s="1424"/>
      <c r="AR181" s="1424"/>
      <c r="AS181" s="1424"/>
      <c r="AT181" s="1424"/>
      <c r="AU181" s="1424"/>
      <c r="AV181" s="1424"/>
      <c r="AW181" s="1424"/>
      <c r="AX181" s="1424"/>
      <c r="AY181" s="1424"/>
      <c r="AZ181" s="1424"/>
      <c r="BA181" s="1424"/>
      <c r="BB181" s="1424"/>
      <c r="BC181" s="1424"/>
      <c r="BD181" s="1424"/>
      <c r="BE181" s="1424"/>
      <c r="BF181" s="1424"/>
      <c r="BG181" s="1424"/>
      <c r="BH181" s="1424"/>
      <c r="BI181" s="1424"/>
      <c r="BJ181" s="1424"/>
      <c r="BK181" s="1424"/>
      <c r="BL181" s="1424"/>
      <c r="BM181" s="1424"/>
      <c r="BN181" s="1424"/>
      <c r="BO181" s="1424"/>
      <c r="BP181" s="1424"/>
      <c r="BQ181" s="1424"/>
      <c r="BR181" s="1424"/>
      <c r="BS181" s="1424"/>
      <c r="BT181" s="1424"/>
      <c r="BU181" s="1424"/>
      <c r="BV181" s="961"/>
      <c r="BW181" s="961"/>
      <c r="BX181" s="961"/>
      <c r="BY181" s="961"/>
      <c r="BZ181" s="961"/>
      <c r="CA181" s="961"/>
      <c r="CB181" s="961"/>
      <c r="CC181" s="961"/>
      <c r="CD181" s="961"/>
      <c r="CE181" s="961"/>
      <c r="CF181" s="1606"/>
    </row>
    <row r="182" spans="1:84" ht="5.25" hidden="1" customHeight="1">
      <c r="A182" s="1552"/>
      <c r="B182" s="1424"/>
      <c r="C182" s="1424"/>
      <c r="D182" s="2499"/>
      <c r="E182" s="878"/>
      <c r="F182" s="878"/>
      <c r="G182" s="878"/>
      <c r="H182" s="878"/>
      <c r="I182" s="878"/>
      <c r="J182" s="878"/>
      <c r="K182" s="878"/>
      <c r="L182" s="878"/>
      <c r="M182" s="878"/>
      <c r="N182" s="878"/>
      <c r="O182" s="878"/>
      <c r="P182" s="878"/>
      <c r="Q182" s="879"/>
      <c r="R182" s="880"/>
      <c r="S182" s="881"/>
      <c r="T182" s="635" t="s">
        <v>707</v>
      </c>
      <c r="U182" s="2399">
        <v>1</v>
      </c>
      <c r="V182" s="2399" t="s">
        <v>664</v>
      </c>
      <c r="W182" s="1424"/>
      <c r="X182" s="1424"/>
      <c r="Y182" s="1424"/>
      <c r="Z182" s="1424"/>
      <c r="AA182" s="1424"/>
      <c r="AB182" s="1424"/>
      <c r="AC182" s="876"/>
      <c r="AD182" s="877"/>
      <c r="AE182" s="1424"/>
      <c r="AF182" s="1424"/>
      <c r="AG182" s="1424"/>
      <c r="AH182" s="1424"/>
      <c r="AI182" s="1424"/>
      <c r="AJ182" s="1424"/>
      <c r="AK182" s="1424"/>
      <c r="AL182" s="1424"/>
      <c r="AM182" s="1424"/>
      <c r="AN182" s="1424"/>
      <c r="AO182" s="1424"/>
      <c r="AP182" s="1424"/>
      <c r="AQ182" s="1424"/>
      <c r="AR182" s="1424"/>
      <c r="AS182" s="1424"/>
      <c r="AT182" s="1424"/>
      <c r="AU182" s="1424"/>
      <c r="AV182" s="1424"/>
      <c r="AW182" s="1424"/>
      <c r="AX182" s="1424"/>
      <c r="AY182" s="1424"/>
      <c r="AZ182" s="1424"/>
      <c r="BA182" s="1424"/>
      <c r="BB182" s="1424"/>
      <c r="BC182" s="1424"/>
      <c r="BD182" s="1424"/>
      <c r="BE182" s="1424"/>
      <c r="BF182" s="1424"/>
      <c r="BG182" s="1424"/>
      <c r="BH182" s="1424"/>
      <c r="BI182" s="1424"/>
      <c r="BJ182" s="1424"/>
      <c r="BK182" s="1424"/>
      <c r="BL182" s="1424"/>
      <c r="BM182" s="1424"/>
      <c r="BN182" s="1424"/>
      <c r="BO182" s="1424"/>
      <c r="BP182" s="1424"/>
      <c r="BQ182" s="1424"/>
      <c r="BR182" s="1424"/>
      <c r="BS182" s="1424"/>
      <c r="BT182" s="1424"/>
      <c r="BU182" s="1424"/>
      <c r="BV182" s="1424"/>
      <c r="BW182" s="1424"/>
      <c r="BX182" s="1424"/>
      <c r="BY182" s="1424"/>
      <c r="BZ182" s="1424"/>
      <c r="CA182" s="1424"/>
      <c r="CB182" s="1424"/>
      <c r="CC182" s="1424"/>
      <c r="CD182" s="1424"/>
      <c r="CE182" s="1424"/>
      <c r="CF182" s="1104"/>
    </row>
    <row r="183" spans="1:84" ht="5.25" hidden="1" customHeight="1">
      <c r="A183" s="1552"/>
      <c r="B183" s="1424"/>
      <c r="C183" s="1424"/>
      <c r="D183" s="2499"/>
      <c r="E183" s="566"/>
      <c r="F183" s="566"/>
      <c r="G183" s="566"/>
      <c r="H183" s="566"/>
      <c r="I183" s="566"/>
      <c r="J183" s="566"/>
      <c r="K183" s="566"/>
      <c r="L183" s="566"/>
      <c r="M183" s="566"/>
      <c r="N183" s="566"/>
      <c r="O183" s="566"/>
      <c r="P183" s="566"/>
      <c r="Q183" s="566"/>
      <c r="R183" s="566"/>
      <c r="S183" s="567"/>
      <c r="T183" s="636"/>
      <c r="U183" s="2399"/>
      <c r="V183" s="2399"/>
      <c r="W183" s="1424"/>
      <c r="X183" s="1424"/>
      <c r="Y183" s="1424"/>
      <c r="Z183" s="1424"/>
      <c r="AA183" s="1424"/>
      <c r="AB183" s="1424"/>
      <c r="AC183" s="876"/>
      <c r="AD183" s="877"/>
      <c r="AE183" s="1424"/>
      <c r="AF183" s="1424"/>
      <c r="AG183" s="1424"/>
      <c r="AH183" s="1424"/>
      <c r="AI183" s="1424"/>
      <c r="AJ183" s="1424"/>
      <c r="AK183" s="1424"/>
      <c r="AL183" s="1424"/>
      <c r="AM183" s="1424"/>
      <c r="AN183" s="1424"/>
      <c r="AO183" s="1424"/>
      <c r="AP183" s="1424"/>
      <c r="AQ183" s="1424"/>
      <c r="AR183" s="1424"/>
      <c r="AS183" s="1424"/>
      <c r="AT183" s="1424"/>
      <c r="AU183" s="1424"/>
      <c r="AV183" s="1424"/>
      <c r="AW183" s="1424"/>
      <c r="AX183" s="1424"/>
      <c r="AY183" s="1424"/>
      <c r="AZ183" s="1424"/>
      <c r="BA183" s="1424"/>
      <c r="BB183" s="1424"/>
      <c r="BC183" s="1424"/>
      <c r="BD183" s="1424"/>
      <c r="BE183" s="1424"/>
      <c r="BF183" s="1424"/>
      <c r="BG183" s="1424"/>
      <c r="BH183" s="1424"/>
      <c r="BI183" s="1424"/>
      <c r="BJ183" s="1424"/>
      <c r="BK183" s="1424"/>
      <c r="BL183" s="1424"/>
      <c r="BM183" s="1424"/>
      <c r="BN183" s="1424"/>
      <c r="BO183" s="1424"/>
      <c r="BP183" s="1424"/>
      <c r="BQ183" s="1424"/>
      <c r="BR183" s="1424"/>
      <c r="BS183" s="1424"/>
      <c r="BT183" s="1424"/>
      <c r="BU183" s="1424"/>
      <c r="BV183" s="1424"/>
      <c r="BW183" s="1424"/>
      <c r="BX183" s="1424"/>
      <c r="BY183" s="1424"/>
      <c r="BZ183" s="1424"/>
      <c r="CA183" s="1424"/>
      <c r="CB183" s="1424"/>
      <c r="CC183" s="1424"/>
      <c r="CD183" s="1424"/>
      <c r="CE183" s="1424"/>
      <c r="CF183" s="1104"/>
    </row>
    <row r="184" spans="1:84" ht="5.25" hidden="1" customHeight="1">
      <c r="A184" s="1552"/>
      <c r="B184" s="1424"/>
      <c r="C184" s="1424"/>
      <c r="D184" s="2500"/>
      <c r="E184" s="882"/>
      <c r="F184" s="883"/>
      <c r="G184" s="883"/>
      <c r="H184" s="884"/>
      <c r="I184" s="884"/>
      <c r="J184" s="884"/>
      <c r="K184" s="884"/>
      <c r="L184" s="884"/>
      <c r="M184" s="884"/>
      <c r="N184" s="884"/>
      <c r="O184" s="884"/>
      <c r="P184" s="884"/>
      <c r="Q184" s="884"/>
      <c r="R184" s="806"/>
      <c r="S184" s="885"/>
      <c r="T184" s="636"/>
      <c r="U184" s="2399"/>
      <c r="V184" s="2399"/>
      <c r="W184" s="1424"/>
      <c r="X184" s="1424"/>
      <c r="Y184" s="1424"/>
      <c r="Z184" s="1424"/>
      <c r="AA184" s="1424"/>
      <c r="AB184" s="1424"/>
      <c r="AC184" s="876"/>
      <c r="AD184" s="877"/>
      <c r="AE184" s="1424"/>
      <c r="AF184" s="1424"/>
      <c r="AG184" s="1424"/>
      <c r="AH184" s="1424"/>
      <c r="AI184" s="1424"/>
      <c r="AJ184" s="1424"/>
      <c r="AK184" s="1424"/>
      <c r="AL184" s="1424"/>
      <c r="AM184" s="1424"/>
      <c r="AN184" s="1424"/>
      <c r="AO184" s="1424"/>
      <c r="AP184" s="1424"/>
      <c r="AQ184" s="1424"/>
      <c r="AR184" s="1424"/>
      <c r="AS184" s="1424"/>
      <c r="AT184" s="1424"/>
      <c r="AU184" s="1424"/>
      <c r="AV184" s="1424"/>
      <c r="AW184" s="1424"/>
      <c r="AX184" s="1424"/>
      <c r="AY184" s="1424"/>
      <c r="AZ184" s="1424"/>
      <c r="BA184" s="1424"/>
      <c r="BB184" s="1424"/>
      <c r="BC184" s="1424"/>
      <c r="BD184" s="1424"/>
      <c r="BE184" s="1424"/>
      <c r="BF184" s="1424"/>
      <c r="BG184" s="1424"/>
      <c r="BH184" s="1424"/>
      <c r="BI184" s="1424"/>
      <c r="BJ184" s="1424"/>
      <c r="BK184" s="1424"/>
      <c r="BL184" s="1424"/>
      <c r="BM184" s="1424"/>
      <c r="BN184" s="1424"/>
      <c r="BO184" s="1424"/>
      <c r="BP184" s="1424"/>
      <c r="BQ184" s="1424"/>
      <c r="BR184" s="1424"/>
      <c r="BS184" s="1424"/>
      <c r="BT184" s="1424"/>
      <c r="BU184" s="1424"/>
      <c r="BV184" s="1424"/>
      <c r="BW184" s="1424"/>
      <c r="BX184" s="1424"/>
      <c r="BY184" s="1424"/>
      <c r="BZ184" s="1424"/>
      <c r="CA184" s="1424"/>
      <c r="CB184" s="1424"/>
      <c r="CC184" s="1424"/>
      <c r="CD184" s="1424"/>
      <c r="CE184" s="1424"/>
      <c r="CF184" s="1104"/>
    </row>
    <row r="185" spans="1:84" ht="15" hidden="1" customHeight="1">
      <c r="A185" s="554" t="s">
        <v>208</v>
      </c>
      <c r="B185" s="555"/>
      <c r="C185" s="555" t="s">
        <v>9</v>
      </c>
      <c r="D185" s="2498" t="s">
        <v>728</v>
      </c>
      <c r="E185" s="2495" t="s">
        <v>157</v>
      </c>
      <c r="F185" s="2496"/>
      <c r="G185" s="2497"/>
      <c r="H185" s="2491" t="str">
        <f>IF(A185="","",INDEX(DIFFERENTIATION_UNMERGE_VD,MATCH(A185,DIFFERENTIATION_ID_DIFF,0)))</f>
        <v>Производство тепловой энергии. Некомбинированная выработка; Передача. Тепловая энергия; Сбыт. Тепловая энергия</v>
      </c>
      <c r="I185" s="2491"/>
      <c r="J185" s="2491"/>
      <c r="K185" s="2491"/>
      <c r="L185" s="2491"/>
      <c r="M185" s="2491"/>
      <c r="N185" s="2491"/>
      <c r="O185" s="2491"/>
      <c r="P185" s="2491"/>
      <c r="Q185" s="2491"/>
      <c r="R185" s="2491"/>
      <c r="S185" s="637"/>
      <c r="T185" s="634"/>
      <c r="U185" s="556"/>
      <c r="V185" s="556"/>
      <c r="W185" s="557"/>
      <c r="X185" s="557"/>
      <c r="Y185" s="557"/>
      <c r="Z185" s="557"/>
      <c r="AA185" s="558"/>
      <c r="AB185" s="559"/>
      <c r="AC185" s="2494"/>
      <c r="AD185" s="560"/>
      <c r="AE185" s="561" t="s">
        <v>9</v>
      </c>
      <c r="AF185" s="561"/>
      <c r="AG185" s="562" t="s">
        <v>704</v>
      </c>
      <c r="AH185" s="563">
        <v>3</v>
      </c>
      <c r="AI185" s="556"/>
      <c r="AJ185" s="556"/>
      <c r="AK185" s="556"/>
      <c r="AL185" s="556"/>
      <c r="AM185" s="556"/>
      <c r="AN185" s="556"/>
      <c r="AO185" s="556"/>
      <c r="AP185" s="556"/>
      <c r="AQ185" s="556"/>
      <c r="AR185" s="556"/>
      <c r="AS185" s="556"/>
      <c r="AT185" s="556"/>
      <c r="AU185" s="556"/>
      <c r="AV185" s="556"/>
      <c r="AW185" s="556"/>
      <c r="AX185" s="556"/>
      <c r="AY185" s="556"/>
      <c r="AZ185" s="556"/>
      <c r="BA185" s="556"/>
      <c r="BB185" s="556"/>
      <c r="BC185" s="556"/>
      <c r="BD185" s="556"/>
      <c r="BE185" s="556"/>
      <c r="BF185" s="556"/>
      <c r="BG185" s="556"/>
      <c r="BH185" s="556"/>
      <c r="BI185" s="556"/>
      <c r="BJ185" s="556"/>
      <c r="BK185" s="556"/>
      <c r="BL185" s="556"/>
      <c r="BM185" s="556"/>
      <c r="BN185" s="556"/>
      <c r="BO185" s="556"/>
      <c r="BP185" s="556"/>
      <c r="BQ185" s="556"/>
      <c r="BR185" s="556"/>
      <c r="BS185" s="556"/>
      <c r="BT185" s="556"/>
      <c r="BU185" s="556"/>
      <c r="BV185" s="557"/>
      <c r="BW185" s="557"/>
      <c r="BX185" s="557"/>
      <c r="BY185" s="557"/>
      <c r="BZ185" s="557"/>
      <c r="CA185" s="557"/>
      <c r="CB185" s="557"/>
      <c r="CC185" s="557"/>
      <c r="CD185" s="557"/>
      <c r="CE185" s="557"/>
      <c r="CF185" s="1606"/>
    </row>
    <row r="186" spans="1:84" ht="15" hidden="1" customHeight="1">
      <c r="A186" s="554"/>
      <c r="B186" s="555"/>
      <c r="C186" s="555"/>
      <c r="D186" s="2499"/>
      <c r="E186" s="2495" t="s">
        <v>648</v>
      </c>
      <c r="F186" s="2496"/>
      <c r="G186" s="2497"/>
      <c r="H186" s="2491" t="str">
        <f>IF(A185="","",INDEX(DIFFERENTIATION_UNMERGE_AREA,MATCH(A185,DIFFERENTIATION_ID_DIFF,0)))</f>
        <v>Территория 13</v>
      </c>
      <c r="I186" s="2491"/>
      <c r="J186" s="2491"/>
      <c r="K186" s="2491"/>
      <c r="L186" s="2491"/>
      <c r="M186" s="2491"/>
      <c r="N186" s="2491"/>
      <c r="O186" s="2491"/>
      <c r="P186" s="2491"/>
      <c r="Q186" s="2491"/>
      <c r="R186" s="2491"/>
      <c r="S186" s="637"/>
      <c r="T186" s="634"/>
      <c r="U186" s="556"/>
      <c r="V186" s="556"/>
      <c r="W186" s="557"/>
      <c r="X186" s="557"/>
      <c r="Y186" s="557"/>
      <c r="Z186" s="557"/>
      <c r="AA186" s="558"/>
      <c r="AB186" s="559"/>
      <c r="AC186" s="2494"/>
      <c r="AD186" s="560"/>
      <c r="AE186" s="561"/>
      <c r="AF186" s="561"/>
      <c r="AG186" s="562"/>
      <c r="AH186" s="563"/>
      <c r="AI186" s="556"/>
      <c r="AJ186" s="556"/>
      <c r="AK186" s="556"/>
      <c r="AL186" s="556"/>
      <c r="AM186" s="556"/>
      <c r="AN186" s="556"/>
      <c r="AO186" s="556"/>
      <c r="AP186" s="556"/>
      <c r="AQ186" s="556"/>
      <c r="AR186" s="556"/>
      <c r="AS186" s="556"/>
      <c r="AT186" s="556"/>
      <c r="AU186" s="556"/>
      <c r="AV186" s="556"/>
      <c r="AW186" s="556"/>
      <c r="AX186" s="556"/>
      <c r="AY186" s="556"/>
      <c r="AZ186" s="556"/>
      <c r="BA186" s="556"/>
      <c r="BB186" s="556"/>
      <c r="BC186" s="556"/>
      <c r="BD186" s="556"/>
      <c r="BE186" s="556"/>
      <c r="BF186" s="556"/>
      <c r="BG186" s="556"/>
      <c r="BH186" s="556"/>
      <c r="BI186" s="556"/>
      <c r="BJ186" s="556"/>
      <c r="BK186" s="556"/>
      <c r="BL186" s="556"/>
      <c r="BM186" s="556"/>
      <c r="BN186" s="556"/>
      <c r="BO186" s="556"/>
      <c r="BP186" s="556"/>
      <c r="BQ186" s="556"/>
      <c r="BR186" s="556"/>
      <c r="BS186" s="556"/>
      <c r="BT186" s="556"/>
      <c r="BU186" s="556"/>
      <c r="BV186" s="557"/>
      <c r="BW186" s="557"/>
      <c r="BX186" s="557"/>
      <c r="BY186" s="557"/>
      <c r="BZ186" s="557"/>
      <c r="CA186" s="557"/>
      <c r="CB186" s="557"/>
      <c r="CC186" s="557"/>
      <c r="CD186" s="557"/>
      <c r="CE186" s="557"/>
      <c r="CF186" s="1606"/>
    </row>
    <row r="187" spans="1:84" ht="15" hidden="1" customHeight="1">
      <c r="A187" s="554"/>
      <c r="B187" s="555"/>
      <c r="C187" s="555"/>
      <c r="D187" s="2499"/>
      <c r="E187" s="2495" t="s">
        <v>649</v>
      </c>
      <c r="F187" s="2496"/>
      <c r="G187" s="2497"/>
      <c r="H187" s="2491" t="str">
        <f>IF(A185="","",INDEX(DIFFERENTIATION_UNMERGE_SYSTEM,MATCH(A185,DIFFERENTIATION_ID_DIFF,0)))</f>
        <v>котельная с. Талашкино</v>
      </c>
      <c r="I187" s="2491"/>
      <c r="J187" s="2491"/>
      <c r="K187" s="2491"/>
      <c r="L187" s="2491"/>
      <c r="M187" s="2491"/>
      <c r="N187" s="2491"/>
      <c r="O187" s="2491"/>
      <c r="P187" s="2491"/>
      <c r="Q187" s="2491"/>
      <c r="R187" s="2491"/>
      <c r="S187" s="637"/>
      <c r="T187" s="634"/>
      <c r="U187" s="556"/>
      <c r="V187" s="556"/>
      <c r="W187" s="557"/>
      <c r="X187" s="557"/>
      <c r="Y187" s="557"/>
      <c r="Z187" s="557"/>
      <c r="AA187" s="558"/>
      <c r="AB187" s="559"/>
      <c r="AC187" s="2494"/>
      <c r="AD187" s="560"/>
      <c r="AE187" s="561"/>
      <c r="AF187" s="561"/>
      <c r="AG187" s="562"/>
      <c r="AH187" s="563"/>
      <c r="AI187" s="556"/>
      <c r="AJ187" s="556"/>
      <c r="AK187" s="556"/>
      <c r="AL187" s="556"/>
      <c r="AM187" s="556"/>
      <c r="AN187" s="556"/>
      <c r="AO187" s="556"/>
      <c r="AP187" s="556"/>
      <c r="AQ187" s="556"/>
      <c r="AR187" s="556"/>
      <c r="AS187" s="556"/>
      <c r="AT187" s="556"/>
      <c r="AU187" s="556"/>
      <c r="AV187" s="556"/>
      <c r="AW187" s="556"/>
      <c r="AX187" s="556"/>
      <c r="AY187" s="556"/>
      <c r="AZ187" s="556"/>
      <c r="BA187" s="556"/>
      <c r="BB187" s="556"/>
      <c r="BC187" s="556"/>
      <c r="BD187" s="556"/>
      <c r="BE187" s="556"/>
      <c r="BF187" s="556"/>
      <c r="BG187" s="556"/>
      <c r="BH187" s="556"/>
      <c r="BI187" s="556"/>
      <c r="BJ187" s="556"/>
      <c r="BK187" s="556"/>
      <c r="BL187" s="556"/>
      <c r="BM187" s="556"/>
      <c r="BN187" s="556"/>
      <c r="BO187" s="556"/>
      <c r="BP187" s="556"/>
      <c r="BQ187" s="556"/>
      <c r="BR187" s="556"/>
      <c r="BS187" s="556"/>
      <c r="BT187" s="556"/>
      <c r="BU187" s="556"/>
      <c r="BV187" s="557"/>
      <c r="BW187" s="557"/>
      <c r="BX187" s="557"/>
      <c r="BY187" s="557"/>
      <c r="BZ187" s="557"/>
      <c r="CA187" s="557"/>
      <c r="CB187" s="557"/>
      <c r="CC187" s="557"/>
      <c r="CD187" s="557"/>
      <c r="CE187" s="557"/>
      <c r="CF187" s="1606"/>
    </row>
    <row r="188" spans="1:84" ht="24.75" hidden="1" customHeight="1">
      <c r="A188" s="1565"/>
      <c r="B188" s="961"/>
      <c r="C188" s="345"/>
      <c r="D188" s="2499"/>
      <c r="E188" s="2493" t="s">
        <v>705</v>
      </c>
      <c r="F188" s="2493"/>
      <c r="G188" s="2493"/>
      <c r="H188" s="2493"/>
      <c r="I188" s="2493"/>
      <c r="J188" s="2493"/>
      <c r="K188" s="2493"/>
      <c r="L188" s="2493"/>
      <c r="M188" s="2493"/>
      <c r="N188" s="2493"/>
      <c r="O188" s="2493"/>
      <c r="P188" s="2493"/>
      <c r="Q188" s="490">
        <f>SUMIF(T189:T190,"i",Q189:Q190)</f>
        <v>0</v>
      </c>
      <c r="R188" s="869"/>
      <c r="S188" s="1557" t="s">
        <v>706</v>
      </c>
      <c r="T188" s="635" t="s">
        <v>707</v>
      </c>
      <c r="U188" s="2399">
        <v>1</v>
      </c>
      <c r="V188" s="2399" t="str">
        <f>INDEX(B_FHD_FLAG_INDEX_1,1,MATCH(A185,B_FHD_FLAG_DIFFERENTIATION,0))</f>
        <v>отсутствует</v>
      </c>
      <c r="W188" s="961"/>
      <c r="X188" s="961"/>
      <c r="Y188" s="961"/>
      <c r="Z188" s="961"/>
      <c r="AA188" s="1424"/>
      <c r="AB188" s="961"/>
      <c r="AC188" s="2494"/>
      <c r="AD188" s="560"/>
      <c r="AE188" s="961"/>
      <c r="AF188" s="961"/>
      <c r="AG188" s="1424"/>
      <c r="AH188" s="1424"/>
      <c r="AI188" s="1424"/>
      <c r="AJ188" s="1424"/>
      <c r="AK188" s="1424"/>
      <c r="AL188" s="1424"/>
      <c r="AM188" s="1424"/>
      <c r="AN188" s="1424"/>
      <c r="AO188" s="1424"/>
      <c r="AP188" s="1424"/>
      <c r="AQ188" s="1424"/>
      <c r="AR188" s="1424"/>
      <c r="AS188" s="1424"/>
      <c r="AT188" s="1424"/>
      <c r="AU188" s="1424"/>
      <c r="AV188" s="1424"/>
      <c r="AW188" s="1424"/>
      <c r="AX188" s="1424"/>
      <c r="AY188" s="1424"/>
      <c r="AZ188" s="1424"/>
      <c r="BA188" s="1424"/>
      <c r="BB188" s="1424"/>
      <c r="BC188" s="1424"/>
      <c r="BD188" s="1424"/>
      <c r="BE188" s="1424"/>
      <c r="BF188" s="1424"/>
      <c r="BG188" s="1424"/>
      <c r="BH188" s="1424"/>
      <c r="BI188" s="1424"/>
      <c r="BJ188" s="1424"/>
      <c r="BK188" s="1424"/>
      <c r="BL188" s="1424"/>
      <c r="BM188" s="1424"/>
      <c r="BN188" s="1424"/>
      <c r="BO188" s="1424"/>
      <c r="BP188" s="1424"/>
      <c r="BQ188" s="1424"/>
      <c r="BR188" s="1424"/>
      <c r="BS188" s="1424"/>
      <c r="BT188" s="1424"/>
      <c r="BU188" s="1424"/>
      <c r="BV188" s="961"/>
      <c r="BW188" s="961"/>
      <c r="BX188" s="961"/>
      <c r="BY188" s="961"/>
      <c r="BZ188" s="961"/>
      <c r="CA188" s="961"/>
      <c r="CB188" s="961"/>
      <c r="CC188" s="961"/>
      <c r="CD188" s="961"/>
      <c r="CE188" s="961"/>
      <c r="CF188" s="1606"/>
    </row>
    <row r="189" spans="1:84" ht="11.25" hidden="1" customHeight="1">
      <c r="A189" s="1552"/>
      <c r="B189" s="1424"/>
      <c r="C189" s="1424"/>
      <c r="D189" s="2499"/>
      <c r="E189" s="566"/>
      <c r="F189" s="566">
        <v>0</v>
      </c>
      <c r="G189" s="566"/>
      <c r="H189" s="566"/>
      <c r="I189" s="566"/>
      <c r="J189" s="566"/>
      <c r="K189" s="566"/>
      <c r="L189" s="566"/>
      <c r="M189" s="566"/>
      <c r="N189" s="566"/>
      <c r="O189" s="566"/>
      <c r="P189" s="566"/>
      <c r="Q189" s="566"/>
      <c r="R189" s="566"/>
      <c r="S189" s="567"/>
      <c r="T189" s="636"/>
      <c r="U189" s="2399"/>
      <c r="V189" s="2399"/>
      <c r="W189" s="1424"/>
      <c r="X189" s="1424"/>
      <c r="Y189" s="1424"/>
      <c r="Z189" s="1424"/>
      <c r="AA189" s="1424"/>
      <c r="AB189" s="961"/>
      <c r="AC189" s="2494"/>
      <c r="AD189" s="560"/>
      <c r="AE189" s="961"/>
      <c r="AF189" s="961"/>
      <c r="AG189" s="1424"/>
      <c r="AH189" s="1424"/>
      <c r="AI189" s="1424"/>
      <c r="AJ189" s="1424"/>
      <c r="AK189" s="1424"/>
      <c r="AL189" s="1424"/>
      <c r="AM189" s="1424"/>
      <c r="AN189" s="1424"/>
      <c r="AO189" s="1424"/>
      <c r="AP189" s="1424"/>
      <c r="AQ189" s="1424"/>
      <c r="AR189" s="1424"/>
      <c r="AS189" s="1424"/>
      <c r="AT189" s="1424"/>
      <c r="AU189" s="1424"/>
      <c r="AV189" s="1424"/>
      <c r="AW189" s="1424"/>
      <c r="AX189" s="1424"/>
      <c r="AY189" s="1424"/>
      <c r="AZ189" s="1424"/>
      <c r="BA189" s="1424"/>
      <c r="BB189" s="1424"/>
      <c r="BC189" s="1424"/>
      <c r="BD189" s="1424"/>
      <c r="BE189" s="1424"/>
      <c r="BF189" s="1424"/>
      <c r="BG189" s="1424"/>
      <c r="BH189" s="1424"/>
      <c r="BI189" s="1424"/>
      <c r="BJ189" s="1424"/>
      <c r="BK189" s="1424"/>
      <c r="BL189" s="1424"/>
      <c r="BM189" s="1424"/>
      <c r="BN189" s="1424"/>
      <c r="BO189" s="1424"/>
      <c r="BP189" s="1424"/>
      <c r="BQ189" s="1424"/>
      <c r="BR189" s="1424"/>
      <c r="BS189" s="1424"/>
      <c r="BT189" s="1424"/>
      <c r="BU189" s="1424"/>
      <c r="BV189" s="1424"/>
      <c r="BW189" s="1424"/>
      <c r="BX189" s="1424"/>
      <c r="BY189" s="1424"/>
      <c r="BZ189" s="1424"/>
      <c r="CA189" s="1424"/>
      <c r="CB189" s="1424"/>
      <c r="CC189" s="1424"/>
      <c r="CD189" s="1424"/>
      <c r="CE189" s="1424"/>
      <c r="CF189" s="1606"/>
    </row>
    <row r="190" spans="1:84" ht="11.25" hidden="1" customHeight="1">
      <c r="A190" s="1565"/>
      <c r="B190" s="961"/>
      <c r="C190" s="345"/>
      <c r="D190" s="2499"/>
      <c r="E190" s="580" t="s">
        <v>9</v>
      </c>
      <c r="F190" s="969" t="s">
        <v>9</v>
      </c>
      <c r="G190" s="969" t="s">
        <v>710</v>
      </c>
      <c r="H190" s="582" t="s">
        <v>9</v>
      </c>
      <c r="I190" s="582"/>
      <c r="J190" s="582"/>
      <c r="K190" s="582"/>
      <c r="L190" s="582"/>
      <c r="M190" s="582"/>
      <c r="N190" s="582"/>
      <c r="O190" s="582"/>
      <c r="P190" s="582"/>
      <c r="Q190" s="582"/>
      <c r="R190" s="583"/>
      <c r="S190" s="584"/>
      <c r="T190" s="636"/>
      <c r="U190" s="2399"/>
      <c r="V190" s="2399"/>
      <c r="W190" s="961"/>
      <c r="X190" s="961"/>
      <c r="Y190" s="961"/>
      <c r="Z190" s="961"/>
      <c r="AA190" s="1424"/>
      <c r="AB190" s="961"/>
      <c r="AC190" s="2494"/>
      <c r="AD190" s="560"/>
      <c r="AE190" s="961"/>
      <c r="AF190" s="961"/>
      <c r="AG190" s="1424"/>
      <c r="AH190" s="1424"/>
      <c r="AI190" s="1424"/>
      <c r="AJ190" s="1424"/>
      <c r="AK190" s="1424"/>
      <c r="AL190" s="1424"/>
      <c r="AM190" s="1424"/>
      <c r="AN190" s="1424"/>
      <c r="AO190" s="1424"/>
      <c r="AP190" s="1424"/>
      <c r="AQ190" s="1424"/>
      <c r="AR190" s="1424"/>
      <c r="AS190" s="1424"/>
      <c r="AT190" s="1424"/>
      <c r="AU190" s="1424"/>
      <c r="AV190" s="1424"/>
      <c r="AW190" s="1424"/>
      <c r="AX190" s="1424"/>
      <c r="AY190" s="1424"/>
      <c r="AZ190" s="1424"/>
      <c r="BA190" s="1424"/>
      <c r="BB190" s="1424"/>
      <c r="BC190" s="1424"/>
      <c r="BD190" s="1424"/>
      <c r="BE190" s="1424"/>
      <c r="BF190" s="1424"/>
      <c r="BG190" s="1424"/>
      <c r="BH190" s="1424"/>
      <c r="BI190" s="1424"/>
      <c r="BJ190" s="1424"/>
      <c r="BK190" s="1424"/>
      <c r="BL190" s="1424"/>
      <c r="BM190" s="1424"/>
      <c r="BN190" s="1424"/>
      <c r="BO190" s="1424"/>
      <c r="BP190" s="1424"/>
      <c r="BQ190" s="1424"/>
      <c r="BR190" s="1424"/>
      <c r="BS190" s="1424"/>
      <c r="BT190" s="1424"/>
      <c r="BU190" s="1424"/>
      <c r="BV190" s="961"/>
      <c r="BW190" s="961"/>
      <c r="BX190" s="961"/>
      <c r="BY190" s="961"/>
      <c r="BZ190" s="961"/>
      <c r="CA190" s="961"/>
      <c r="CB190" s="961"/>
      <c r="CC190" s="961"/>
      <c r="CD190" s="961"/>
      <c r="CE190" s="961"/>
      <c r="CF190" s="1606"/>
    </row>
    <row r="191" spans="1:84" ht="5.25" hidden="1" customHeight="1">
      <c r="A191" s="1552"/>
      <c r="B191" s="1424"/>
      <c r="C191" s="1424"/>
      <c r="D191" s="2499"/>
      <c r="E191" s="878"/>
      <c r="F191" s="878"/>
      <c r="G191" s="878"/>
      <c r="H191" s="878"/>
      <c r="I191" s="878"/>
      <c r="J191" s="878"/>
      <c r="K191" s="878"/>
      <c r="L191" s="878"/>
      <c r="M191" s="878"/>
      <c r="N191" s="878"/>
      <c r="O191" s="878"/>
      <c r="P191" s="878"/>
      <c r="Q191" s="879"/>
      <c r="R191" s="880"/>
      <c r="S191" s="881"/>
      <c r="T191" s="635" t="s">
        <v>707</v>
      </c>
      <c r="U191" s="2399">
        <v>1</v>
      </c>
      <c r="V191" s="2399" t="s">
        <v>664</v>
      </c>
      <c r="W191" s="1424"/>
      <c r="X191" s="1424"/>
      <c r="Y191" s="1424"/>
      <c r="Z191" s="1424"/>
      <c r="AA191" s="1424"/>
      <c r="AB191" s="1424"/>
      <c r="AC191" s="876"/>
      <c r="AD191" s="877"/>
      <c r="AE191" s="1424"/>
      <c r="AF191" s="1424"/>
      <c r="AG191" s="1424"/>
      <c r="AH191" s="1424"/>
      <c r="AI191" s="1424"/>
      <c r="AJ191" s="1424"/>
      <c r="AK191" s="1424"/>
      <c r="AL191" s="1424"/>
      <c r="AM191" s="1424"/>
      <c r="AN191" s="1424"/>
      <c r="AO191" s="1424"/>
      <c r="AP191" s="1424"/>
      <c r="AQ191" s="1424"/>
      <c r="AR191" s="1424"/>
      <c r="AS191" s="1424"/>
      <c r="AT191" s="1424"/>
      <c r="AU191" s="1424"/>
      <c r="AV191" s="1424"/>
      <c r="AW191" s="1424"/>
      <c r="AX191" s="1424"/>
      <c r="AY191" s="1424"/>
      <c r="AZ191" s="1424"/>
      <c r="BA191" s="1424"/>
      <c r="BB191" s="1424"/>
      <c r="BC191" s="1424"/>
      <c r="BD191" s="1424"/>
      <c r="BE191" s="1424"/>
      <c r="BF191" s="1424"/>
      <c r="BG191" s="1424"/>
      <c r="BH191" s="1424"/>
      <c r="BI191" s="1424"/>
      <c r="BJ191" s="1424"/>
      <c r="BK191" s="1424"/>
      <c r="BL191" s="1424"/>
      <c r="BM191" s="1424"/>
      <c r="BN191" s="1424"/>
      <c r="BO191" s="1424"/>
      <c r="BP191" s="1424"/>
      <c r="BQ191" s="1424"/>
      <c r="BR191" s="1424"/>
      <c r="BS191" s="1424"/>
      <c r="BT191" s="1424"/>
      <c r="BU191" s="1424"/>
      <c r="BV191" s="1424"/>
      <c r="BW191" s="1424"/>
      <c r="BX191" s="1424"/>
      <c r="BY191" s="1424"/>
      <c r="BZ191" s="1424"/>
      <c r="CA191" s="1424"/>
      <c r="CB191" s="1424"/>
      <c r="CC191" s="1424"/>
      <c r="CD191" s="1424"/>
      <c r="CE191" s="1424"/>
      <c r="CF191" s="1104"/>
    </row>
    <row r="192" spans="1:84" ht="5.25" hidden="1" customHeight="1">
      <c r="A192" s="1552"/>
      <c r="B192" s="1424"/>
      <c r="C192" s="1424"/>
      <c r="D192" s="2499"/>
      <c r="E192" s="566"/>
      <c r="F192" s="566"/>
      <c r="G192" s="566"/>
      <c r="H192" s="566"/>
      <c r="I192" s="566"/>
      <c r="J192" s="566"/>
      <c r="K192" s="566"/>
      <c r="L192" s="566"/>
      <c r="M192" s="566"/>
      <c r="N192" s="566"/>
      <c r="O192" s="566"/>
      <c r="P192" s="566"/>
      <c r="Q192" s="566"/>
      <c r="R192" s="566"/>
      <c r="S192" s="567"/>
      <c r="T192" s="636"/>
      <c r="U192" s="2399"/>
      <c r="V192" s="2399"/>
      <c r="W192" s="1424"/>
      <c r="X192" s="1424"/>
      <c r="Y192" s="1424"/>
      <c r="Z192" s="1424"/>
      <c r="AA192" s="1424"/>
      <c r="AB192" s="1424"/>
      <c r="AC192" s="876"/>
      <c r="AD192" s="877"/>
      <c r="AE192" s="1424"/>
      <c r="AF192" s="1424"/>
      <c r="AG192" s="1424"/>
      <c r="AH192" s="1424"/>
      <c r="AI192" s="1424"/>
      <c r="AJ192" s="1424"/>
      <c r="AK192" s="1424"/>
      <c r="AL192" s="1424"/>
      <c r="AM192" s="1424"/>
      <c r="AN192" s="1424"/>
      <c r="AO192" s="1424"/>
      <c r="AP192" s="1424"/>
      <c r="AQ192" s="1424"/>
      <c r="AR192" s="1424"/>
      <c r="AS192" s="1424"/>
      <c r="AT192" s="1424"/>
      <c r="AU192" s="1424"/>
      <c r="AV192" s="1424"/>
      <c r="AW192" s="1424"/>
      <c r="AX192" s="1424"/>
      <c r="AY192" s="1424"/>
      <c r="AZ192" s="1424"/>
      <c r="BA192" s="1424"/>
      <c r="BB192" s="1424"/>
      <c r="BC192" s="1424"/>
      <c r="BD192" s="1424"/>
      <c r="BE192" s="1424"/>
      <c r="BF192" s="1424"/>
      <c r="BG192" s="1424"/>
      <c r="BH192" s="1424"/>
      <c r="BI192" s="1424"/>
      <c r="BJ192" s="1424"/>
      <c r="BK192" s="1424"/>
      <c r="BL192" s="1424"/>
      <c r="BM192" s="1424"/>
      <c r="BN192" s="1424"/>
      <c r="BO192" s="1424"/>
      <c r="BP192" s="1424"/>
      <c r="BQ192" s="1424"/>
      <c r="BR192" s="1424"/>
      <c r="BS192" s="1424"/>
      <c r="BT192" s="1424"/>
      <c r="BU192" s="1424"/>
      <c r="BV192" s="1424"/>
      <c r="BW192" s="1424"/>
      <c r="BX192" s="1424"/>
      <c r="BY192" s="1424"/>
      <c r="BZ192" s="1424"/>
      <c r="CA192" s="1424"/>
      <c r="CB192" s="1424"/>
      <c r="CC192" s="1424"/>
      <c r="CD192" s="1424"/>
      <c r="CE192" s="1424"/>
      <c r="CF192" s="1104"/>
    </row>
    <row r="193" spans="1:84" ht="5.25" hidden="1" customHeight="1">
      <c r="A193" s="1552"/>
      <c r="B193" s="1424"/>
      <c r="C193" s="1424"/>
      <c r="D193" s="2500"/>
      <c r="E193" s="882"/>
      <c r="F193" s="883"/>
      <c r="G193" s="883"/>
      <c r="H193" s="884"/>
      <c r="I193" s="884"/>
      <c r="J193" s="884"/>
      <c r="K193" s="884"/>
      <c r="L193" s="884"/>
      <c r="M193" s="884"/>
      <c r="N193" s="884"/>
      <c r="O193" s="884"/>
      <c r="P193" s="884"/>
      <c r="Q193" s="884"/>
      <c r="R193" s="806"/>
      <c r="S193" s="885"/>
      <c r="T193" s="636"/>
      <c r="U193" s="2399"/>
      <c r="V193" s="2399"/>
      <c r="W193" s="1424"/>
      <c r="X193" s="1424"/>
      <c r="Y193" s="1424"/>
      <c r="Z193" s="1424"/>
      <c r="AA193" s="1424"/>
      <c r="AB193" s="1424"/>
      <c r="AC193" s="876"/>
      <c r="AD193" s="877"/>
      <c r="AE193" s="1424"/>
      <c r="AF193" s="1424"/>
      <c r="AG193" s="1424"/>
      <c r="AH193" s="1424"/>
      <c r="AI193" s="1424"/>
      <c r="AJ193" s="1424"/>
      <c r="AK193" s="1424"/>
      <c r="AL193" s="1424"/>
      <c r="AM193" s="1424"/>
      <c r="AN193" s="1424"/>
      <c r="AO193" s="1424"/>
      <c r="AP193" s="1424"/>
      <c r="AQ193" s="1424"/>
      <c r="AR193" s="1424"/>
      <c r="AS193" s="1424"/>
      <c r="AT193" s="1424"/>
      <c r="AU193" s="1424"/>
      <c r="AV193" s="1424"/>
      <c r="AW193" s="1424"/>
      <c r="AX193" s="1424"/>
      <c r="AY193" s="1424"/>
      <c r="AZ193" s="1424"/>
      <c r="BA193" s="1424"/>
      <c r="BB193" s="1424"/>
      <c r="BC193" s="1424"/>
      <c r="BD193" s="1424"/>
      <c r="BE193" s="1424"/>
      <c r="BF193" s="1424"/>
      <c r="BG193" s="1424"/>
      <c r="BH193" s="1424"/>
      <c r="BI193" s="1424"/>
      <c r="BJ193" s="1424"/>
      <c r="BK193" s="1424"/>
      <c r="BL193" s="1424"/>
      <c r="BM193" s="1424"/>
      <c r="BN193" s="1424"/>
      <c r="BO193" s="1424"/>
      <c r="BP193" s="1424"/>
      <c r="BQ193" s="1424"/>
      <c r="BR193" s="1424"/>
      <c r="BS193" s="1424"/>
      <c r="BT193" s="1424"/>
      <c r="BU193" s="1424"/>
      <c r="BV193" s="1424"/>
      <c r="BW193" s="1424"/>
      <c r="BX193" s="1424"/>
      <c r="BY193" s="1424"/>
      <c r="BZ193" s="1424"/>
      <c r="CA193" s="1424"/>
      <c r="CB193" s="1424"/>
      <c r="CC193" s="1424"/>
      <c r="CD193" s="1424"/>
      <c r="CE193" s="1424"/>
      <c r="CF193" s="1104"/>
    </row>
    <row r="194" spans="1:84" ht="15" hidden="1" customHeight="1">
      <c r="A194" s="554" t="s">
        <v>210</v>
      </c>
      <c r="B194" s="555"/>
      <c r="C194" s="555" t="s">
        <v>9</v>
      </c>
      <c r="D194" s="2498" t="s">
        <v>729</v>
      </c>
      <c r="E194" s="2495" t="s">
        <v>157</v>
      </c>
      <c r="F194" s="2496"/>
      <c r="G194" s="2497"/>
      <c r="H194" s="2491" t="str">
        <f>IF(A194="","",INDEX(DIFFERENTIATION_UNMERGE_VD,MATCH(A194,DIFFERENTIATION_ID_DIFF,0)))</f>
        <v>Производство тепловой энергии. Некомбинированная выработка; Передача. Тепловая энергия; Сбыт. Тепловая энергия</v>
      </c>
      <c r="I194" s="2491"/>
      <c r="J194" s="2491"/>
      <c r="K194" s="2491"/>
      <c r="L194" s="2491"/>
      <c r="M194" s="2491"/>
      <c r="N194" s="2491"/>
      <c r="O194" s="2491"/>
      <c r="P194" s="2491"/>
      <c r="Q194" s="2491"/>
      <c r="R194" s="2491"/>
      <c r="S194" s="637"/>
      <c r="T194" s="634"/>
      <c r="U194" s="556"/>
      <c r="V194" s="556"/>
      <c r="W194" s="557"/>
      <c r="X194" s="557"/>
      <c r="Y194" s="557"/>
      <c r="Z194" s="557"/>
      <c r="AA194" s="558"/>
      <c r="AB194" s="559"/>
      <c r="AC194" s="2494"/>
      <c r="AD194" s="560"/>
      <c r="AE194" s="561" t="s">
        <v>9</v>
      </c>
      <c r="AF194" s="561"/>
      <c r="AG194" s="562" t="s">
        <v>704</v>
      </c>
      <c r="AH194" s="563">
        <v>3</v>
      </c>
      <c r="AI194" s="556"/>
      <c r="AJ194" s="556"/>
      <c r="AK194" s="556"/>
      <c r="AL194" s="556"/>
      <c r="AM194" s="556"/>
      <c r="AN194" s="556"/>
      <c r="AO194" s="556"/>
      <c r="AP194" s="556"/>
      <c r="AQ194" s="556"/>
      <c r="AR194" s="556"/>
      <c r="AS194" s="556"/>
      <c r="AT194" s="556"/>
      <c r="AU194" s="556"/>
      <c r="AV194" s="556"/>
      <c r="AW194" s="556"/>
      <c r="AX194" s="556"/>
      <c r="AY194" s="556"/>
      <c r="AZ194" s="556"/>
      <c r="BA194" s="556"/>
      <c r="BB194" s="556"/>
      <c r="BC194" s="556"/>
      <c r="BD194" s="556"/>
      <c r="BE194" s="556"/>
      <c r="BF194" s="556"/>
      <c r="BG194" s="556"/>
      <c r="BH194" s="556"/>
      <c r="BI194" s="556"/>
      <c r="BJ194" s="556"/>
      <c r="BK194" s="556"/>
      <c r="BL194" s="556"/>
      <c r="BM194" s="556"/>
      <c r="BN194" s="556"/>
      <c r="BO194" s="556"/>
      <c r="BP194" s="556"/>
      <c r="BQ194" s="556"/>
      <c r="BR194" s="556"/>
      <c r="BS194" s="556"/>
      <c r="BT194" s="556"/>
      <c r="BU194" s="556"/>
      <c r="BV194" s="557"/>
      <c r="BW194" s="557"/>
      <c r="BX194" s="557"/>
      <c r="BY194" s="557"/>
      <c r="BZ194" s="557"/>
      <c r="CA194" s="557"/>
      <c r="CB194" s="557"/>
      <c r="CC194" s="557"/>
      <c r="CD194" s="557"/>
      <c r="CE194" s="557"/>
      <c r="CF194" s="1606"/>
    </row>
    <row r="195" spans="1:84" ht="15" hidden="1" customHeight="1">
      <c r="A195" s="554"/>
      <c r="B195" s="555"/>
      <c r="C195" s="555"/>
      <c r="D195" s="2499"/>
      <c r="E195" s="2495" t="s">
        <v>648</v>
      </c>
      <c r="F195" s="2496"/>
      <c r="G195" s="2497"/>
      <c r="H195" s="2491" t="str">
        <f>IF(A194="","",INDEX(DIFFERENTIATION_UNMERGE_AREA,MATCH(A194,DIFFERENTIATION_ID_DIFF,0)))</f>
        <v>Территория 13</v>
      </c>
      <c r="I195" s="2491"/>
      <c r="J195" s="2491"/>
      <c r="K195" s="2491"/>
      <c r="L195" s="2491"/>
      <c r="M195" s="2491"/>
      <c r="N195" s="2491"/>
      <c r="O195" s="2491"/>
      <c r="P195" s="2491"/>
      <c r="Q195" s="2491"/>
      <c r="R195" s="2491"/>
      <c r="S195" s="637"/>
      <c r="T195" s="634"/>
      <c r="U195" s="556"/>
      <c r="V195" s="556"/>
      <c r="W195" s="557"/>
      <c r="X195" s="557"/>
      <c r="Y195" s="557"/>
      <c r="Z195" s="557"/>
      <c r="AA195" s="558"/>
      <c r="AB195" s="559"/>
      <c r="AC195" s="2494"/>
      <c r="AD195" s="560"/>
      <c r="AE195" s="561"/>
      <c r="AF195" s="561"/>
      <c r="AG195" s="562"/>
      <c r="AH195" s="563"/>
      <c r="AI195" s="556"/>
      <c r="AJ195" s="556"/>
      <c r="AK195" s="556"/>
      <c r="AL195" s="556"/>
      <c r="AM195" s="556"/>
      <c r="AN195" s="556"/>
      <c r="AO195" s="556"/>
      <c r="AP195" s="556"/>
      <c r="AQ195" s="556"/>
      <c r="AR195" s="556"/>
      <c r="AS195" s="556"/>
      <c r="AT195" s="556"/>
      <c r="AU195" s="556"/>
      <c r="AV195" s="556"/>
      <c r="AW195" s="556"/>
      <c r="AX195" s="556"/>
      <c r="AY195" s="556"/>
      <c r="AZ195" s="556"/>
      <c r="BA195" s="556"/>
      <c r="BB195" s="556"/>
      <c r="BC195" s="556"/>
      <c r="BD195" s="556"/>
      <c r="BE195" s="556"/>
      <c r="BF195" s="556"/>
      <c r="BG195" s="556"/>
      <c r="BH195" s="556"/>
      <c r="BI195" s="556"/>
      <c r="BJ195" s="556"/>
      <c r="BK195" s="556"/>
      <c r="BL195" s="556"/>
      <c r="BM195" s="556"/>
      <c r="BN195" s="556"/>
      <c r="BO195" s="556"/>
      <c r="BP195" s="556"/>
      <c r="BQ195" s="556"/>
      <c r="BR195" s="556"/>
      <c r="BS195" s="556"/>
      <c r="BT195" s="556"/>
      <c r="BU195" s="556"/>
      <c r="BV195" s="557"/>
      <c r="BW195" s="557"/>
      <c r="BX195" s="557"/>
      <c r="BY195" s="557"/>
      <c r="BZ195" s="557"/>
      <c r="CA195" s="557"/>
      <c r="CB195" s="557"/>
      <c r="CC195" s="557"/>
      <c r="CD195" s="557"/>
      <c r="CE195" s="557"/>
      <c r="CF195" s="1606"/>
    </row>
    <row r="196" spans="1:84" ht="15" hidden="1" customHeight="1">
      <c r="A196" s="554"/>
      <c r="B196" s="555"/>
      <c r="C196" s="555"/>
      <c r="D196" s="2499"/>
      <c r="E196" s="2495" t="s">
        <v>649</v>
      </c>
      <c r="F196" s="2496"/>
      <c r="G196" s="2497"/>
      <c r="H196" s="2491" t="str">
        <f>IF(A194="","",INDEX(DIFFERENTIATION_UNMERGE_SYSTEM,MATCH(A194,DIFFERENTIATION_ID_DIFF,0)))</f>
        <v>котельная д. Митино</v>
      </c>
      <c r="I196" s="2491"/>
      <c r="J196" s="2491"/>
      <c r="K196" s="2491"/>
      <c r="L196" s="2491"/>
      <c r="M196" s="2491"/>
      <c r="N196" s="2491"/>
      <c r="O196" s="2491"/>
      <c r="P196" s="2491"/>
      <c r="Q196" s="2491"/>
      <c r="R196" s="2491"/>
      <c r="S196" s="637"/>
      <c r="T196" s="634"/>
      <c r="U196" s="556"/>
      <c r="V196" s="556"/>
      <c r="W196" s="557"/>
      <c r="X196" s="557"/>
      <c r="Y196" s="557"/>
      <c r="Z196" s="557"/>
      <c r="AA196" s="558"/>
      <c r="AB196" s="559"/>
      <c r="AC196" s="2494"/>
      <c r="AD196" s="560"/>
      <c r="AE196" s="561"/>
      <c r="AF196" s="561"/>
      <c r="AG196" s="562"/>
      <c r="AH196" s="563"/>
      <c r="AI196" s="556"/>
      <c r="AJ196" s="556"/>
      <c r="AK196" s="556"/>
      <c r="AL196" s="556"/>
      <c r="AM196" s="556"/>
      <c r="AN196" s="556"/>
      <c r="AO196" s="556"/>
      <c r="AP196" s="556"/>
      <c r="AQ196" s="556"/>
      <c r="AR196" s="556"/>
      <c r="AS196" s="556"/>
      <c r="AT196" s="556"/>
      <c r="AU196" s="556"/>
      <c r="AV196" s="556"/>
      <c r="AW196" s="556"/>
      <c r="AX196" s="556"/>
      <c r="AY196" s="556"/>
      <c r="AZ196" s="556"/>
      <c r="BA196" s="556"/>
      <c r="BB196" s="556"/>
      <c r="BC196" s="556"/>
      <c r="BD196" s="556"/>
      <c r="BE196" s="556"/>
      <c r="BF196" s="556"/>
      <c r="BG196" s="556"/>
      <c r="BH196" s="556"/>
      <c r="BI196" s="556"/>
      <c r="BJ196" s="556"/>
      <c r="BK196" s="556"/>
      <c r="BL196" s="556"/>
      <c r="BM196" s="556"/>
      <c r="BN196" s="556"/>
      <c r="BO196" s="556"/>
      <c r="BP196" s="556"/>
      <c r="BQ196" s="556"/>
      <c r="BR196" s="556"/>
      <c r="BS196" s="556"/>
      <c r="BT196" s="556"/>
      <c r="BU196" s="556"/>
      <c r="BV196" s="557"/>
      <c r="BW196" s="557"/>
      <c r="BX196" s="557"/>
      <c r="BY196" s="557"/>
      <c r="BZ196" s="557"/>
      <c r="CA196" s="557"/>
      <c r="CB196" s="557"/>
      <c r="CC196" s="557"/>
      <c r="CD196" s="557"/>
      <c r="CE196" s="557"/>
      <c r="CF196" s="1606"/>
    </row>
    <row r="197" spans="1:84" ht="24.75" hidden="1" customHeight="1">
      <c r="A197" s="1565"/>
      <c r="B197" s="961"/>
      <c r="C197" s="345"/>
      <c r="D197" s="2499"/>
      <c r="E197" s="2493" t="s">
        <v>705</v>
      </c>
      <c r="F197" s="2493"/>
      <c r="G197" s="2493"/>
      <c r="H197" s="2493"/>
      <c r="I197" s="2493"/>
      <c r="J197" s="2493"/>
      <c r="K197" s="2493"/>
      <c r="L197" s="2493"/>
      <c r="M197" s="2493"/>
      <c r="N197" s="2493"/>
      <c r="O197" s="2493"/>
      <c r="P197" s="2493"/>
      <c r="Q197" s="490">
        <f>SUMIF(T198:T199,"i",Q198:Q199)</f>
        <v>0</v>
      </c>
      <c r="R197" s="869"/>
      <c r="S197" s="1557" t="s">
        <v>706</v>
      </c>
      <c r="T197" s="635" t="s">
        <v>707</v>
      </c>
      <c r="U197" s="2399">
        <v>1</v>
      </c>
      <c r="V197" s="2399" t="str">
        <f>INDEX(B_FHD_FLAG_INDEX_1,1,MATCH(A194,B_FHD_FLAG_DIFFERENTIATION,0))</f>
        <v>отсутствует</v>
      </c>
      <c r="W197" s="961"/>
      <c r="X197" s="961"/>
      <c r="Y197" s="961"/>
      <c r="Z197" s="961"/>
      <c r="AA197" s="1424"/>
      <c r="AB197" s="961"/>
      <c r="AC197" s="2494"/>
      <c r="AD197" s="560"/>
      <c r="AE197" s="961"/>
      <c r="AF197" s="961"/>
      <c r="AG197" s="1424"/>
      <c r="AH197" s="1424"/>
      <c r="AI197" s="1424"/>
      <c r="AJ197" s="1424"/>
      <c r="AK197" s="1424"/>
      <c r="AL197" s="1424"/>
      <c r="AM197" s="1424"/>
      <c r="AN197" s="1424"/>
      <c r="AO197" s="1424"/>
      <c r="AP197" s="1424"/>
      <c r="AQ197" s="1424"/>
      <c r="AR197" s="1424"/>
      <c r="AS197" s="1424"/>
      <c r="AT197" s="1424"/>
      <c r="AU197" s="1424"/>
      <c r="AV197" s="1424"/>
      <c r="AW197" s="1424"/>
      <c r="AX197" s="1424"/>
      <c r="AY197" s="1424"/>
      <c r="AZ197" s="1424"/>
      <c r="BA197" s="1424"/>
      <c r="BB197" s="1424"/>
      <c r="BC197" s="1424"/>
      <c r="BD197" s="1424"/>
      <c r="BE197" s="1424"/>
      <c r="BF197" s="1424"/>
      <c r="BG197" s="1424"/>
      <c r="BH197" s="1424"/>
      <c r="BI197" s="1424"/>
      <c r="BJ197" s="1424"/>
      <c r="BK197" s="1424"/>
      <c r="BL197" s="1424"/>
      <c r="BM197" s="1424"/>
      <c r="BN197" s="1424"/>
      <c r="BO197" s="1424"/>
      <c r="BP197" s="1424"/>
      <c r="BQ197" s="1424"/>
      <c r="BR197" s="1424"/>
      <c r="BS197" s="1424"/>
      <c r="BT197" s="1424"/>
      <c r="BU197" s="1424"/>
      <c r="BV197" s="961"/>
      <c r="BW197" s="961"/>
      <c r="BX197" s="961"/>
      <c r="BY197" s="961"/>
      <c r="BZ197" s="961"/>
      <c r="CA197" s="961"/>
      <c r="CB197" s="961"/>
      <c r="CC197" s="961"/>
      <c r="CD197" s="961"/>
      <c r="CE197" s="961"/>
      <c r="CF197" s="1606"/>
    </row>
    <row r="198" spans="1:84" ht="11.25" hidden="1" customHeight="1">
      <c r="A198" s="1552"/>
      <c r="B198" s="1424"/>
      <c r="C198" s="1424"/>
      <c r="D198" s="2499"/>
      <c r="E198" s="566"/>
      <c r="F198" s="566">
        <v>0</v>
      </c>
      <c r="G198" s="566"/>
      <c r="H198" s="566"/>
      <c r="I198" s="566"/>
      <c r="J198" s="566"/>
      <c r="K198" s="566"/>
      <c r="L198" s="566"/>
      <c r="M198" s="566"/>
      <c r="N198" s="566"/>
      <c r="O198" s="566"/>
      <c r="P198" s="566"/>
      <c r="Q198" s="566"/>
      <c r="R198" s="566"/>
      <c r="S198" s="567"/>
      <c r="T198" s="636"/>
      <c r="U198" s="2399"/>
      <c r="V198" s="2399"/>
      <c r="W198" s="1424"/>
      <c r="X198" s="1424"/>
      <c r="Y198" s="1424"/>
      <c r="Z198" s="1424"/>
      <c r="AA198" s="1424"/>
      <c r="AB198" s="961"/>
      <c r="AC198" s="2494"/>
      <c r="AD198" s="560"/>
      <c r="AE198" s="961"/>
      <c r="AF198" s="961"/>
      <c r="AG198" s="1424"/>
      <c r="AH198" s="1424"/>
      <c r="AI198" s="1424"/>
      <c r="AJ198" s="1424"/>
      <c r="AK198" s="1424"/>
      <c r="AL198" s="1424"/>
      <c r="AM198" s="1424"/>
      <c r="AN198" s="1424"/>
      <c r="AO198" s="1424"/>
      <c r="AP198" s="1424"/>
      <c r="AQ198" s="1424"/>
      <c r="AR198" s="1424"/>
      <c r="AS198" s="1424"/>
      <c r="AT198" s="1424"/>
      <c r="AU198" s="1424"/>
      <c r="AV198" s="1424"/>
      <c r="AW198" s="1424"/>
      <c r="AX198" s="1424"/>
      <c r="AY198" s="1424"/>
      <c r="AZ198" s="1424"/>
      <c r="BA198" s="1424"/>
      <c r="BB198" s="1424"/>
      <c r="BC198" s="1424"/>
      <c r="BD198" s="1424"/>
      <c r="BE198" s="1424"/>
      <c r="BF198" s="1424"/>
      <c r="BG198" s="1424"/>
      <c r="BH198" s="1424"/>
      <c r="BI198" s="1424"/>
      <c r="BJ198" s="1424"/>
      <c r="BK198" s="1424"/>
      <c r="BL198" s="1424"/>
      <c r="BM198" s="1424"/>
      <c r="BN198" s="1424"/>
      <c r="BO198" s="1424"/>
      <c r="BP198" s="1424"/>
      <c r="BQ198" s="1424"/>
      <c r="BR198" s="1424"/>
      <c r="BS198" s="1424"/>
      <c r="BT198" s="1424"/>
      <c r="BU198" s="1424"/>
      <c r="BV198" s="1424"/>
      <c r="BW198" s="1424"/>
      <c r="BX198" s="1424"/>
      <c r="BY198" s="1424"/>
      <c r="BZ198" s="1424"/>
      <c r="CA198" s="1424"/>
      <c r="CB198" s="1424"/>
      <c r="CC198" s="1424"/>
      <c r="CD198" s="1424"/>
      <c r="CE198" s="1424"/>
      <c r="CF198" s="1606"/>
    </row>
    <row r="199" spans="1:84" ht="11.25" hidden="1" customHeight="1">
      <c r="A199" s="1565"/>
      <c r="B199" s="961"/>
      <c r="C199" s="345"/>
      <c r="D199" s="2499"/>
      <c r="E199" s="580" t="s">
        <v>9</v>
      </c>
      <c r="F199" s="969" t="s">
        <v>9</v>
      </c>
      <c r="G199" s="969" t="s">
        <v>710</v>
      </c>
      <c r="H199" s="582" t="s">
        <v>9</v>
      </c>
      <c r="I199" s="582"/>
      <c r="J199" s="582"/>
      <c r="K199" s="582"/>
      <c r="L199" s="582"/>
      <c r="M199" s="582"/>
      <c r="N199" s="582"/>
      <c r="O199" s="582"/>
      <c r="P199" s="582"/>
      <c r="Q199" s="582"/>
      <c r="R199" s="583"/>
      <c r="S199" s="584"/>
      <c r="T199" s="636"/>
      <c r="U199" s="2399"/>
      <c r="V199" s="2399"/>
      <c r="W199" s="961"/>
      <c r="X199" s="961"/>
      <c r="Y199" s="961"/>
      <c r="Z199" s="961"/>
      <c r="AA199" s="1424"/>
      <c r="AB199" s="961"/>
      <c r="AC199" s="2494"/>
      <c r="AD199" s="560"/>
      <c r="AE199" s="961"/>
      <c r="AF199" s="961"/>
      <c r="AG199" s="1424"/>
      <c r="AH199" s="1424"/>
      <c r="AI199" s="1424"/>
      <c r="AJ199" s="1424"/>
      <c r="AK199" s="1424"/>
      <c r="AL199" s="1424"/>
      <c r="AM199" s="1424"/>
      <c r="AN199" s="1424"/>
      <c r="AO199" s="1424"/>
      <c r="AP199" s="1424"/>
      <c r="AQ199" s="1424"/>
      <c r="AR199" s="1424"/>
      <c r="AS199" s="1424"/>
      <c r="AT199" s="1424"/>
      <c r="AU199" s="1424"/>
      <c r="AV199" s="1424"/>
      <c r="AW199" s="1424"/>
      <c r="AX199" s="1424"/>
      <c r="AY199" s="1424"/>
      <c r="AZ199" s="1424"/>
      <c r="BA199" s="1424"/>
      <c r="BB199" s="1424"/>
      <c r="BC199" s="1424"/>
      <c r="BD199" s="1424"/>
      <c r="BE199" s="1424"/>
      <c r="BF199" s="1424"/>
      <c r="BG199" s="1424"/>
      <c r="BH199" s="1424"/>
      <c r="BI199" s="1424"/>
      <c r="BJ199" s="1424"/>
      <c r="BK199" s="1424"/>
      <c r="BL199" s="1424"/>
      <c r="BM199" s="1424"/>
      <c r="BN199" s="1424"/>
      <c r="BO199" s="1424"/>
      <c r="BP199" s="1424"/>
      <c r="BQ199" s="1424"/>
      <c r="BR199" s="1424"/>
      <c r="BS199" s="1424"/>
      <c r="BT199" s="1424"/>
      <c r="BU199" s="1424"/>
      <c r="BV199" s="961"/>
      <c r="BW199" s="961"/>
      <c r="BX199" s="961"/>
      <c r="BY199" s="961"/>
      <c r="BZ199" s="961"/>
      <c r="CA199" s="961"/>
      <c r="CB199" s="961"/>
      <c r="CC199" s="961"/>
      <c r="CD199" s="961"/>
      <c r="CE199" s="961"/>
      <c r="CF199" s="1606"/>
    </row>
    <row r="200" spans="1:84" ht="5.25" hidden="1" customHeight="1">
      <c r="A200" s="1552"/>
      <c r="B200" s="1424"/>
      <c r="C200" s="1424"/>
      <c r="D200" s="2499"/>
      <c r="E200" s="878"/>
      <c r="F200" s="878"/>
      <c r="G200" s="878"/>
      <c r="H200" s="878"/>
      <c r="I200" s="878"/>
      <c r="J200" s="878"/>
      <c r="K200" s="878"/>
      <c r="L200" s="878"/>
      <c r="M200" s="878"/>
      <c r="N200" s="878"/>
      <c r="O200" s="878"/>
      <c r="P200" s="878"/>
      <c r="Q200" s="879"/>
      <c r="R200" s="880"/>
      <c r="S200" s="881"/>
      <c r="T200" s="635" t="s">
        <v>707</v>
      </c>
      <c r="U200" s="2399">
        <v>1</v>
      </c>
      <c r="V200" s="2399" t="s">
        <v>664</v>
      </c>
      <c r="W200" s="1424"/>
      <c r="X200" s="1424"/>
      <c r="Y200" s="1424"/>
      <c r="Z200" s="1424"/>
      <c r="AA200" s="1424"/>
      <c r="AB200" s="1424"/>
      <c r="AC200" s="876"/>
      <c r="AD200" s="877"/>
      <c r="AE200" s="1424"/>
      <c r="AF200" s="1424"/>
      <c r="AG200" s="1424"/>
      <c r="AH200" s="1424"/>
      <c r="AI200" s="1424"/>
      <c r="AJ200" s="1424"/>
      <c r="AK200" s="1424"/>
      <c r="AL200" s="1424"/>
      <c r="AM200" s="1424"/>
      <c r="AN200" s="1424"/>
      <c r="AO200" s="1424"/>
      <c r="AP200" s="1424"/>
      <c r="AQ200" s="1424"/>
      <c r="AR200" s="1424"/>
      <c r="AS200" s="1424"/>
      <c r="AT200" s="1424"/>
      <c r="AU200" s="1424"/>
      <c r="AV200" s="1424"/>
      <c r="AW200" s="1424"/>
      <c r="AX200" s="1424"/>
      <c r="AY200" s="1424"/>
      <c r="AZ200" s="1424"/>
      <c r="BA200" s="1424"/>
      <c r="BB200" s="1424"/>
      <c r="BC200" s="1424"/>
      <c r="BD200" s="1424"/>
      <c r="BE200" s="1424"/>
      <c r="BF200" s="1424"/>
      <c r="BG200" s="1424"/>
      <c r="BH200" s="1424"/>
      <c r="BI200" s="1424"/>
      <c r="BJ200" s="1424"/>
      <c r="BK200" s="1424"/>
      <c r="BL200" s="1424"/>
      <c r="BM200" s="1424"/>
      <c r="BN200" s="1424"/>
      <c r="BO200" s="1424"/>
      <c r="BP200" s="1424"/>
      <c r="BQ200" s="1424"/>
      <c r="BR200" s="1424"/>
      <c r="BS200" s="1424"/>
      <c r="BT200" s="1424"/>
      <c r="BU200" s="1424"/>
      <c r="BV200" s="1424"/>
      <c r="BW200" s="1424"/>
      <c r="BX200" s="1424"/>
      <c r="BY200" s="1424"/>
      <c r="BZ200" s="1424"/>
      <c r="CA200" s="1424"/>
      <c r="CB200" s="1424"/>
      <c r="CC200" s="1424"/>
      <c r="CD200" s="1424"/>
      <c r="CE200" s="1424"/>
      <c r="CF200" s="1104"/>
    </row>
    <row r="201" spans="1:84" ht="5.25" hidden="1" customHeight="1">
      <c r="A201" s="1552"/>
      <c r="B201" s="1424"/>
      <c r="C201" s="1424"/>
      <c r="D201" s="2499"/>
      <c r="E201" s="566"/>
      <c r="F201" s="566"/>
      <c r="G201" s="566"/>
      <c r="H201" s="566"/>
      <c r="I201" s="566"/>
      <c r="J201" s="566"/>
      <c r="K201" s="566"/>
      <c r="L201" s="566"/>
      <c r="M201" s="566"/>
      <c r="N201" s="566"/>
      <c r="O201" s="566"/>
      <c r="P201" s="566"/>
      <c r="Q201" s="566"/>
      <c r="R201" s="566"/>
      <c r="S201" s="567"/>
      <c r="T201" s="636"/>
      <c r="U201" s="2399"/>
      <c r="V201" s="2399"/>
      <c r="W201" s="1424"/>
      <c r="X201" s="1424"/>
      <c r="Y201" s="1424"/>
      <c r="Z201" s="1424"/>
      <c r="AA201" s="1424"/>
      <c r="AB201" s="1424"/>
      <c r="AC201" s="876"/>
      <c r="AD201" s="877"/>
      <c r="AE201" s="1424"/>
      <c r="AF201" s="1424"/>
      <c r="AG201" s="1424"/>
      <c r="AH201" s="1424"/>
      <c r="AI201" s="1424"/>
      <c r="AJ201" s="1424"/>
      <c r="AK201" s="1424"/>
      <c r="AL201" s="1424"/>
      <c r="AM201" s="1424"/>
      <c r="AN201" s="1424"/>
      <c r="AO201" s="1424"/>
      <c r="AP201" s="1424"/>
      <c r="AQ201" s="1424"/>
      <c r="AR201" s="1424"/>
      <c r="AS201" s="1424"/>
      <c r="AT201" s="1424"/>
      <c r="AU201" s="1424"/>
      <c r="AV201" s="1424"/>
      <c r="AW201" s="1424"/>
      <c r="AX201" s="1424"/>
      <c r="AY201" s="1424"/>
      <c r="AZ201" s="1424"/>
      <c r="BA201" s="1424"/>
      <c r="BB201" s="1424"/>
      <c r="BC201" s="1424"/>
      <c r="BD201" s="1424"/>
      <c r="BE201" s="1424"/>
      <c r="BF201" s="1424"/>
      <c r="BG201" s="1424"/>
      <c r="BH201" s="1424"/>
      <c r="BI201" s="1424"/>
      <c r="BJ201" s="1424"/>
      <c r="BK201" s="1424"/>
      <c r="BL201" s="1424"/>
      <c r="BM201" s="1424"/>
      <c r="BN201" s="1424"/>
      <c r="BO201" s="1424"/>
      <c r="BP201" s="1424"/>
      <c r="BQ201" s="1424"/>
      <c r="BR201" s="1424"/>
      <c r="BS201" s="1424"/>
      <c r="BT201" s="1424"/>
      <c r="BU201" s="1424"/>
      <c r="BV201" s="1424"/>
      <c r="BW201" s="1424"/>
      <c r="BX201" s="1424"/>
      <c r="BY201" s="1424"/>
      <c r="BZ201" s="1424"/>
      <c r="CA201" s="1424"/>
      <c r="CB201" s="1424"/>
      <c r="CC201" s="1424"/>
      <c r="CD201" s="1424"/>
      <c r="CE201" s="1424"/>
      <c r="CF201" s="1104"/>
    </row>
    <row r="202" spans="1:84" ht="5.25" hidden="1" customHeight="1">
      <c r="A202" s="1552"/>
      <c r="B202" s="1424"/>
      <c r="C202" s="1424"/>
      <c r="D202" s="2500"/>
      <c r="E202" s="882"/>
      <c r="F202" s="883"/>
      <c r="G202" s="883"/>
      <c r="H202" s="884"/>
      <c r="I202" s="884"/>
      <c r="J202" s="884"/>
      <c r="K202" s="884"/>
      <c r="L202" s="884"/>
      <c r="M202" s="884"/>
      <c r="N202" s="884"/>
      <c r="O202" s="884"/>
      <c r="P202" s="884"/>
      <c r="Q202" s="884"/>
      <c r="R202" s="806"/>
      <c r="S202" s="885"/>
      <c r="T202" s="636"/>
      <c r="U202" s="2399"/>
      <c r="V202" s="2399"/>
      <c r="W202" s="1424"/>
      <c r="X202" s="1424"/>
      <c r="Y202" s="1424"/>
      <c r="Z202" s="1424"/>
      <c r="AA202" s="1424"/>
      <c r="AB202" s="1424"/>
      <c r="AC202" s="876"/>
      <c r="AD202" s="877"/>
      <c r="AE202" s="1424"/>
      <c r="AF202" s="1424"/>
      <c r="AG202" s="1424"/>
      <c r="AH202" s="1424"/>
      <c r="AI202" s="1424"/>
      <c r="AJ202" s="1424"/>
      <c r="AK202" s="1424"/>
      <c r="AL202" s="1424"/>
      <c r="AM202" s="1424"/>
      <c r="AN202" s="1424"/>
      <c r="AO202" s="1424"/>
      <c r="AP202" s="1424"/>
      <c r="AQ202" s="1424"/>
      <c r="AR202" s="1424"/>
      <c r="AS202" s="1424"/>
      <c r="AT202" s="1424"/>
      <c r="AU202" s="1424"/>
      <c r="AV202" s="1424"/>
      <c r="AW202" s="1424"/>
      <c r="AX202" s="1424"/>
      <c r="AY202" s="1424"/>
      <c r="AZ202" s="1424"/>
      <c r="BA202" s="1424"/>
      <c r="BB202" s="1424"/>
      <c r="BC202" s="1424"/>
      <c r="BD202" s="1424"/>
      <c r="BE202" s="1424"/>
      <c r="BF202" s="1424"/>
      <c r="BG202" s="1424"/>
      <c r="BH202" s="1424"/>
      <c r="BI202" s="1424"/>
      <c r="BJ202" s="1424"/>
      <c r="BK202" s="1424"/>
      <c r="BL202" s="1424"/>
      <c r="BM202" s="1424"/>
      <c r="BN202" s="1424"/>
      <c r="BO202" s="1424"/>
      <c r="BP202" s="1424"/>
      <c r="BQ202" s="1424"/>
      <c r="BR202" s="1424"/>
      <c r="BS202" s="1424"/>
      <c r="BT202" s="1424"/>
      <c r="BU202" s="1424"/>
      <c r="BV202" s="1424"/>
      <c r="BW202" s="1424"/>
      <c r="BX202" s="1424"/>
      <c r="BY202" s="1424"/>
      <c r="BZ202" s="1424"/>
      <c r="CA202" s="1424"/>
      <c r="CB202" s="1424"/>
      <c r="CC202" s="1424"/>
      <c r="CD202" s="1424"/>
      <c r="CE202" s="1424"/>
      <c r="CF202" s="1104"/>
    </row>
    <row r="203" spans="1:84" ht="19.899999999999999" customHeight="1">
      <c r="D203" s="886"/>
      <c r="E203" s="886"/>
      <c r="F203" s="886"/>
      <c r="G203" s="886"/>
      <c r="H203" s="886"/>
      <c r="I203" s="886"/>
      <c r="J203" s="886"/>
      <c r="K203" s="886"/>
      <c r="L203" s="886"/>
      <c r="M203" s="886"/>
      <c r="N203" s="886"/>
      <c r="O203" s="886"/>
      <c r="P203" s="886"/>
      <c r="Q203" s="886"/>
      <c r="R203" s="886"/>
      <c r="S203" s="886"/>
      <c r="T203" s="268"/>
      <c r="CF203" s="438">
        <v>19</v>
      </c>
    </row>
    <row r="204" spans="1:84" ht="11.45" customHeight="1">
      <c r="D204" s="442"/>
      <c r="CF204" s="438">
        <v>11</v>
      </c>
    </row>
    <row r="205" spans="1:84" ht="11.45" customHeight="1">
      <c r="D205" s="585"/>
      <c r="E205" s="585"/>
      <c r="F205" s="585"/>
      <c r="G205" s="586"/>
      <c r="CF205" s="438">
        <v>11</v>
      </c>
    </row>
    <row r="206" spans="1:84" ht="11.45" customHeight="1">
      <c r="CF206" s="438">
        <v>11</v>
      </c>
    </row>
    <row r="207" spans="1:84" ht="11.45" customHeight="1">
      <c r="D207" s="587"/>
      <c r="E207" s="2492"/>
      <c r="F207" s="2492"/>
      <c r="G207" s="2492"/>
      <c r="H207" s="2492"/>
      <c r="I207" s="2492"/>
      <c r="J207" s="2492"/>
      <c r="K207" s="2492"/>
      <c r="L207" s="2492"/>
      <c r="M207" s="2492"/>
      <c r="N207" s="2492"/>
      <c r="O207" s="2492"/>
      <c r="P207" s="2492"/>
      <c r="Q207" s="2492"/>
      <c r="R207" s="2492"/>
      <c r="CF207" s="438">
        <v>11</v>
      </c>
    </row>
    <row r="208" spans="1:84" ht="11.45" customHeight="1">
      <c r="F208" s="663"/>
      <c r="G208" s="663"/>
      <c r="CF208" s="438">
        <v>11</v>
      </c>
    </row>
    <row r="209" spans="1:84" ht="11.25" hidden="1" customHeight="1">
      <c r="A209" s="541" t="s">
        <v>69</v>
      </c>
      <c r="B209" s="382">
        <v>0</v>
      </c>
      <c r="C209" s="438">
        <v>3</v>
      </c>
      <c r="D209" s="438">
        <v>0</v>
      </c>
      <c r="E209" s="438">
        <v>7</v>
      </c>
      <c r="F209" s="438">
        <v>7</v>
      </c>
      <c r="G209" s="438">
        <v>29</v>
      </c>
      <c r="H209" s="438">
        <v>3</v>
      </c>
      <c r="I209" s="438">
        <v>5</v>
      </c>
      <c r="J209" s="438">
        <v>24</v>
      </c>
      <c r="K209" s="438">
        <v>24</v>
      </c>
      <c r="L209" s="438">
        <v>3</v>
      </c>
      <c r="M209" s="438">
        <v>6</v>
      </c>
      <c r="N209" s="438">
        <v>25</v>
      </c>
      <c r="O209" s="438">
        <v>18</v>
      </c>
      <c r="P209" s="438">
        <v>18</v>
      </c>
      <c r="Q209" s="438">
        <v>18</v>
      </c>
      <c r="R209" s="438">
        <v>18</v>
      </c>
      <c r="S209" s="438">
        <v>93</v>
      </c>
      <c r="T209" s="438">
        <v>10</v>
      </c>
      <c r="U209" s="542">
        <v>10</v>
      </c>
      <c r="V209" s="542">
        <v>11</v>
      </c>
      <c r="W209" s="543">
        <v>10</v>
      </c>
      <c r="X209" s="382">
        <v>10</v>
      </c>
      <c r="Y209" s="382">
        <v>10</v>
      </c>
      <c r="Z209" s="382">
        <v>10</v>
      </c>
      <c r="AA209" s="382">
        <v>10</v>
      </c>
      <c r="AB209" s="438">
        <v>8</v>
      </c>
      <c r="AC209" s="438">
        <v>8</v>
      </c>
      <c r="AD209" s="438">
        <v>8</v>
      </c>
      <c r="AE209" s="438">
        <v>8</v>
      </c>
      <c r="AF209" s="438">
        <v>8</v>
      </c>
      <c r="AG209" s="438">
        <v>8</v>
      </c>
      <c r="AH209" s="438">
        <v>8</v>
      </c>
      <c r="AI209" s="438">
        <v>8</v>
      </c>
      <c r="AJ209" s="438">
        <v>8</v>
      </c>
      <c r="AK209" s="438">
        <v>8</v>
      </c>
      <c r="AL209" s="438">
        <v>8</v>
      </c>
      <c r="AM209" s="438">
        <v>8</v>
      </c>
      <c r="AN209" s="438">
        <v>8</v>
      </c>
      <c r="AO209" s="438">
        <v>8</v>
      </c>
      <c r="AP209" s="438">
        <v>8</v>
      </c>
      <c r="AQ209" s="438">
        <v>8</v>
      </c>
      <c r="AR209" s="438">
        <v>8</v>
      </c>
      <c r="AS209" s="438">
        <v>8</v>
      </c>
      <c r="AT209" s="438">
        <v>8</v>
      </c>
      <c r="AU209" s="438">
        <v>8</v>
      </c>
      <c r="AV209" s="438">
        <v>8</v>
      </c>
      <c r="AW209" s="438">
        <v>8</v>
      </c>
      <c r="AX209" s="438">
        <v>8</v>
      </c>
      <c r="AY209" s="438">
        <v>8</v>
      </c>
      <c r="AZ209" s="438">
        <v>8</v>
      </c>
      <c r="BA209" s="438">
        <v>8</v>
      </c>
      <c r="BB209" s="438">
        <v>8</v>
      </c>
      <c r="BC209" s="438">
        <v>8</v>
      </c>
      <c r="BD209" s="438">
        <v>8</v>
      </c>
      <c r="BE209" s="438">
        <v>8</v>
      </c>
      <c r="BF209" s="438">
        <v>8</v>
      </c>
      <c r="BG209" s="438">
        <v>8</v>
      </c>
      <c r="BH209" s="438">
        <v>8</v>
      </c>
      <c r="BI209" s="438">
        <v>8</v>
      </c>
      <c r="BJ209" s="438">
        <v>8</v>
      </c>
      <c r="BK209" s="438">
        <v>8</v>
      </c>
      <c r="BL209" s="438">
        <v>8</v>
      </c>
      <c r="BM209" s="438">
        <v>8</v>
      </c>
      <c r="BN209" s="438">
        <v>8</v>
      </c>
      <c r="BO209" s="438">
        <v>8</v>
      </c>
      <c r="BP209" s="438">
        <v>8</v>
      </c>
      <c r="BQ209" s="438">
        <v>8</v>
      </c>
      <c r="BR209" s="438">
        <v>8</v>
      </c>
      <c r="BS209" s="438">
        <v>8</v>
      </c>
      <c r="BT209" s="438">
        <v>8</v>
      </c>
      <c r="BU209" s="438">
        <v>8</v>
      </c>
      <c r="BV209" s="438">
        <v>8</v>
      </c>
      <c r="BW209" s="438">
        <v>8</v>
      </c>
      <c r="BX209" s="438">
        <v>8</v>
      </c>
      <c r="BY209" s="438">
        <v>8</v>
      </c>
      <c r="BZ209" s="438">
        <v>8</v>
      </c>
      <c r="CA209" s="438">
        <v>8</v>
      </c>
      <c r="CB209" s="438">
        <v>8</v>
      </c>
      <c r="CC209" s="438">
        <v>8</v>
      </c>
      <c r="CD209" s="438">
        <v>8</v>
      </c>
      <c r="CE209" s="438">
        <v>8</v>
      </c>
      <c r="CF209" s="438">
        <v>11</v>
      </c>
    </row>
  </sheetData>
  <sheetProtection formatColumns="0" formatRows="0" insertRows="0" deleteColumns="0" deleteRows="0" sort="0" autoFilter="0"/>
  <mergeCells count="282">
    <mergeCell ref="U200:U202"/>
    <mergeCell ref="V200:V202"/>
    <mergeCell ref="U197:U199"/>
    <mergeCell ref="V197:V199"/>
    <mergeCell ref="D194:D202"/>
    <mergeCell ref="E194:G194"/>
    <mergeCell ref="H194:R194"/>
    <mergeCell ref="AC194:AC199"/>
    <mergeCell ref="E195:G195"/>
    <mergeCell ref="H195:R195"/>
    <mergeCell ref="E196:G196"/>
    <mergeCell ref="H196:R196"/>
    <mergeCell ref="E197:P197"/>
    <mergeCell ref="U191:U193"/>
    <mergeCell ref="V191:V193"/>
    <mergeCell ref="U188:U190"/>
    <mergeCell ref="V188:V190"/>
    <mergeCell ref="D185:D193"/>
    <mergeCell ref="E185:G185"/>
    <mergeCell ref="H185:R185"/>
    <mergeCell ref="AC185:AC190"/>
    <mergeCell ref="E186:G186"/>
    <mergeCell ref="H186:R186"/>
    <mergeCell ref="E187:G187"/>
    <mergeCell ref="H187:R187"/>
    <mergeCell ref="E188:P188"/>
    <mergeCell ref="U182:U184"/>
    <mergeCell ref="V182:V184"/>
    <mergeCell ref="U179:U181"/>
    <mergeCell ref="V179:V181"/>
    <mergeCell ref="D176:D184"/>
    <mergeCell ref="E176:G176"/>
    <mergeCell ref="H176:R176"/>
    <mergeCell ref="AC176:AC181"/>
    <mergeCell ref="E177:G177"/>
    <mergeCell ref="H177:R177"/>
    <mergeCell ref="E178:G178"/>
    <mergeCell ref="H178:R178"/>
    <mergeCell ref="E179:P179"/>
    <mergeCell ref="U173:U175"/>
    <mergeCell ref="V173:V175"/>
    <mergeCell ref="U170:U172"/>
    <mergeCell ref="V170:V172"/>
    <mergeCell ref="D167:D175"/>
    <mergeCell ref="E167:G167"/>
    <mergeCell ref="H167:R167"/>
    <mergeCell ref="AC167:AC172"/>
    <mergeCell ref="E168:G168"/>
    <mergeCell ref="H168:R168"/>
    <mergeCell ref="E169:G169"/>
    <mergeCell ref="H169:R169"/>
    <mergeCell ref="E170:P170"/>
    <mergeCell ref="U164:U166"/>
    <mergeCell ref="V164:V166"/>
    <mergeCell ref="U161:U163"/>
    <mergeCell ref="V161:V163"/>
    <mergeCell ref="D158:D166"/>
    <mergeCell ref="E158:G158"/>
    <mergeCell ref="H158:R158"/>
    <mergeCell ref="AC158:AC163"/>
    <mergeCell ref="E159:G159"/>
    <mergeCell ref="H159:R159"/>
    <mergeCell ref="E160:G160"/>
    <mergeCell ref="H160:R160"/>
    <mergeCell ref="E161:P161"/>
    <mergeCell ref="U155:U157"/>
    <mergeCell ref="V155:V157"/>
    <mergeCell ref="U152:U154"/>
    <mergeCell ref="V152:V154"/>
    <mergeCell ref="D149:D157"/>
    <mergeCell ref="E149:G149"/>
    <mergeCell ref="H149:R149"/>
    <mergeCell ref="AC149:AC154"/>
    <mergeCell ref="E150:G150"/>
    <mergeCell ref="H150:R150"/>
    <mergeCell ref="E151:G151"/>
    <mergeCell ref="H151:R151"/>
    <mergeCell ref="E152:P152"/>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92:U94"/>
    <mergeCell ref="V92:V94"/>
    <mergeCell ref="U89:U91"/>
    <mergeCell ref="V89:V91"/>
    <mergeCell ref="D86:D94"/>
    <mergeCell ref="E86:G86"/>
    <mergeCell ref="H86:R86"/>
    <mergeCell ref="AC86:AC91"/>
    <mergeCell ref="E87:G87"/>
    <mergeCell ref="H87:R87"/>
    <mergeCell ref="E88:G88"/>
    <mergeCell ref="H88:R88"/>
    <mergeCell ref="E89:P89"/>
    <mergeCell ref="U83:U85"/>
    <mergeCell ref="V83:V85"/>
    <mergeCell ref="U80:U82"/>
    <mergeCell ref="V80:V82"/>
    <mergeCell ref="D77:D85"/>
    <mergeCell ref="E77:G77"/>
    <mergeCell ref="H77:R77"/>
    <mergeCell ref="AC77:AC82"/>
    <mergeCell ref="E78:G78"/>
    <mergeCell ref="H78:R78"/>
    <mergeCell ref="E79:G79"/>
    <mergeCell ref="H79:R79"/>
    <mergeCell ref="E80:P80"/>
    <mergeCell ref="U74:U76"/>
    <mergeCell ref="V74:V76"/>
    <mergeCell ref="U71:U73"/>
    <mergeCell ref="V71:V73"/>
    <mergeCell ref="D68:D76"/>
    <mergeCell ref="E68:G68"/>
    <mergeCell ref="H68:R68"/>
    <mergeCell ref="AC68:AC73"/>
    <mergeCell ref="E69:G69"/>
    <mergeCell ref="H69:R69"/>
    <mergeCell ref="E70:G70"/>
    <mergeCell ref="H70:R70"/>
    <mergeCell ref="E71:P71"/>
    <mergeCell ref="U65:U67"/>
    <mergeCell ref="V65:V67"/>
    <mergeCell ref="U62:U64"/>
    <mergeCell ref="V62:V64"/>
    <mergeCell ref="D59:D67"/>
    <mergeCell ref="E59:G59"/>
    <mergeCell ref="H59:R59"/>
    <mergeCell ref="AC59:AC64"/>
    <mergeCell ref="E60:G60"/>
    <mergeCell ref="H60:R60"/>
    <mergeCell ref="E61:G61"/>
    <mergeCell ref="H61:R61"/>
    <mergeCell ref="E62:P62"/>
    <mergeCell ref="V56:V58"/>
    <mergeCell ref="U53:U55"/>
    <mergeCell ref="V53:V55"/>
    <mergeCell ref="D50:D58"/>
    <mergeCell ref="E50:G50"/>
    <mergeCell ref="H50:R50"/>
    <mergeCell ref="AC50:AC55"/>
    <mergeCell ref="E51:G51"/>
    <mergeCell ref="H51:R51"/>
    <mergeCell ref="E52:G52"/>
    <mergeCell ref="H52:R52"/>
    <mergeCell ref="E53:P53"/>
    <mergeCell ref="D41:D49"/>
    <mergeCell ref="E41:G41"/>
    <mergeCell ref="H41:R41"/>
    <mergeCell ref="AC41:AC46"/>
    <mergeCell ref="E42:G42"/>
    <mergeCell ref="H42:R42"/>
    <mergeCell ref="E43:G43"/>
    <mergeCell ref="H43:R43"/>
    <mergeCell ref="E44:P44"/>
    <mergeCell ref="D32:D40"/>
    <mergeCell ref="E32:G32"/>
    <mergeCell ref="H32:R32"/>
    <mergeCell ref="AC32:AC37"/>
    <mergeCell ref="E33:G33"/>
    <mergeCell ref="H33:R33"/>
    <mergeCell ref="E34:G34"/>
    <mergeCell ref="H34:R34"/>
    <mergeCell ref="E35:P35"/>
    <mergeCell ref="D23:D31"/>
    <mergeCell ref="E23:G23"/>
    <mergeCell ref="H23:R23"/>
    <mergeCell ref="AC23:AC28"/>
    <mergeCell ref="E24:G24"/>
    <mergeCell ref="H24:R24"/>
    <mergeCell ref="E25:G25"/>
    <mergeCell ref="H25:R25"/>
    <mergeCell ref="E26:P26"/>
    <mergeCell ref="E207:R207"/>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U38:U40"/>
    <mergeCell ref="V38:V40"/>
    <mergeCell ref="U35:U37"/>
    <mergeCell ref="V35:V37"/>
    <mergeCell ref="U47:U49"/>
    <mergeCell ref="V47:V49"/>
    <mergeCell ref="U44:U46"/>
    <mergeCell ref="V44:V46"/>
    <mergeCell ref="U56:U58"/>
    <mergeCell ref="E5:K5"/>
    <mergeCell ref="E6:K6"/>
    <mergeCell ref="E9:R9"/>
    <mergeCell ref="S9:S10"/>
    <mergeCell ref="E10:F10"/>
    <mergeCell ref="H10:I10"/>
    <mergeCell ref="L10:M10"/>
    <mergeCell ref="D14:D22"/>
    <mergeCell ref="H14:R14"/>
    <mergeCell ref="H15:R15"/>
    <mergeCell ref="H16:R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E204"/>
  <sheetViews>
    <sheetView showGridLines="0" zoomScale="90" workbookViewId="0">
      <pane xSplit="12" ySplit="14" topLeftCell="AG15" activePane="bottomRight" state="frozen"/>
      <selection pane="topRight" activeCell="M1" sqref="M1"/>
      <selection pane="bottomLeft" activeCell="A15" sqref="A15"/>
      <selection pane="bottomRight" activeCell="AG9" sqref="AG9"/>
    </sheetView>
  </sheetViews>
  <sheetFormatPr defaultColWidth="9.140625" defaultRowHeight="11.25" customHeight="1"/>
  <cols>
    <col min="1" max="5" width="10.7109375" style="839" hidden="1" customWidth="1"/>
    <col min="6" max="6" width="16.85546875" style="1154" hidden="1" customWidth="1"/>
    <col min="7" max="7" width="5.5703125" style="1430" hidden="1" customWidth="1"/>
    <col min="8" max="8" width="3" style="1423" customWidth="1"/>
    <col min="9" max="9" width="7" style="1423" customWidth="1"/>
    <col min="10" max="10" width="56" style="1423" customWidth="1"/>
    <col min="11" max="11" width="10" style="1423" customWidth="1"/>
    <col min="12" max="12" width="40.5703125" style="1423" hidden="1" customWidth="1"/>
    <col min="13" max="13" width="40.7109375" style="1423" customWidth="1"/>
    <col min="14" max="33" width="40.5703125" style="1423" customWidth="1"/>
    <col min="34" max="34" width="9.7109375" style="1154" hidden="1" customWidth="1"/>
    <col min="35" max="35" width="102" style="1423" customWidth="1"/>
    <col min="36" max="36" width="9" style="1154" customWidth="1"/>
    <col min="37" max="37" width="5" style="1430" customWidth="1"/>
    <col min="38" max="38" width="3" style="1430" customWidth="1"/>
    <col min="39" max="42" width="3" style="1154" customWidth="1"/>
    <col min="43" max="43" width="10" style="1430" customWidth="1"/>
    <col min="44" max="44" width="34" style="1154" customWidth="1"/>
    <col min="45" max="45" width="9" style="1154" customWidth="1"/>
    <col min="46" max="46" width="8" style="647" customWidth="1"/>
    <col min="47" max="51" width="8" style="1154" customWidth="1"/>
    <col min="52" max="56" width="8" style="1420" customWidth="1"/>
    <col min="57" max="57" width="5.42578125" style="1423" hidden="1" customWidth="1"/>
  </cols>
  <sheetData>
    <row r="1" spans="1:57" s="1154" customFormat="1" ht="33.75" hidden="1" customHeight="1">
      <c r="A1" s="839"/>
      <c r="B1" s="839"/>
      <c r="C1" s="839"/>
      <c r="D1" s="839"/>
      <c r="E1" s="839"/>
      <c r="G1" s="1424"/>
      <c r="H1" s="777"/>
      <c r="L1" s="1154">
        <v>4</v>
      </c>
      <c r="M1" s="1154">
        <v>4</v>
      </c>
      <c r="N1" s="1154">
        <v>4</v>
      </c>
      <c r="O1" s="1154">
        <v>4</v>
      </c>
      <c r="P1" s="1154">
        <v>4</v>
      </c>
      <c r="Q1" s="1154">
        <v>4</v>
      </c>
      <c r="R1" s="1154">
        <v>4</v>
      </c>
      <c r="S1" s="1154">
        <v>4</v>
      </c>
      <c r="T1" s="1154">
        <v>4</v>
      </c>
      <c r="U1" s="1154">
        <v>4</v>
      </c>
      <c r="V1" s="1154">
        <v>4</v>
      </c>
      <c r="W1" s="1154">
        <v>4</v>
      </c>
      <c r="X1" s="1154">
        <v>4</v>
      </c>
      <c r="Y1" s="1154">
        <v>4</v>
      </c>
      <c r="Z1" s="1154">
        <v>4</v>
      </c>
      <c r="AA1" s="1154">
        <v>4</v>
      </c>
      <c r="AB1" s="1154">
        <v>4</v>
      </c>
      <c r="AC1" s="1154">
        <v>4</v>
      </c>
      <c r="AD1" s="1154">
        <v>4</v>
      </c>
      <c r="AE1" s="1154">
        <v>4</v>
      </c>
      <c r="AF1" s="1154">
        <v>4</v>
      </c>
      <c r="AG1" s="1154">
        <v>4</v>
      </c>
      <c r="AK1" s="1424"/>
      <c r="AL1" s="1424"/>
      <c r="AQ1" s="1424"/>
      <c r="BE1" s="1154" t="s">
        <v>1</v>
      </c>
    </row>
    <row r="2" spans="1:57" s="1154" customFormat="1" ht="78.75" hidden="1" customHeight="1">
      <c r="A2" s="839"/>
      <c r="B2" s="1803" t="s">
        <v>730</v>
      </c>
      <c r="C2" s="1803" t="s">
        <v>731</v>
      </c>
      <c r="D2" s="1802" t="s">
        <v>732</v>
      </c>
      <c r="E2" s="1806" t="e">
        <f>RIGHT(I2,LEN(I2)-SEARCH("#",SUBSTITUTE(I2,".","#",LEN(I2)-LEN(SUBSTITUTE(I2,".","")))))</f>
        <v>#VALUE!</v>
      </c>
      <c r="F2" s="1808">
        <f>J2</f>
        <v>0</v>
      </c>
      <c r="G2" s="1424"/>
      <c r="H2" s="1809"/>
      <c r="I2" s="1799"/>
      <c r="J2" s="472"/>
      <c r="K2" s="1769" t="s">
        <v>640</v>
      </c>
      <c r="L2" s="658"/>
      <c r="M2" s="658"/>
      <c r="N2" s="658"/>
      <c r="O2" s="658"/>
      <c r="P2" s="658"/>
      <c r="Q2" s="658"/>
      <c r="R2" s="658"/>
      <c r="S2" s="658"/>
      <c r="T2" s="658"/>
      <c r="U2" s="658"/>
      <c r="V2" s="658"/>
      <c r="W2" s="658"/>
      <c r="X2" s="658"/>
      <c r="Y2" s="658"/>
      <c r="Z2" s="658"/>
      <c r="AA2" s="658"/>
      <c r="AB2" s="658"/>
      <c r="AC2" s="658"/>
      <c r="AD2" s="658"/>
      <c r="AE2" s="658"/>
      <c r="AF2" s="658"/>
      <c r="AG2" s="658"/>
      <c r="AH2" s="475"/>
      <c r="AI2" s="1313" t="s">
        <v>641</v>
      </c>
      <c r="AJ2" s="475"/>
      <c r="AK2" s="1424"/>
      <c r="AL2" s="1424"/>
      <c r="AQ2" s="1424"/>
      <c r="AT2" s="476"/>
      <c r="AZ2" s="1420"/>
      <c r="BA2" s="1420"/>
      <c r="BB2" s="1420"/>
      <c r="BC2" s="1420"/>
      <c r="BD2" s="1420"/>
      <c r="BE2" s="1154">
        <v>0</v>
      </c>
    </row>
    <row r="3" spans="1:57" ht="11.25" hidden="1" customHeight="1">
      <c r="E3" s="1801" t="s">
        <v>733</v>
      </c>
      <c r="L3" s="1419">
        <f>0</f>
        <v>0</v>
      </c>
      <c r="M3" s="1419">
        <v>1</v>
      </c>
      <c r="N3" s="1423">
        <f>0</f>
        <v>0</v>
      </c>
      <c r="O3" s="1423">
        <f>0</f>
        <v>0</v>
      </c>
      <c r="P3" s="1423">
        <f>0</f>
        <v>0</v>
      </c>
      <c r="Q3" s="1423">
        <f>0</f>
        <v>0</v>
      </c>
      <c r="R3" s="1423">
        <f>0</f>
        <v>0</v>
      </c>
      <c r="S3" s="1423">
        <f>0</f>
        <v>0</v>
      </c>
      <c r="T3" s="1423">
        <f>0</f>
        <v>0</v>
      </c>
      <c r="U3" s="1423">
        <f>0</f>
        <v>0</v>
      </c>
      <c r="V3" s="1423">
        <f>0</f>
        <v>0</v>
      </c>
      <c r="W3" s="1423">
        <f>0</f>
        <v>0</v>
      </c>
      <c r="X3" s="1423">
        <f>0</f>
        <v>0</v>
      </c>
      <c r="Y3" s="1423">
        <f>0</f>
        <v>0</v>
      </c>
      <c r="Z3" s="1423">
        <f>0</f>
        <v>0</v>
      </c>
      <c r="AA3" s="1423">
        <f>0</f>
        <v>0</v>
      </c>
      <c r="AB3" s="1423">
        <f>0</f>
        <v>0</v>
      </c>
      <c r="AC3" s="1423">
        <f>0</f>
        <v>0</v>
      </c>
      <c r="AD3" s="1423">
        <f>0</f>
        <v>0</v>
      </c>
      <c r="AE3" s="1423">
        <f>0</f>
        <v>0</v>
      </c>
      <c r="AF3" s="1423">
        <f>0</f>
        <v>0</v>
      </c>
      <c r="AG3" s="1423">
        <f>0</f>
        <v>0</v>
      </c>
      <c r="BE3" s="1419">
        <v>0</v>
      </c>
    </row>
    <row r="4" spans="1:57" s="1420" customFormat="1" ht="11.25" hidden="1" customHeight="1">
      <c r="A4" s="839"/>
      <c r="B4" s="839"/>
      <c r="C4" s="839"/>
      <c r="E4" s="839"/>
      <c r="F4" s="1154"/>
      <c r="G4" s="1424"/>
      <c r="H4" s="551"/>
      <c r="AH4" s="1154"/>
      <c r="AI4" s="1420">
        <v>4</v>
      </c>
      <c r="AJ4" s="1154"/>
      <c r="AK4" s="1424"/>
      <c r="AL4" s="1424"/>
      <c r="AM4" s="1154"/>
      <c r="AN4" s="1154"/>
      <c r="AO4" s="1154"/>
      <c r="AP4" s="1154"/>
      <c r="AQ4" s="1424"/>
      <c r="AR4" s="1154"/>
      <c r="AS4" s="1154"/>
      <c r="AT4" s="476"/>
      <c r="AU4" s="1154"/>
      <c r="AV4" s="1154"/>
      <c r="AW4" s="1154"/>
      <c r="AX4" s="1154"/>
      <c r="AY4" s="1154"/>
      <c r="BE4" s="1420">
        <v>0</v>
      </c>
    </row>
    <row r="5" spans="1:57" ht="11.45" customHeight="1">
      <c r="BE5" s="1419">
        <v>11</v>
      </c>
    </row>
    <row r="6" spans="1:57" ht="57.75" customHeight="1">
      <c r="I6" s="2326" t="s">
        <v>734</v>
      </c>
      <c r="J6" s="2326"/>
      <c r="K6" s="2326"/>
      <c r="L6" s="2326"/>
      <c r="M6" s="2326"/>
      <c r="N6" s="1851"/>
      <c r="O6" s="1851"/>
      <c r="P6" s="1851"/>
      <c r="Q6" s="1851"/>
      <c r="R6" s="1851"/>
      <c r="S6" s="1851"/>
      <c r="T6" s="1851"/>
      <c r="U6" s="1851"/>
      <c r="V6" s="1851"/>
      <c r="W6" s="1851"/>
      <c r="X6" s="1851"/>
      <c r="Y6" s="1851"/>
      <c r="Z6" s="1851"/>
      <c r="AA6" s="1851"/>
      <c r="AB6" s="1851"/>
      <c r="AC6" s="1851"/>
      <c r="AD6" s="1851"/>
      <c r="AE6" s="1851"/>
      <c r="AF6" s="1851"/>
      <c r="AG6" s="1851"/>
      <c r="AI6" s="488"/>
      <c r="BE6" s="1419">
        <v>55</v>
      </c>
    </row>
    <row r="7" spans="1:57" ht="25.15" customHeight="1">
      <c r="I7" s="2349" t="str">
        <f>IF(org=0,"Не определено",org)</f>
        <v>ООО "Смоленскрегионтеплоэнерго"</v>
      </c>
      <c r="J7" s="2349"/>
      <c r="K7" s="2349"/>
      <c r="L7" s="2349"/>
      <c r="M7" s="2349"/>
      <c r="N7" s="1847"/>
      <c r="O7" s="1847"/>
      <c r="P7" s="1847"/>
      <c r="Q7" s="1847"/>
      <c r="R7" s="1847"/>
      <c r="S7" s="1847"/>
      <c r="T7" s="1847"/>
      <c r="U7" s="1847"/>
      <c r="V7" s="1847"/>
      <c r="W7" s="1847"/>
      <c r="X7" s="1847"/>
      <c r="Y7" s="1847"/>
      <c r="Z7" s="1847"/>
      <c r="AA7" s="1847"/>
      <c r="AB7" s="1847"/>
      <c r="AC7" s="1847"/>
      <c r="AD7" s="1847"/>
      <c r="AE7" s="1847"/>
      <c r="AF7" s="1847"/>
      <c r="AG7" s="1847"/>
      <c r="BE7" s="1419">
        <v>24</v>
      </c>
    </row>
    <row r="8" spans="1:57" ht="11.45" customHeight="1">
      <c r="I8" s="953"/>
      <c r="J8" s="953"/>
      <c r="K8" s="953"/>
      <c r="L8" s="953"/>
      <c r="M8" s="953"/>
      <c r="N8" s="954" t="s">
        <v>9</v>
      </c>
      <c r="O8" s="954" t="s">
        <v>9</v>
      </c>
      <c r="P8" s="954" t="s">
        <v>9</v>
      </c>
      <c r="Q8" s="954" t="s">
        <v>9</v>
      </c>
      <c r="R8" s="954" t="s">
        <v>9</v>
      </c>
      <c r="S8" s="954" t="s">
        <v>9</v>
      </c>
      <c r="T8" s="954" t="s">
        <v>9</v>
      </c>
      <c r="U8" s="954" t="s">
        <v>9</v>
      </c>
      <c r="V8" s="954" t="s">
        <v>9</v>
      </c>
      <c r="W8" s="954" t="s">
        <v>9</v>
      </c>
      <c r="X8" s="954" t="s">
        <v>9</v>
      </c>
      <c r="Y8" s="954" t="s">
        <v>9</v>
      </c>
      <c r="Z8" s="954" t="s">
        <v>9</v>
      </c>
      <c r="AA8" s="954" t="s">
        <v>9</v>
      </c>
      <c r="AB8" s="954" t="s">
        <v>9</v>
      </c>
      <c r="AC8" s="954" t="s">
        <v>9</v>
      </c>
      <c r="AD8" s="954" t="s">
        <v>9</v>
      </c>
      <c r="AE8" s="954" t="s">
        <v>9</v>
      </c>
      <c r="AF8" s="954" t="s">
        <v>9</v>
      </c>
      <c r="AG8" s="954" t="s">
        <v>9</v>
      </c>
      <c r="BE8" s="1419">
        <v>11</v>
      </c>
    </row>
    <row r="9" spans="1:57" s="1430" customFormat="1" ht="30" hidden="1" customHeight="1">
      <c r="A9" s="968"/>
      <c r="B9" s="968"/>
      <c r="C9" s="968"/>
      <c r="E9" s="968"/>
      <c r="L9" s="787"/>
      <c r="M9" s="787" t="s">
        <v>167</v>
      </c>
      <c r="N9" s="787" t="s">
        <v>172</v>
      </c>
      <c r="O9" s="787" t="s">
        <v>174</v>
      </c>
      <c r="P9" s="787" t="s">
        <v>176</v>
      </c>
      <c r="Q9" s="787" t="s">
        <v>178</v>
      </c>
      <c r="R9" s="787" t="s">
        <v>180</v>
      </c>
      <c r="S9" s="787" t="s">
        <v>182</v>
      </c>
      <c r="T9" s="787" t="s">
        <v>184</v>
      </c>
      <c r="U9" s="787" t="s">
        <v>186</v>
      </c>
      <c r="V9" s="787" t="s">
        <v>188</v>
      </c>
      <c r="W9" s="787" t="s">
        <v>190</v>
      </c>
      <c r="X9" s="787" t="s">
        <v>192</v>
      </c>
      <c r="Y9" s="787" t="s">
        <v>194</v>
      </c>
      <c r="Z9" s="787" t="s">
        <v>196</v>
      </c>
      <c r="AA9" s="787" t="s">
        <v>198</v>
      </c>
      <c r="AB9" s="787" t="s">
        <v>200</v>
      </c>
      <c r="AC9" s="787" t="s">
        <v>202</v>
      </c>
      <c r="AD9" s="787" t="s">
        <v>204</v>
      </c>
      <c r="AE9" s="787" t="s">
        <v>206</v>
      </c>
      <c r="AF9" s="787" t="s">
        <v>208</v>
      </c>
      <c r="AG9" s="787" t="s">
        <v>210</v>
      </c>
      <c r="BE9" s="1424">
        <v>1</v>
      </c>
    </row>
    <row r="10" spans="1:57" ht="11.45" customHeight="1">
      <c r="E10" s="1800" t="s">
        <v>735</v>
      </c>
      <c r="I10" s="629"/>
      <c r="J10" s="2484" t="s">
        <v>157</v>
      </c>
      <c r="K10" s="2485"/>
      <c r="L10" s="1779" t="str">
        <f t="shared" ref="L10:AG10" si="0">IF(L9="","",INDEX(DIFFERENTIATION_UNMERGE_VD,MATCH(L9,DIFFERENTIATION_ID_DIFF,0)))</f>
        <v/>
      </c>
      <c r="M10" s="1779" t="str">
        <f t="shared" si="0"/>
        <v>Производство тепловой энергии. Некомбинированная выработка; Передача. Тепловая энергия; Сбыт. Тепловая энергия</v>
      </c>
      <c r="N10" s="1855" t="str">
        <f t="shared" si="0"/>
        <v>Производство тепловой энергии. Некомбинированная выработка; Передача. Тепловая энергия; Сбыт. Тепловая энергия</v>
      </c>
      <c r="O10" s="1855" t="str">
        <f t="shared" si="0"/>
        <v>Производство тепловой энергии. Некомбинированная выработка; Передача. Тепловая энергия; Сбыт. Тепловая энергия</v>
      </c>
      <c r="P10" s="1855" t="str">
        <f t="shared" si="0"/>
        <v>Производство тепловой энергии. Некомбинированная выработка; Передача. Тепловая энергия; Сбыт. Тепловая энергия</v>
      </c>
      <c r="Q10" s="1855" t="str">
        <f t="shared" si="0"/>
        <v>Производство тепловой энергии. Некомбинированная выработка; Передача. Тепловая энергия; Сбыт. Тепловая энергия</v>
      </c>
      <c r="R10" s="1855" t="str">
        <f t="shared" si="0"/>
        <v>Производство тепловой энергии. Некомбинированная выработка; Передача. Тепловая энергия; Сбыт. Тепловая энергия</v>
      </c>
      <c r="S10" s="1855" t="str">
        <f t="shared" si="0"/>
        <v>Производство тепловой энергии. Некомбинированная выработка; Передача. Тепловая энергия; Сбыт. Тепловая энергия</v>
      </c>
      <c r="T10" s="1855" t="str">
        <f t="shared" si="0"/>
        <v>Производство тепловой энергии. Некомбинированная выработка; Передача. Тепловая энергия; Сбыт. Тепловая энергия</v>
      </c>
      <c r="U10" s="1855" t="str">
        <f t="shared" si="0"/>
        <v>Производство тепловой энергии. Некомбинированная выработка; Передача. Тепловая энергия; Сбыт. Тепловая энергия</v>
      </c>
      <c r="V10" s="1855" t="str">
        <f t="shared" si="0"/>
        <v>Производство тепловой энергии. Некомбинированная выработка; Передача. Тепловая энергия; Сбыт. Тепловая энергия</v>
      </c>
      <c r="W10" s="1855" t="str">
        <f t="shared" si="0"/>
        <v>Производство тепловой энергии. Некомбинированная выработка; Передача. Тепловая энергия; Сбыт. Тепловая энергия</v>
      </c>
      <c r="X10" s="1855" t="str">
        <f t="shared" si="0"/>
        <v>Производство тепловой энергии. Некомбинированная выработка; Передача. Тепловая энергия; Сбыт. Тепловая энергия</v>
      </c>
      <c r="Y10" s="1855" t="str">
        <f t="shared" si="0"/>
        <v>Производство тепловой энергии. Некомбинированная выработка; Передача. Тепловая энергия; Сбыт. Тепловая энергия</v>
      </c>
      <c r="Z10" s="1855" t="str">
        <f t="shared" si="0"/>
        <v>Производство тепловой энергии. Некомбинированная выработка; Передача. Тепловая энергия; Сбыт. Тепловая энергия</v>
      </c>
      <c r="AA10" s="1855" t="str">
        <f t="shared" si="0"/>
        <v>Производство тепловой энергии. Некомбинированная выработка; Передача. Тепловая энергия; Сбыт. Тепловая энергия</v>
      </c>
      <c r="AB10" s="1855" t="str">
        <f t="shared" si="0"/>
        <v>Производство тепловой энергии. Некомбинированная выработка; Передача. Тепловая энергия; Сбыт. Тепловая энергия</v>
      </c>
      <c r="AC10" s="1855" t="str">
        <f t="shared" si="0"/>
        <v>Производство тепловой энергии. Некомбинированная выработка; Передача. Тепловая энергия; Сбыт. Тепловая энергия</v>
      </c>
      <c r="AD10" s="1855" t="str">
        <f t="shared" si="0"/>
        <v>Производство тепловой энергии. Некомбинированная выработка; Передача. Тепловая энергия; Сбыт. Тепловая энергия</v>
      </c>
      <c r="AE10" s="1855" t="str">
        <f t="shared" si="0"/>
        <v>Производство тепловой энергии. Некомбинированная выработка; Передача. Тепловая энергия; Сбыт. Тепловая энергия</v>
      </c>
      <c r="AF10" s="1855" t="str">
        <f t="shared" si="0"/>
        <v>Производство тепловой энергии. Некомбинированная выработка; Передача. Тепловая энергия; Сбыт. Тепловая энергия</v>
      </c>
      <c r="AG10" s="1855" t="str">
        <f t="shared" si="0"/>
        <v>Производство тепловой энергии. Некомбинированная выработка; Передача. Тепловая энергия; Сбыт. Тепловая энергия</v>
      </c>
      <c r="AI10" s="2266" t="s">
        <v>385</v>
      </c>
      <c r="BE10" s="1419">
        <v>11</v>
      </c>
    </row>
    <row r="11" spans="1:57" ht="11.45" customHeight="1">
      <c r="E11" s="1800" t="s">
        <v>736</v>
      </c>
      <c r="I11" s="629"/>
      <c r="J11" s="2484" t="s">
        <v>648</v>
      </c>
      <c r="K11" s="2485"/>
      <c r="L11" s="1779" t="str">
        <f t="shared" ref="L11:AG11" si="1">IF(L9="","",INDEX(DIFFERENTIATION_UNMERGE_AREA,MATCH(L9,DIFFERENTIATION_ID_DIFF,0)))</f>
        <v/>
      </c>
      <c r="M11" s="1779" t="str">
        <f t="shared" si="1"/>
        <v>Территория 1</v>
      </c>
      <c r="N11" s="1855" t="str">
        <f t="shared" si="1"/>
        <v>Территория 2</v>
      </c>
      <c r="O11" s="1855" t="str">
        <f t="shared" si="1"/>
        <v>Территория 3</v>
      </c>
      <c r="P11" s="1855" t="str">
        <f t="shared" si="1"/>
        <v>Территория 4</v>
      </c>
      <c r="Q11" s="1855" t="str">
        <f t="shared" si="1"/>
        <v>Территория 5</v>
      </c>
      <c r="R11" s="1855" t="str">
        <f t="shared" si="1"/>
        <v>Территория 6</v>
      </c>
      <c r="S11" s="1855" t="str">
        <f t="shared" si="1"/>
        <v>Территория 6</v>
      </c>
      <c r="T11" s="1855" t="str">
        <f t="shared" si="1"/>
        <v>Территория 6</v>
      </c>
      <c r="U11" s="1855" t="str">
        <f t="shared" si="1"/>
        <v>Территория 7</v>
      </c>
      <c r="V11" s="1855" t="str">
        <f t="shared" si="1"/>
        <v>Территория 8</v>
      </c>
      <c r="W11" s="1855" t="str">
        <f t="shared" si="1"/>
        <v>Территория 8</v>
      </c>
      <c r="X11" s="1855" t="str">
        <f t="shared" si="1"/>
        <v>Территория 8</v>
      </c>
      <c r="Y11" s="1855" t="str">
        <f t="shared" si="1"/>
        <v>Территория 9</v>
      </c>
      <c r="Z11" s="1855" t="str">
        <f t="shared" si="1"/>
        <v>Территория 10</v>
      </c>
      <c r="AA11" s="1855" t="str">
        <f t="shared" si="1"/>
        <v>Территория 10</v>
      </c>
      <c r="AB11" s="1855" t="str">
        <f t="shared" si="1"/>
        <v>Территория 11</v>
      </c>
      <c r="AC11" s="1855" t="str">
        <f t="shared" si="1"/>
        <v>Территория 12</v>
      </c>
      <c r="AD11" s="1855" t="str">
        <f t="shared" si="1"/>
        <v>Территория 13</v>
      </c>
      <c r="AE11" s="1855" t="str">
        <f t="shared" si="1"/>
        <v>Территория 13</v>
      </c>
      <c r="AF11" s="1855" t="str">
        <f t="shared" si="1"/>
        <v>Территория 13</v>
      </c>
      <c r="AG11" s="1855" t="str">
        <f t="shared" si="1"/>
        <v>Территория 13</v>
      </c>
      <c r="AI11" s="2266"/>
      <c r="BE11" s="1419">
        <v>11</v>
      </c>
    </row>
    <row r="12" spans="1:57" ht="11.45" customHeight="1">
      <c r="E12" s="1800" t="s">
        <v>737</v>
      </c>
      <c r="I12" s="1450"/>
      <c r="J12" s="2484" t="s">
        <v>649</v>
      </c>
      <c r="K12" s="2485"/>
      <c r="L12" s="1779" t="str">
        <f t="shared" ref="L12:AG12" si="2">IF(L9="","",INDEX(DIFFERENTIATION_UNMERGE_SYSTEM,MATCH(L9,DIFFERENTIATION_ID_DIFF,0)))</f>
        <v/>
      </c>
      <c r="M12" s="1779" t="str">
        <f t="shared" si="2"/>
        <v>котельная г. Вязьма ул. Московская</v>
      </c>
      <c r="N12" s="1855" t="str">
        <f t="shared" si="2"/>
        <v>Вяземский филиал</v>
      </c>
      <c r="O12" s="1855" t="str">
        <f t="shared" si="2"/>
        <v>котельная с. Карманово, ул. Набережная, д. 18, стр. 3</v>
      </c>
      <c r="P12" s="1855" t="str">
        <f t="shared" si="2"/>
        <v>Рославльский филиал</v>
      </c>
      <c r="Q12" s="1855" t="str">
        <f t="shared" si="2"/>
        <v>котельная г. Рославль, ул. Мичурина</v>
      </c>
      <c r="R12" s="1855" t="str">
        <f t="shared" si="2"/>
        <v>котельная д. Даньково</v>
      </c>
      <c r="S12" s="1855" t="str">
        <f t="shared" si="2"/>
        <v>котельная д. Пересна</v>
      </c>
      <c r="T12" s="1855" t="str">
        <f t="shared" si="2"/>
        <v>котельная г. Починок, ул. Садовая</v>
      </c>
      <c r="U12" s="1855" t="str">
        <f t="shared" si="2"/>
        <v>Сафоновский филиал</v>
      </c>
      <c r="V12" s="1855" t="str">
        <f t="shared" si="2"/>
        <v>котельная г. Сафоново, ул. Советская</v>
      </c>
      <c r="W12" s="1855" t="str">
        <f t="shared" si="2"/>
        <v>котельная г. Сафоново, ул. Первомайская</v>
      </c>
      <c r="X12" s="1855" t="str">
        <f t="shared" si="2"/>
        <v>котельная с. Издешково</v>
      </c>
      <c r="Y12" s="1855" t="str">
        <f t="shared" si="2"/>
        <v>котельная БМК Михайловское</v>
      </c>
      <c r="Z12" s="1855" t="str">
        <f t="shared" si="2"/>
        <v>котельные пгт. Холм-Жирковское, ул. Кирова,ул. Советская</v>
      </c>
      <c r="AA12" s="1855" t="str">
        <f t="shared" si="2"/>
        <v>котельная ст. Игоревская</v>
      </c>
      <c r="AB12" s="1855" t="str">
        <f t="shared" si="2"/>
        <v>Ярцевский филиал</v>
      </c>
      <c r="AC12" s="1855" t="str">
        <f t="shared" si="2"/>
        <v>п. Красный</v>
      </c>
      <c r="AD12" s="1855" t="str">
        <f t="shared" si="2"/>
        <v>котельная д. Богородицкое</v>
      </c>
      <c r="AE12" s="1855" t="str">
        <f t="shared" si="2"/>
        <v>котельная д. Сметанино</v>
      </c>
      <c r="AF12" s="1855" t="str">
        <f t="shared" si="2"/>
        <v>котельная с. Талашкино</v>
      </c>
      <c r="AG12" s="1855" t="str">
        <f t="shared" si="2"/>
        <v>котельная д. Митино</v>
      </c>
      <c r="AI12" s="2266"/>
      <c r="BE12" s="1419">
        <v>11</v>
      </c>
    </row>
    <row r="13" spans="1:57" ht="11.45" customHeight="1">
      <c r="E13" s="1800" t="s">
        <v>738</v>
      </c>
      <c r="F13" s="1800" t="s">
        <v>739</v>
      </c>
      <c r="I13" s="2486" t="s">
        <v>384</v>
      </c>
      <c r="J13" s="2487"/>
      <c r="K13" s="2487"/>
      <c r="L13" s="1777"/>
      <c r="M13" s="1817"/>
      <c r="N13" s="1854"/>
      <c r="O13" s="1854"/>
      <c r="P13" s="1854"/>
      <c r="Q13" s="1854"/>
      <c r="R13" s="1854"/>
      <c r="S13" s="1854"/>
      <c r="T13" s="1854"/>
      <c r="U13" s="1854"/>
      <c r="V13" s="1854"/>
      <c r="W13" s="1854"/>
      <c r="X13" s="1854"/>
      <c r="Y13" s="1854"/>
      <c r="Z13" s="1854"/>
      <c r="AA13" s="1854"/>
      <c r="AB13" s="1854"/>
      <c r="AC13" s="1854"/>
      <c r="AD13" s="1854"/>
      <c r="AE13" s="1854"/>
      <c r="AF13" s="1854"/>
      <c r="AG13" s="1854"/>
      <c r="AI13" s="2266"/>
      <c r="BE13" s="1419">
        <v>11</v>
      </c>
    </row>
    <row r="14" spans="1:57" ht="24" customHeight="1">
      <c r="I14" s="1770" t="s">
        <v>75</v>
      </c>
      <c r="J14" s="1770" t="s">
        <v>386</v>
      </c>
      <c r="K14" s="1770" t="s">
        <v>650</v>
      </c>
      <c r="L14" s="1810" t="s">
        <v>387</v>
      </c>
      <c r="M14" s="1811" t="s">
        <v>387</v>
      </c>
      <c r="N14" s="1849" t="s">
        <v>387</v>
      </c>
      <c r="O14" s="1849" t="s">
        <v>387</v>
      </c>
      <c r="P14" s="1849" t="s">
        <v>387</v>
      </c>
      <c r="Q14" s="1849" t="s">
        <v>387</v>
      </c>
      <c r="R14" s="1849" t="s">
        <v>387</v>
      </c>
      <c r="S14" s="1849" t="s">
        <v>387</v>
      </c>
      <c r="T14" s="1849" t="s">
        <v>387</v>
      </c>
      <c r="U14" s="1849" t="s">
        <v>387</v>
      </c>
      <c r="V14" s="1849" t="s">
        <v>387</v>
      </c>
      <c r="W14" s="1849" t="s">
        <v>387</v>
      </c>
      <c r="X14" s="1849" t="s">
        <v>387</v>
      </c>
      <c r="Y14" s="1849" t="s">
        <v>387</v>
      </c>
      <c r="Z14" s="1849" t="s">
        <v>387</v>
      </c>
      <c r="AA14" s="1849" t="s">
        <v>387</v>
      </c>
      <c r="AB14" s="1849" t="s">
        <v>387</v>
      </c>
      <c r="AC14" s="1849" t="s">
        <v>387</v>
      </c>
      <c r="AD14" s="1849" t="s">
        <v>387</v>
      </c>
      <c r="AE14" s="1849" t="s">
        <v>387</v>
      </c>
      <c r="AF14" s="1849" t="s">
        <v>387</v>
      </c>
      <c r="AG14" s="1849" t="s">
        <v>387</v>
      </c>
      <c r="AI14" s="2266"/>
      <c r="BE14" s="1419">
        <v>23</v>
      </c>
    </row>
    <row r="15" spans="1:57" ht="24" customHeight="1">
      <c r="A15" s="1804"/>
      <c r="B15" s="1803" t="s">
        <v>740</v>
      </c>
      <c r="C15" s="1803" t="s">
        <v>741</v>
      </c>
      <c r="D15" s="1802" t="s">
        <v>742</v>
      </c>
      <c r="E15" s="1806" t="s">
        <v>743</v>
      </c>
      <c r="F15" s="1806" t="s">
        <v>743</v>
      </c>
      <c r="G15" s="1424" t="s">
        <v>674</v>
      </c>
      <c r="H15" s="1771"/>
      <c r="I15" s="1418">
        <v>1</v>
      </c>
      <c r="J15" s="1772" t="s">
        <v>744</v>
      </c>
      <c r="K15" s="1770" t="s">
        <v>390</v>
      </c>
      <c r="L15" s="589"/>
      <c r="M15" s="717"/>
      <c r="N15" s="589"/>
      <c r="O15" s="589"/>
      <c r="P15" s="589"/>
      <c r="Q15" s="589"/>
      <c r="R15" s="589"/>
      <c r="S15" s="589"/>
      <c r="T15" s="589"/>
      <c r="U15" s="589"/>
      <c r="V15" s="589"/>
      <c r="W15" s="589"/>
      <c r="X15" s="589"/>
      <c r="Y15" s="589"/>
      <c r="Z15" s="589"/>
      <c r="AA15" s="589"/>
      <c r="AB15" s="589"/>
      <c r="AC15" s="589"/>
      <c r="AD15" s="589"/>
      <c r="AE15" s="589"/>
      <c r="AF15" s="589"/>
      <c r="AG15" s="589"/>
      <c r="AH15" s="475" t="s">
        <v>745</v>
      </c>
      <c r="AI15" s="1313" t="s">
        <v>746</v>
      </c>
      <c r="AJ15" s="475" t="s">
        <v>745</v>
      </c>
      <c r="BE15" s="1419">
        <v>23</v>
      </c>
    </row>
    <row r="16" spans="1:57" ht="35.65" customHeight="1">
      <c r="A16" s="1804"/>
      <c r="B16" s="1803" t="s">
        <v>747</v>
      </c>
      <c r="C16" s="1803" t="s">
        <v>748</v>
      </c>
      <c r="D16" s="1802" t="s">
        <v>732</v>
      </c>
      <c r="E16" s="1806" t="s">
        <v>743</v>
      </c>
      <c r="F16" s="1806" t="s">
        <v>743</v>
      </c>
      <c r="H16" s="1771"/>
      <c r="I16" s="1417">
        <v>2</v>
      </c>
      <c r="J16" s="1813" t="s">
        <v>749</v>
      </c>
      <c r="K16" s="1812" t="s">
        <v>640</v>
      </c>
      <c r="L16" s="1818"/>
      <c r="M16" s="1463"/>
      <c r="N16" s="1818"/>
      <c r="O16" s="1818"/>
      <c r="P16" s="1818"/>
      <c r="Q16" s="1818"/>
      <c r="R16" s="1818"/>
      <c r="S16" s="1818"/>
      <c r="T16" s="1818"/>
      <c r="U16" s="1818"/>
      <c r="V16" s="1818"/>
      <c r="W16" s="1818"/>
      <c r="X16" s="1818"/>
      <c r="Y16" s="1818"/>
      <c r="Z16" s="1818"/>
      <c r="AA16" s="1818"/>
      <c r="AB16" s="1818"/>
      <c r="AC16" s="1818"/>
      <c r="AD16" s="1818"/>
      <c r="AE16" s="1818"/>
      <c r="AF16" s="1818"/>
      <c r="AG16" s="1818"/>
      <c r="AH16" s="475" t="s">
        <v>745</v>
      </c>
      <c r="AI16" s="1313" t="s">
        <v>750</v>
      </c>
      <c r="AJ16" s="475" t="s">
        <v>745</v>
      </c>
      <c r="BE16" s="1419">
        <v>34</v>
      </c>
    </row>
    <row r="17" spans="1:57" s="1430" customFormat="1" ht="17.25" hidden="1" customHeight="1">
      <c r="A17" s="968"/>
      <c r="B17" s="968"/>
      <c r="C17" s="968"/>
      <c r="D17" s="968"/>
      <c r="E17" s="968"/>
      <c r="H17" s="1112"/>
      <c r="I17" s="865" t="s">
        <v>751</v>
      </c>
      <c r="J17" s="843"/>
      <c r="K17" s="865"/>
      <c r="L17" s="844"/>
      <c r="M17" s="844"/>
      <c r="N17" s="844"/>
      <c r="O17" s="844"/>
      <c r="P17" s="844"/>
      <c r="Q17" s="844"/>
      <c r="R17" s="844"/>
      <c r="S17" s="844"/>
      <c r="T17" s="844"/>
      <c r="U17" s="844"/>
      <c r="V17" s="844"/>
      <c r="W17" s="844"/>
      <c r="X17" s="844"/>
      <c r="Y17" s="844"/>
      <c r="Z17" s="844"/>
      <c r="AA17" s="844"/>
      <c r="AB17" s="844"/>
      <c r="AC17" s="844"/>
      <c r="AD17" s="844"/>
      <c r="AE17" s="844"/>
      <c r="AF17" s="844"/>
      <c r="AG17" s="844"/>
      <c r="AI17" s="1173"/>
      <c r="BE17" s="1424">
        <v>1</v>
      </c>
    </row>
    <row r="18" spans="1:57" s="1154" customFormat="1" ht="24" customHeight="1">
      <c r="A18" s="839"/>
      <c r="B18" s="839"/>
      <c r="C18" s="839"/>
      <c r="D18" s="839"/>
      <c r="E18" s="839"/>
      <c r="G18" s="1424"/>
      <c r="H18" s="1421"/>
      <c r="I18" s="502"/>
      <c r="J18" s="503" t="s">
        <v>682</v>
      </c>
      <c r="K18" s="504"/>
      <c r="L18" s="1820"/>
      <c r="M18" s="505"/>
      <c r="N18" s="1997"/>
      <c r="O18" s="1998"/>
      <c r="P18" s="1999"/>
      <c r="Q18" s="2000"/>
      <c r="R18" s="2001"/>
      <c r="S18" s="2002"/>
      <c r="T18" s="2003"/>
      <c r="U18" s="2004"/>
      <c r="V18" s="2005"/>
      <c r="W18" s="2006"/>
      <c r="X18" s="2007"/>
      <c r="Y18" s="2008"/>
      <c r="Z18" s="2009"/>
      <c r="AA18" s="2010"/>
      <c r="AB18" s="2011"/>
      <c r="AC18" s="2012"/>
      <c r="AD18" s="2013"/>
      <c r="AE18" s="2014"/>
      <c r="AF18" s="2015"/>
      <c r="AG18" s="2231"/>
      <c r="AH18" s="475"/>
      <c r="AI18" s="1313" t="s">
        <v>683</v>
      </c>
      <c r="AJ18" s="475"/>
      <c r="AK18" s="1424"/>
      <c r="AL18" s="1424"/>
      <c r="AQ18" s="1424"/>
      <c r="AT18" s="476"/>
      <c r="AZ18" s="1420"/>
      <c r="BA18" s="1420"/>
      <c r="BB18" s="1420"/>
      <c r="BC18" s="1420"/>
      <c r="BD18" s="1420"/>
      <c r="BE18" s="1154">
        <v>23</v>
      </c>
    </row>
    <row r="19" spans="1:57" ht="19.899999999999999" customHeight="1">
      <c r="A19" s="1804"/>
      <c r="B19" s="1803" t="s">
        <v>752</v>
      </c>
      <c r="C19" s="1803" t="s">
        <v>753</v>
      </c>
      <c r="D19" s="1802" t="s">
        <v>732</v>
      </c>
      <c r="E19" s="1806" t="s">
        <v>743</v>
      </c>
      <c r="F19" s="1806" t="s">
        <v>743</v>
      </c>
      <c r="H19" s="1771"/>
      <c r="I19" s="1452">
        <v>3</v>
      </c>
      <c r="J19" s="1772" t="s">
        <v>753</v>
      </c>
      <c r="K19" s="1768" t="s">
        <v>640</v>
      </c>
      <c r="L19" s="639"/>
      <c r="M19" s="489"/>
      <c r="N19" s="639"/>
      <c r="O19" s="639"/>
      <c r="P19" s="639"/>
      <c r="Q19" s="639"/>
      <c r="R19" s="639"/>
      <c r="S19" s="639"/>
      <c r="T19" s="639"/>
      <c r="U19" s="639"/>
      <c r="V19" s="639"/>
      <c r="W19" s="639"/>
      <c r="X19" s="639"/>
      <c r="Y19" s="639"/>
      <c r="Z19" s="639"/>
      <c r="AA19" s="639"/>
      <c r="AB19" s="639"/>
      <c r="AC19" s="639"/>
      <c r="AD19" s="639"/>
      <c r="AE19" s="639"/>
      <c r="AF19" s="639"/>
      <c r="AG19" s="639"/>
      <c r="AH19" s="475"/>
      <c r="AI19" s="1313" t="s">
        <v>754</v>
      </c>
      <c r="AJ19" s="475"/>
      <c r="BE19" s="1419">
        <v>19</v>
      </c>
    </row>
    <row r="20" spans="1:57" ht="77.650000000000006" customHeight="1">
      <c r="A20" s="1804"/>
      <c r="B20" s="1803" t="s">
        <v>755</v>
      </c>
      <c r="C20" s="1803" t="s">
        <v>756</v>
      </c>
      <c r="D20" s="1802" t="s">
        <v>732</v>
      </c>
      <c r="E20" s="1806" t="s">
        <v>743</v>
      </c>
      <c r="F20" s="1806" t="s">
        <v>743</v>
      </c>
      <c r="H20" s="1771"/>
      <c r="I20" s="1452">
        <v>4</v>
      </c>
      <c r="J20" s="1772" t="s">
        <v>757</v>
      </c>
      <c r="K20" s="1768" t="s">
        <v>679</v>
      </c>
      <c r="L20" s="639"/>
      <c r="M20" s="489"/>
      <c r="N20" s="639"/>
      <c r="O20" s="639"/>
      <c r="P20" s="639"/>
      <c r="Q20" s="639"/>
      <c r="R20" s="639"/>
      <c r="S20" s="639"/>
      <c r="T20" s="639"/>
      <c r="U20" s="639"/>
      <c r="V20" s="639"/>
      <c r="W20" s="639"/>
      <c r="X20" s="639"/>
      <c r="Y20" s="639"/>
      <c r="Z20" s="639"/>
      <c r="AA20" s="639"/>
      <c r="AB20" s="639"/>
      <c r="AC20" s="639"/>
      <c r="AD20" s="639"/>
      <c r="AE20" s="639"/>
      <c r="AF20" s="639"/>
      <c r="AG20" s="639"/>
      <c r="AH20" s="475"/>
      <c r="AI20" s="1313"/>
      <c r="AJ20" s="475"/>
      <c r="BE20" s="1419">
        <v>74</v>
      </c>
    </row>
    <row r="21" spans="1:57" ht="35.65" customHeight="1">
      <c r="A21" s="1804"/>
      <c r="B21" s="1803" t="s">
        <v>758</v>
      </c>
      <c r="C21" s="1803" t="s">
        <v>759</v>
      </c>
      <c r="D21" s="1802" t="s">
        <v>732</v>
      </c>
      <c r="E21" s="1806" t="s">
        <v>743</v>
      </c>
      <c r="F21" s="1806" t="s">
        <v>743</v>
      </c>
      <c r="H21" s="1771"/>
      <c r="I21" s="1452">
        <v>5</v>
      </c>
      <c r="J21" s="1772" t="s">
        <v>760</v>
      </c>
      <c r="K21" s="1768" t="s">
        <v>679</v>
      </c>
      <c r="L21" s="639"/>
      <c r="M21" s="489"/>
      <c r="N21" s="639"/>
      <c r="O21" s="639"/>
      <c r="P21" s="639"/>
      <c r="Q21" s="639"/>
      <c r="R21" s="639"/>
      <c r="S21" s="639"/>
      <c r="T21" s="639"/>
      <c r="U21" s="639"/>
      <c r="V21" s="639"/>
      <c r="W21" s="639"/>
      <c r="X21" s="639"/>
      <c r="Y21" s="639"/>
      <c r="Z21" s="639"/>
      <c r="AA21" s="639"/>
      <c r="AB21" s="639"/>
      <c r="AC21" s="639"/>
      <c r="AD21" s="639"/>
      <c r="AE21" s="639"/>
      <c r="AF21" s="639"/>
      <c r="AG21" s="639"/>
      <c r="AH21" s="475"/>
      <c r="AI21" s="1313" t="s">
        <v>754</v>
      </c>
      <c r="AJ21" s="475"/>
      <c r="BE21" s="1419">
        <v>34</v>
      </c>
    </row>
    <row r="22" spans="1:57" ht="48.2" customHeight="1">
      <c r="A22" s="1804"/>
      <c r="B22" s="1803" t="s">
        <v>761</v>
      </c>
      <c r="C22" s="1803" t="s">
        <v>762</v>
      </c>
      <c r="D22" s="1802" t="s">
        <v>732</v>
      </c>
      <c r="E22" s="1806" t="s">
        <v>743</v>
      </c>
      <c r="F22" s="1806" t="s">
        <v>743</v>
      </c>
      <c r="H22" s="1771"/>
      <c r="I22" s="1452">
        <v>6</v>
      </c>
      <c r="J22" s="1772" t="s">
        <v>763</v>
      </c>
      <c r="K22" s="1768" t="s">
        <v>679</v>
      </c>
      <c r="L22" s="639"/>
      <c r="M22" s="489"/>
      <c r="N22" s="639"/>
      <c r="O22" s="639"/>
      <c r="P22" s="639"/>
      <c r="Q22" s="639"/>
      <c r="R22" s="639"/>
      <c r="S22" s="639"/>
      <c r="T22" s="639"/>
      <c r="U22" s="639"/>
      <c r="V22" s="639"/>
      <c r="W22" s="639"/>
      <c r="X22" s="639"/>
      <c r="Y22" s="639"/>
      <c r="Z22" s="639"/>
      <c r="AA22" s="639"/>
      <c r="AB22" s="639"/>
      <c r="AC22" s="639"/>
      <c r="AD22" s="639"/>
      <c r="AE22" s="639"/>
      <c r="AF22" s="639"/>
      <c r="AG22" s="639"/>
      <c r="AH22" s="475"/>
      <c r="AI22" s="1313" t="s">
        <v>764</v>
      </c>
      <c r="AJ22" s="475"/>
      <c r="BE22" s="1419">
        <v>46</v>
      </c>
    </row>
    <row r="23" spans="1:57" ht="19.899999999999999" customHeight="1">
      <c r="A23" s="1804"/>
      <c r="B23" s="1803" t="s">
        <v>765</v>
      </c>
      <c r="C23" s="1803" t="s">
        <v>766</v>
      </c>
      <c r="D23" s="1802" t="s">
        <v>732</v>
      </c>
      <c r="E23" s="1806" t="s">
        <v>743</v>
      </c>
      <c r="F23" s="1806" t="s">
        <v>743</v>
      </c>
      <c r="H23" s="1771"/>
      <c r="I23" s="1452" t="s">
        <v>767</v>
      </c>
      <c r="J23" s="1312" t="s">
        <v>768</v>
      </c>
      <c r="K23" s="1768" t="s">
        <v>679</v>
      </c>
      <c r="L23" s="639"/>
      <c r="M23" s="489"/>
      <c r="N23" s="639"/>
      <c r="O23" s="639"/>
      <c r="P23" s="639"/>
      <c r="Q23" s="639"/>
      <c r="R23" s="639"/>
      <c r="S23" s="639"/>
      <c r="T23" s="639"/>
      <c r="U23" s="639"/>
      <c r="V23" s="639"/>
      <c r="W23" s="639"/>
      <c r="X23" s="639"/>
      <c r="Y23" s="639"/>
      <c r="Z23" s="639"/>
      <c r="AA23" s="639"/>
      <c r="AB23" s="639"/>
      <c r="AC23" s="639"/>
      <c r="AD23" s="639"/>
      <c r="AE23" s="639"/>
      <c r="AF23" s="639"/>
      <c r="AG23" s="639"/>
      <c r="AH23" s="475"/>
      <c r="AI23" s="1313" t="s">
        <v>754</v>
      </c>
      <c r="AJ23" s="475"/>
      <c r="BE23" s="1419">
        <v>19</v>
      </c>
    </row>
    <row r="24" spans="1:57" ht="19.899999999999999" customHeight="1">
      <c r="A24" s="1804"/>
      <c r="B24" s="1803" t="s">
        <v>769</v>
      </c>
      <c r="C24" s="1803" t="s">
        <v>770</v>
      </c>
      <c r="D24" s="1802" t="s">
        <v>732</v>
      </c>
      <c r="E24" s="1806" t="s">
        <v>743</v>
      </c>
      <c r="F24" s="1806" t="s">
        <v>743</v>
      </c>
      <c r="H24" s="1771"/>
      <c r="I24" s="1452" t="s">
        <v>771</v>
      </c>
      <c r="J24" s="1312" t="s">
        <v>772</v>
      </c>
      <c r="K24" s="1768" t="s">
        <v>679</v>
      </c>
      <c r="L24" s="639"/>
      <c r="M24" s="489"/>
      <c r="N24" s="639"/>
      <c r="O24" s="639"/>
      <c r="P24" s="639"/>
      <c r="Q24" s="639"/>
      <c r="R24" s="639"/>
      <c r="S24" s="639"/>
      <c r="T24" s="639"/>
      <c r="U24" s="639"/>
      <c r="V24" s="639"/>
      <c r="W24" s="639"/>
      <c r="X24" s="639"/>
      <c r="Y24" s="639"/>
      <c r="Z24" s="639"/>
      <c r="AA24" s="639"/>
      <c r="AB24" s="639"/>
      <c r="AC24" s="639"/>
      <c r="AD24" s="639"/>
      <c r="AE24" s="639"/>
      <c r="AF24" s="639"/>
      <c r="AG24" s="639"/>
      <c r="AH24" s="475"/>
      <c r="AI24" s="1313"/>
      <c r="AJ24" s="475"/>
      <c r="BE24" s="1419">
        <v>19</v>
      </c>
    </row>
    <row r="25" spans="1:57" ht="24" customHeight="1">
      <c r="A25" s="1804"/>
      <c r="B25" s="1803" t="s">
        <v>773</v>
      </c>
      <c r="C25" s="1803" t="s">
        <v>774</v>
      </c>
      <c r="D25" s="1802" t="s">
        <v>732</v>
      </c>
      <c r="E25" s="1806" t="s">
        <v>743</v>
      </c>
      <c r="F25" s="1806" t="s">
        <v>743</v>
      </c>
      <c r="H25" s="1771"/>
      <c r="I25" s="1452" t="s">
        <v>775</v>
      </c>
      <c r="J25" s="1312" t="s">
        <v>776</v>
      </c>
      <c r="K25" s="1768" t="s">
        <v>679</v>
      </c>
      <c r="L25" s="639"/>
      <c r="M25" s="489"/>
      <c r="N25" s="639"/>
      <c r="O25" s="639"/>
      <c r="P25" s="639"/>
      <c r="Q25" s="639"/>
      <c r="R25" s="639"/>
      <c r="S25" s="639"/>
      <c r="T25" s="639"/>
      <c r="U25" s="639"/>
      <c r="V25" s="639"/>
      <c r="W25" s="639"/>
      <c r="X25" s="639"/>
      <c r="Y25" s="639"/>
      <c r="Z25" s="639"/>
      <c r="AA25" s="639"/>
      <c r="AB25" s="639"/>
      <c r="AC25" s="639"/>
      <c r="AD25" s="639"/>
      <c r="AE25" s="639"/>
      <c r="AF25" s="639"/>
      <c r="AG25" s="639"/>
      <c r="AH25" s="475"/>
      <c r="AI25" s="1313"/>
      <c r="AJ25" s="475"/>
      <c r="BE25" s="1419">
        <v>23</v>
      </c>
    </row>
    <row r="26" spans="1:57" ht="24" customHeight="1">
      <c r="A26" s="1804"/>
      <c r="B26" s="1803" t="s">
        <v>777</v>
      </c>
      <c r="C26" s="1803" t="s">
        <v>778</v>
      </c>
      <c r="D26" s="1802" t="s">
        <v>732</v>
      </c>
      <c r="E26" s="1806" t="s">
        <v>743</v>
      </c>
      <c r="F26" s="1806" t="s">
        <v>743</v>
      </c>
      <c r="H26" s="1771"/>
      <c r="I26" s="1452">
        <v>7</v>
      </c>
      <c r="J26" s="1772" t="s">
        <v>778</v>
      </c>
      <c r="K26" s="1768" t="s">
        <v>779</v>
      </c>
      <c r="L26" s="639"/>
      <c r="M26" s="489"/>
      <c r="N26" s="639"/>
      <c r="O26" s="639"/>
      <c r="P26" s="639"/>
      <c r="Q26" s="639"/>
      <c r="R26" s="639"/>
      <c r="S26" s="639"/>
      <c r="T26" s="639"/>
      <c r="U26" s="639"/>
      <c r="V26" s="639"/>
      <c r="W26" s="639"/>
      <c r="X26" s="639"/>
      <c r="Y26" s="639"/>
      <c r="Z26" s="639"/>
      <c r="AA26" s="639"/>
      <c r="AB26" s="639"/>
      <c r="AC26" s="639"/>
      <c r="AD26" s="639"/>
      <c r="AE26" s="639"/>
      <c r="AF26" s="639"/>
      <c r="AG26" s="639"/>
      <c r="AH26" s="475"/>
      <c r="AI26" s="1313"/>
      <c r="AJ26" s="475"/>
      <c r="BE26" s="1419">
        <v>23</v>
      </c>
    </row>
    <row r="27" spans="1:57" ht="24" customHeight="1">
      <c r="A27" s="1804"/>
      <c r="B27" s="1803" t="s">
        <v>780</v>
      </c>
      <c r="C27" s="1803" t="s">
        <v>781</v>
      </c>
      <c r="D27" s="1802" t="s">
        <v>732</v>
      </c>
      <c r="E27" s="1806" t="s">
        <v>743</v>
      </c>
      <c r="F27" s="1806" t="s">
        <v>743</v>
      </c>
      <c r="H27" s="1771"/>
      <c r="I27" s="1452">
        <v>8</v>
      </c>
      <c r="J27" s="1772" t="s">
        <v>781</v>
      </c>
      <c r="K27" s="1768" t="s">
        <v>684</v>
      </c>
      <c r="L27" s="639"/>
      <c r="M27" s="489"/>
      <c r="N27" s="639"/>
      <c r="O27" s="639"/>
      <c r="P27" s="639"/>
      <c r="Q27" s="639"/>
      <c r="R27" s="639"/>
      <c r="S27" s="639"/>
      <c r="T27" s="639"/>
      <c r="U27" s="639"/>
      <c r="V27" s="639"/>
      <c r="W27" s="639"/>
      <c r="X27" s="639"/>
      <c r="Y27" s="639"/>
      <c r="Z27" s="639"/>
      <c r="AA27" s="639"/>
      <c r="AB27" s="639"/>
      <c r="AC27" s="639"/>
      <c r="AD27" s="639"/>
      <c r="AE27" s="639"/>
      <c r="AF27" s="639"/>
      <c r="AG27" s="639"/>
      <c r="AH27" s="475"/>
      <c r="AI27" s="1313"/>
      <c r="AJ27" s="475"/>
      <c r="BE27" s="1419">
        <v>23</v>
      </c>
    </row>
    <row r="28" spans="1:57" ht="35.65" customHeight="1">
      <c r="A28" s="1804"/>
      <c r="B28" s="1803" t="s">
        <v>782</v>
      </c>
      <c r="C28" s="1803" t="s">
        <v>783</v>
      </c>
      <c r="D28" s="1802" t="s">
        <v>732</v>
      </c>
      <c r="E28" s="1806" t="s">
        <v>743</v>
      </c>
      <c r="F28" s="1806" t="s">
        <v>743</v>
      </c>
      <c r="H28" s="1771"/>
      <c r="I28" s="1462">
        <v>9</v>
      </c>
      <c r="J28" s="1772" t="s">
        <v>784</v>
      </c>
      <c r="K28" s="1768" t="s">
        <v>644</v>
      </c>
      <c r="L28" s="639"/>
      <c r="M28" s="489"/>
      <c r="N28" s="639"/>
      <c r="O28" s="639"/>
      <c r="P28" s="639"/>
      <c r="Q28" s="639"/>
      <c r="R28" s="639"/>
      <c r="S28" s="639"/>
      <c r="T28" s="639"/>
      <c r="U28" s="639"/>
      <c r="V28" s="639"/>
      <c r="W28" s="639"/>
      <c r="X28" s="639"/>
      <c r="Y28" s="639"/>
      <c r="Z28" s="639"/>
      <c r="AA28" s="639"/>
      <c r="AB28" s="639"/>
      <c r="AC28" s="639"/>
      <c r="AD28" s="639"/>
      <c r="AE28" s="639"/>
      <c r="AF28" s="639"/>
      <c r="AG28" s="639"/>
      <c r="AH28" s="475"/>
      <c r="AI28" s="1313"/>
      <c r="AJ28" s="475"/>
      <c r="BE28" s="1419">
        <v>34</v>
      </c>
    </row>
    <row r="29" spans="1:57" ht="35.65" customHeight="1">
      <c r="A29" s="1804"/>
      <c r="B29" s="1803" t="s">
        <v>785</v>
      </c>
      <c r="C29" s="1803" t="s">
        <v>786</v>
      </c>
      <c r="D29" s="1802" t="s">
        <v>732</v>
      </c>
      <c r="E29" s="1806" t="s">
        <v>743</v>
      </c>
      <c r="F29" s="1806" t="s">
        <v>743</v>
      </c>
      <c r="H29" s="1771"/>
      <c r="I29" s="1462">
        <v>10</v>
      </c>
      <c r="J29" s="1772" t="s">
        <v>787</v>
      </c>
      <c r="K29" s="1768" t="s">
        <v>644</v>
      </c>
      <c r="L29" s="639"/>
      <c r="M29" s="489"/>
      <c r="N29" s="639"/>
      <c r="O29" s="639"/>
      <c r="P29" s="639"/>
      <c r="Q29" s="639"/>
      <c r="R29" s="639"/>
      <c r="S29" s="639"/>
      <c r="T29" s="639"/>
      <c r="U29" s="639"/>
      <c r="V29" s="639"/>
      <c r="W29" s="639"/>
      <c r="X29" s="639"/>
      <c r="Y29" s="639"/>
      <c r="Z29" s="639"/>
      <c r="AA29" s="639"/>
      <c r="AB29" s="639"/>
      <c r="AC29" s="639"/>
      <c r="AD29" s="639"/>
      <c r="AE29" s="639"/>
      <c r="AF29" s="639"/>
      <c r="AG29" s="639"/>
      <c r="AH29" s="475"/>
      <c r="AI29" s="1313"/>
      <c r="AJ29" s="475"/>
      <c r="BE29" s="1419">
        <v>34</v>
      </c>
    </row>
    <row r="30" spans="1:57" ht="24" customHeight="1">
      <c r="A30" s="1804"/>
      <c r="B30" s="1803" t="s">
        <v>788</v>
      </c>
      <c r="C30" s="1803" t="s">
        <v>789</v>
      </c>
      <c r="D30" s="1802" t="s">
        <v>732</v>
      </c>
      <c r="E30" s="1806" t="s">
        <v>743</v>
      </c>
      <c r="F30" s="1806" t="s">
        <v>743</v>
      </c>
      <c r="H30" s="1771"/>
      <c r="I30" s="1462">
        <v>11</v>
      </c>
      <c r="J30" s="1772" t="s">
        <v>789</v>
      </c>
      <c r="K30" s="1768" t="s">
        <v>685</v>
      </c>
      <c r="L30" s="1819"/>
      <c r="M30" s="1409"/>
      <c r="N30" s="1819"/>
      <c r="O30" s="1819"/>
      <c r="P30" s="1819"/>
      <c r="Q30" s="1819"/>
      <c r="R30" s="1819"/>
      <c r="S30" s="1819"/>
      <c r="T30" s="1819"/>
      <c r="U30" s="1819"/>
      <c r="V30" s="1819"/>
      <c r="W30" s="1819"/>
      <c r="X30" s="1819"/>
      <c r="Y30" s="1819"/>
      <c r="Z30" s="1819"/>
      <c r="AA30" s="1819"/>
      <c r="AB30" s="1819"/>
      <c r="AC30" s="1819"/>
      <c r="AD30" s="1819"/>
      <c r="AE30" s="1819"/>
      <c r="AF30" s="1819"/>
      <c r="AG30" s="1819"/>
      <c r="AH30" s="475"/>
      <c r="AI30" s="1313"/>
      <c r="AJ30" s="475"/>
      <c r="BE30" s="1419">
        <v>23</v>
      </c>
    </row>
    <row r="31" spans="1:57" ht="24" customHeight="1">
      <c r="A31" s="1804"/>
      <c r="B31" s="1803" t="s">
        <v>790</v>
      </c>
      <c r="C31" s="1803" t="s">
        <v>791</v>
      </c>
      <c r="D31" s="1802" t="s">
        <v>732</v>
      </c>
      <c r="E31" s="1806" t="s">
        <v>743</v>
      </c>
      <c r="F31" s="1806" t="s">
        <v>743</v>
      </c>
      <c r="H31" s="1771"/>
      <c r="I31" s="1462">
        <v>12</v>
      </c>
      <c r="J31" s="1772" t="s">
        <v>791</v>
      </c>
      <c r="K31" s="1768" t="s">
        <v>685</v>
      </c>
      <c r="L31" s="1819"/>
      <c r="M31" s="1409"/>
      <c r="N31" s="1819"/>
      <c r="O31" s="1819"/>
      <c r="P31" s="1819"/>
      <c r="Q31" s="1819"/>
      <c r="R31" s="1819"/>
      <c r="S31" s="1819"/>
      <c r="T31" s="1819"/>
      <c r="U31" s="1819"/>
      <c r="V31" s="1819"/>
      <c r="W31" s="1819"/>
      <c r="X31" s="1819"/>
      <c r="Y31" s="1819"/>
      <c r="Z31" s="1819"/>
      <c r="AA31" s="1819"/>
      <c r="AB31" s="1819"/>
      <c r="AC31" s="1819"/>
      <c r="AD31" s="1819"/>
      <c r="AE31" s="1819"/>
      <c r="AF31" s="1819"/>
      <c r="AG31" s="1819"/>
      <c r="AH31" s="475"/>
      <c r="AI31" s="1313"/>
      <c r="AJ31" s="475"/>
      <c r="BE31" s="1419">
        <v>23</v>
      </c>
    </row>
    <row r="32" spans="1:57" ht="48.2" customHeight="1">
      <c r="A32" s="1804"/>
      <c r="B32" s="1803" t="s">
        <v>792</v>
      </c>
      <c r="C32" s="1803" t="s">
        <v>793</v>
      </c>
      <c r="D32" s="1802" t="s">
        <v>732</v>
      </c>
      <c r="E32" s="1806" t="s">
        <v>743</v>
      </c>
      <c r="F32" s="1806" t="s">
        <v>743</v>
      </c>
      <c r="H32" s="1771"/>
      <c r="I32" s="1462">
        <v>13</v>
      </c>
      <c r="J32" s="1772" t="s">
        <v>794</v>
      </c>
      <c r="K32" s="1768" t="s">
        <v>695</v>
      </c>
      <c r="L32" s="639"/>
      <c r="M32" s="489"/>
      <c r="N32" s="639"/>
      <c r="O32" s="639"/>
      <c r="P32" s="639"/>
      <c r="Q32" s="639"/>
      <c r="R32" s="639"/>
      <c r="S32" s="639"/>
      <c r="T32" s="639"/>
      <c r="U32" s="639"/>
      <c r="V32" s="639"/>
      <c r="W32" s="639"/>
      <c r="X32" s="639"/>
      <c r="Y32" s="639"/>
      <c r="Z32" s="639"/>
      <c r="AA32" s="639"/>
      <c r="AB32" s="639"/>
      <c r="AC32" s="639"/>
      <c r="AD32" s="639"/>
      <c r="AE32" s="639"/>
      <c r="AF32" s="639"/>
      <c r="AG32" s="639"/>
      <c r="AH32" s="475"/>
      <c r="AI32" s="1313" t="s">
        <v>754</v>
      </c>
      <c r="AJ32" s="475"/>
      <c r="BE32" s="1419">
        <v>46</v>
      </c>
    </row>
    <row r="33" spans="1:57" s="1154" customFormat="1" ht="48.2" customHeight="1">
      <c r="A33" s="1804"/>
      <c r="B33" s="1803" t="s">
        <v>795</v>
      </c>
      <c r="C33" s="1803" t="s">
        <v>796</v>
      </c>
      <c r="D33" s="1802" t="s">
        <v>732</v>
      </c>
      <c r="E33" s="1806" t="s">
        <v>743</v>
      </c>
      <c r="F33" s="1806" t="s">
        <v>743</v>
      </c>
      <c r="G33" s="1424"/>
      <c r="H33" s="1771"/>
      <c r="I33" s="1462">
        <v>14</v>
      </c>
      <c r="J33" s="1784" t="s">
        <v>797</v>
      </c>
      <c r="K33" s="1773" t="s">
        <v>798</v>
      </c>
      <c r="L33" s="639"/>
      <c r="M33" s="489"/>
      <c r="N33" s="639"/>
      <c r="O33" s="639"/>
      <c r="P33" s="639"/>
      <c r="Q33" s="639"/>
      <c r="R33" s="639"/>
      <c r="S33" s="639"/>
      <c r="T33" s="639"/>
      <c r="U33" s="639"/>
      <c r="V33" s="639"/>
      <c r="W33" s="639"/>
      <c r="X33" s="639"/>
      <c r="Y33" s="639"/>
      <c r="Z33" s="639"/>
      <c r="AA33" s="639"/>
      <c r="AB33" s="639"/>
      <c r="AC33" s="639"/>
      <c r="AD33" s="639"/>
      <c r="AE33" s="639"/>
      <c r="AF33" s="639"/>
      <c r="AG33" s="639"/>
      <c r="AH33" s="475"/>
      <c r="AI33" s="1313" t="s">
        <v>754</v>
      </c>
      <c r="AJ33" s="475"/>
      <c r="AK33" s="1424"/>
      <c r="AL33" s="1424"/>
      <c r="AQ33" s="1424"/>
      <c r="AT33" s="476"/>
      <c r="AZ33" s="1420"/>
      <c r="BA33" s="1420"/>
      <c r="BB33" s="1420"/>
      <c r="BC33" s="1420"/>
      <c r="BD33" s="1420"/>
      <c r="BE33" s="1154">
        <v>46</v>
      </c>
    </row>
    <row r="34" spans="1:57" ht="108" customHeight="1">
      <c r="A34" s="1804"/>
      <c r="B34" s="1803" t="s">
        <v>799</v>
      </c>
      <c r="C34" s="1803" t="s">
        <v>800</v>
      </c>
      <c r="D34" s="1802" t="s">
        <v>742</v>
      </c>
      <c r="E34" s="1806" t="s">
        <v>743</v>
      </c>
      <c r="F34" s="1806" t="s">
        <v>743</v>
      </c>
      <c r="G34" s="1424" t="s">
        <v>674</v>
      </c>
      <c r="H34" s="1771"/>
      <c r="I34" s="1782">
        <v>15</v>
      </c>
      <c r="J34" s="1783" t="s">
        <v>801</v>
      </c>
      <c r="K34" s="1768" t="s">
        <v>390</v>
      </c>
      <c r="L34" s="318"/>
      <c r="M34" s="965"/>
      <c r="N34" s="318"/>
      <c r="O34" s="318"/>
      <c r="P34" s="318"/>
      <c r="Q34" s="318"/>
      <c r="R34" s="318"/>
      <c r="S34" s="318"/>
      <c r="T34" s="318"/>
      <c r="U34" s="318"/>
      <c r="V34" s="318"/>
      <c r="W34" s="318"/>
      <c r="X34" s="318"/>
      <c r="Y34" s="318"/>
      <c r="Z34" s="318"/>
      <c r="AA34" s="318"/>
      <c r="AB34" s="318"/>
      <c r="AC34" s="318"/>
      <c r="AD34" s="318"/>
      <c r="AE34" s="318"/>
      <c r="AF34" s="318"/>
      <c r="AG34" s="318"/>
      <c r="AH34" s="475"/>
      <c r="AI34" s="1313" t="s">
        <v>746</v>
      </c>
      <c r="AJ34" s="475"/>
      <c r="BE34" s="1419">
        <v>103</v>
      </c>
    </row>
    <row r="35" spans="1:57" s="1429" customFormat="1" ht="11.45" customHeight="1">
      <c r="A35" s="839"/>
      <c r="B35" s="839"/>
      <c r="C35" s="839"/>
      <c r="D35" s="839"/>
      <c r="E35" s="839"/>
      <c r="F35" s="1424"/>
      <c r="G35" s="1424"/>
      <c r="H35" s="284"/>
      <c r="AH35" s="1154"/>
      <c r="AJ35" s="1154"/>
      <c r="AK35" s="1424"/>
      <c r="AL35" s="1424"/>
      <c r="AM35" s="1154"/>
      <c r="AN35" s="1154"/>
      <c r="AO35" s="1154"/>
      <c r="AP35" s="1154"/>
      <c r="AQ35" s="1424"/>
      <c r="AR35" s="1154"/>
      <c r="AS35" s="1154"/>
      <c r="AT35" s="476"/>
      <c r="AU35" s="1154"/>
      <c r="AV35" s="1154"/>
      <c r="AW35" s="1154"/>
      <c r="AX35" s="1154"/>
      <c r="AY35" s="1154"/>
      <c r="AZ35" s="1420"/>
      <c r="BA35" s="553"/>
      <c r="BB35" s="553"/>
      <c r="BC35" s="553"/>
      <c r="BD35" s="553"/>
      <c r="BE35" s="1429">
        <v>11</v>
      </c>
    </row>
    <row r="36" spans="1:57" s="1429" customFormat="1" ht="11.45" customHeight="1">
      <c r="A36" s="839"/>
      <c r="B36" s="839"/>
      <c r="C36" s="839"/>
      <c r="D36" s="839"/>
      <c r="E36" s="839"/>
      <c r="F36" s="1424"/>
      <c r="G36" s="1424"/>
      <c r="H36" s="284"/>
      <c r="AH36" s="1154"/>
      <c r="AJ36" s="1154"/>
      <c r="AK36" s="1424"/>
      <c r="AL36" s="1424"/>
      <c r="AM36" s="1154"/>
      <c r="AN36" s="1154"/>
      <c r="AO36" s="1154"/>
      <c r="AP36" s="1154"/>
      <c r="AQ36" s="1424"/>
      <c r="AR36" s="1154"/>
      <c r="AS36" s="1154"/>
      <c r="AT36" s="476"/>
      <c r="AU36" s="1154"/>
      <c r="AV36" s="1154"/>
      <c r="AW36" s="1154"/>
      <c r="AX36" s="1154"/>
      <c r="AY36" s="1154"/>
      <c r="AZ36" s="1420"/>
      <c r="BA36" s="553"/>
      <c r="BB36" s="553"/>
      <c r="BC36" s="553"/>
      <c r="BD36" s="553"/>
      <c r="BE36" s="1429">
        <v>11</v>
      </c>
    </row>
    <row r="37" spans="1:57" s="1429" customFormat="1" ht="11.45" customHeight="1">
      <c r="A37" s="839"/>
      <c r="B37" s="839"/>
      <c r="C37" s="839"/>
      <c r="D37" s="839"/>
      <c r="E37" s="839"/>
      <c r="F37" s="1424"/>
      <c r="G37" s="1424"/>
      <c r="H37" s="284"/>
      <c r="L37" s="553"/>
      <c r="M37" s="553"/>
      <c r="N37" s="553"/>
      <c r="O37" s="553"/>
      <c r="P37" s="553"/>
      <c r="Q37" s="553"/>
      <c r="R37" s="553"/>
      <c r="S37" s="553"/>
      <c r="T37" s="553"/>
      <c r="U37" s="553"/>
      <c r="V37" s="553"/>
      <c r="W37" s="553"/>
      <c r="X37" s="553"/>
      <c r="Y37" s="553"/>
      <c r="Z37" s="553"/>
      <c r="AA37" s="553"/>
      <c r="AB37" s="553"/>
      <c r="AC37" s="553"/>
      <c r="AD37" s="553"/>
      <c r="AE37" s="553"/>
      <c r="AF37" s="553"/>
      <c r="AG37" s="553"/>
      <c r="AH37" s="1154"/>
      <c r="AJ37" s="1154"/>
      <c r="AK37" s="1424"/>
      <c r="AL37" s="1424"/>
      <c r="AM37" s="1154"/>
      <c r="AN37" s="1154"/>
      <c r="AO37" s="1154"/>
      <c r="AP37" s="1154"/>
      <c r="AQ37" s="1424"/>
      <c r="AR37" s="1154"/>
      <c r="AS37" s="1154"/>
      <c r="AT37" s="476"/>
      <c r="AU37" s="1154"/>
      <c r="AV37" s="1154"/>
      <c r="AW37" s="1154"/>
      <c r="AX37" s="1154"/>
      <c r="AY37" s="1154"/>
      <c r="AZ37" s="1420"/>
      <c r="BA37" s="553"/>
      <c r="BB37" s="553"/>
      <c r="BC37" s="553"/>
      <c r="BD37" s="553"/>
      <c r="BE37" s="1429">
        <v>11</v>
      </c>
    </row>
    <row r="38" spans="1:57" s="1429" customFormat="1" ht="11.45" customHeight="1">
      <c r="A38" s="839"/>
      <c r="B38" s="839"/>
      <c r="C38" s="839"/>
      <c r="D38" s="839"/>
      <c r="E38" s="839"/>
      <c r="F38" s="1424"/>
      <c r="G38" s="1424"/>
      <c r="H38" s="284"/>
      <c r="AH38" s="1154"/>
      <c r="AJ38" s="1154"/>
      <c r="AK38" s="1424"/>
      <c r="AL38" s="1424"/>
      <c r="AM38" s="1154"/>
      <c r="AN38" s="1154"/>
      <c r="AO38" s="1154"/>
      <c r="AP38" s="1154"/>
      <c r="AQ38" s="1424"/>
      <c r="AR38" s="1154"/>
      <c r="AS38" s="1154"/>
      <c r="AT38" s="476"/>
      <c r="AU38" s="1154"/>
      <c r="AV38" s="1154"/>
      <c r="AW38" s="1154"/>
      <c r="AX38" s="1154"/>
      <c r="AY38" s="1154"/>
      <c r="AZ38" s="1420"/>
      <c r="BA38" s="553"/>
      <c r="BB38" s="553"/>
      <c r="BC38" s="553"/>
      <c r="BD38" s="553"/>
      <c r="BE38" s="1429">
        <v>11</v>
      </c>
    </row>
    <row r="39" spans="1:57" s="1429" customFormat="1" ht="11.45" customHeight="1">
      <c r="A39" s="839"/>
      <c r="B39" s="839"/>
      <c r="C39" s="839"/>
      <c r="D39" s="839"/>
      <c r="E39" s="839"/>
      <c r="F39" s="1424"/>
      <c r="G39" s="1424"/>
      <c r="H39" s="284"/>
      <c r="AH39" s="1154"/>
      <c r="AJ39" s="1154"/>
      <c r="AK39" s="1424"/>
      <c r="AL39" s="1424"/>
      <c r="AM39" s="1154"/>
      <c r="AN39" s="1154"/>
      <c r="AO39" s="1154"/>
      <c r="AP39" s="1154"/>
      <c r="AQ39" s="1424"/>
      <c r="AR39" s="1154"/>
      <c r="AS39" s="1154"/>
      <c r="AT39" s="476"/>
      <c r="AU39" s="1154"/>
      <c r="AV39" s="1154"/>
      <c r="AW39" s="1154"/>
      <c r="AX39" s="1154"/>
      <c r="AY39" s="1154"/>
      <c r="AZ39" s="1420"/>
      <c r="BA39" s="553"/>
      <c r="BB39" s="553"/>
      <c r="BC39" s="553"/>
      <c r="BD39" s="553"/>
      <c r="BE39" s="1429">
        <v>11</v>
      </c>
    </row>
    <row r="40" spans="1:57" s="1429" customFormat="1" ht="11.45" customHeight="1">
      <c r="A40" s="839"/>
      <c r="B40" s="839"/>
      <c r="C40" s="839"/>
      <c r="D40" s="839"/>
      <c r="E40" s="839"/>
      <c r="F40" s="1424"/>
      <c r="G40" s="1424"/>
      <c r="H40" s="284"/>
      <c r="AH40" s="1154"/>
      <c r="AJ40" s="1154"/>
      <c r="AK40" s="1424"/>
      <c r="AL40" s="1424"/>
      <c r="AM40" s="1154"/>
      <c r="AN40" s="1154"/>
      <c r="AO40" s="1154"/>
      <c r="AP40" s="1154"/>
      <c r="AQ40" s="1424"/>
      <c r="AR40" s="1154"/>
      <c r="AS40" s="1154"/>
      <c r="AT40" s="476"/>
      <c r="AU40" s="1154"/>
      <c r="AV40" s="1154"/>
      <c r="AW40" s="1154"/>
      <c r="AX40" s="1154"/>
      <c r="AY40" s="1154"/>
      <c r="AZ40" s="1420"/>
      <c r="BA40" s="553"/>
      <c r="BB40" s="553"/>
      <c r="BC40" s="553"/>
      <c r="BD40" s="553"/>
      <c r="BE40" s="1429">
        <v>11</v>
      </c>
    </row>
    <row r="41" spans="1:57" s="1429" customFormat="1" ht="11.45" customHeight="1">
      <c r="A41" s="839"/>
      <c r="B41" s="839"/>
      <c r="C41" s="839"/>
      <c r="D41" s="839"/>
      <c r="E41" s="839"/>
      <c r="F41" s="1424"/>
      <c r="G41" s="1424"/>
      <c r="H41" s="284"/>
      <c r="AH41" s="1154"/>
      <c r="AJ41" s="1154"/>
      <c r="AK41" s="1424"/>
      <c r="AL41" s="1424"/>
      <c r="AM41" s="1154"/>
      <c r="AN41" s="1154"/>
      <c r="AO41" s="1154"/>
      <c r="AP41" s="1154"/>
      <c r="AQ41" s="1424"/>
      <c r="AR41" s="1154"/>
      <c r="AS41" s="1154"/>
      <c r="AT41" s="476"/>
      <c r="AU41" s="1154"/>
      <c r="AV41" s="1154"/>
      <c r="AW41" s="1154"/>
      <c r="AX41" s="1154"/>
      <c r="AY41" s="1154"/>
      <c r="AZ41" s="1420"/>
      <c r="BA41" s="553"/>
      <c r="BB41" s="553"/>
      <c r="BC41" s="553"/>
      <c r="BD41" s="553"/>
      <c r="BE41" s="1429">
        <v>11</v>
      </c>
    </row>
    <row r="42" spans="1:57" s="1429" customFormat="1" ht="11.45" customHeight="1">
      <c r="A42" s="839"/>
      <c r="B42" s="839"/>
      <c r="C42" s="839"/>
      <c r="D42" s="839"/>
      <c r="E42" s="839"/>
      <c r="F42" s="1424"/>
      <c r="G42" s="1424"/>
      <c r="H42" s="284"/>
      <c r="AH42" s="1154"/>
      <c r="AJ42" s="1154"/>
      <c r="AK42" s="1424"/>
      <c r="AL42" s="1424"/>
      <c r="AM42" s="1154"/>
      <c r="AN42" s="1154"/>
      <c r="AO42" s="1154"/>
      <c r="AP42" s="1154"/>
      <c r="AQ42" s="1424"/>
      <c r="AR42" s="1154"/>
      <c r="AS42" s="1154"/>
      <c r="AT42" s="476"/>
      <c r="AU42" s="1154"/>
      <c r="AV42" s="1154"/>
      <c r="AW42" s="1154"/>
      <c r="AX42" s="1154"/>
      <c r="AY42" s="1154"/>
      <c r="AZ42" s="1420"/>
      <c r="BA42" s="553"/>
      <c r="BB42" s="553"/>
      <c r="BC42" s="553"/>
      <c r="BD42" s="553"/>
      <c r="BE42" s="1429">
        <v>11</v>
      </c>
    </row>
    <row r="43" spans="1:57" s="1429" customFormat="1" ht="11.45" customHeight="1">
      <c r="A43" s="839"/>
      <c r="B43" s="839"/>
      <c r="C43" s="839"/>
      <c r="D43" s="839"/>
      <c r="E43" s="839"/>
      <c r="F43" s="1424"/>
      <c r="G43" s="1424"/>
      <c r="H43" s="284"/>
      <c r="AH43" s="1154"/>
      <c r="AJ43" s="1154"/>
      <c r="AK43" s="1424"/>
      <c r="AL43" s="1424"/>
      <c r="AM43" s="1154"/>
      <c r="AN43" s="1154"/>
      <c r="AO43" s="1154"/>
      <c r="AP43" s="1154"/>
      <c r="AQ43" s="1424"/>
      <c r="AR43" s="1154"/>
      <c r="AS43" s="1154"/>
      <c r="AT43" s="476"/>
      <c r="AU43" s="1154"/>
      <c r="AV43" s="1154"/>
      <c r="AW43" s="1154"/>
      <c r="AX43" s="1154"/>
      <c r="AY43" s="1154"/>
      <c r="AZ43" s="1420"/>
      <c r="BA43" s="553"/>
      <c r="BB43" s="553"/>
      <c r="BC43" s="553"/>
      <c r="BD43" s="553"/>
      <c r="BE43" s="1429">
        <v>11</v>
      </c>
    </row>
    <row r="44" spans="1:57" s="1429" customFormat="1" ht="11.45" customHeight="1">
      <c r="A44" s="839"/>
      <c r="B44" s="839"/>
      <c r="C44" s="839"/>
      <c r="D44" s="839"/>
      <c r="E44" s="839"/>
      <c r="F44" s="1424"/>
      <c r="G44" s="1424"/>
      <c r="H44" s="284"/>
      <c r="AH44" s="1154"/>
      <c r="AJ44" s="1154"/>
      <c r="AK44" s="1424"/>
      <c r="AL44" s="1424"/>
      <c r="AM44" s="1154"/>
      <c r="AN44" s="1154"/>
      <c r="AO44" s="1154"/>
      <c r="AP44" s="1154"/>
      <c r="AQ44" s="1424"/>
      <c r="AR44" s="1154"/>
      <c r="AS44" s="1154"/>
      <c r="AT44" s="476"/>
      <c r="AU44" s="1154"/>
      <c r="AV44" s="1154"/>
      <c r="AW44" s="1154"/>
      <c r="AX44" s="1154"/>
      <c r="AY44" s="1154"/>
      <c r="AZ44" s="1420"/>
      <c r="BA44" s="553"/>
      <c r="BB44" s="553"/>
      <c r="BC44" s="553"/>
      <c r="BD44" s="553"/>
      <c r="BE44" s="1429">
        <v>11</v>
      </c>
    </row>
    <row r="45" spans="1:57" s="1429" customFormat="1" ht="11.45" customHeight="1">
      <c r="A45" s="839"/>
      <c r="B45" s="839"/>
      <c r="C45" s="839"/>
      <c r="D45" s="839"/>
      <c r="E45" s="839"/>
      <c r="F45" s="1424"/>
      <c r="G45" s="1424"/>
      <c r="H45" s="284"/>
      <c r="AH45" s="1154"/>
      <c r="AJ45" s="1154"/>
      <c r="AK45" s="1424"/>
      <c r="AL45" s="1424"/>
      <c r="AM45" s="1154"/>
      <c r="AN45" s="1154"/>
      <c r="AO45" s="1154"/>
      <c r="AP45" s="1154"/>
      <c r="AQ45" s="1424"/>
      <c r="AR45" s="1154"/>
      <c r="AS45" s="1154"/>
      <c r="AT45" s="476"/>
      <c r="AU45" s="1154"/>
      <c r="AV45" s="1154"/>
      <c r="AW45" s="1154"/>
      <c r="AX45" s="1154"/>
      <c r="AY45" s="1154"/>
      <c r="AZ45" s="1420"/>
      <c r="BA45" s="553"/>
      <c r="BB45" s="553"/>
      <c r="BC45" s="553"/>
      <c r="BD45" s="553"/>
      <c r="BE45" s="1429">
        <v>11</v>
      </c>
    </row>
    <row r="46" spans="1:57" s="1429" customFormat="1" ht="11.45" customHeight="1">
      <c r="A46" s="839"/>
      <c r="B46" s="839"/>
      <c r="C46" s="839"/>
      <c r="D46" s="839"/>
      <c r="E46" s="839"/>
      <c r="F46" s="1424"/>
      <c r="G46" s="1424"/>
      <c r="H46" s="284"/>
      <c r="AH46" s="1154"/>
      <c r="AJ46" s="1154"/>
      <c r="AK46" s="1424"/>
      <c r="AL46" s="1424"/>
      <c r="AM46" s="1154"/>
      <c r="AN46" s="1154"/>
      <c r="AO46" s="1154"/>
      <c r="AP46" s="1154"/>
      <c r="AQ46" s="1424"/>
      <c r="AR46" s="1154"/>
      <c r="AS46" s="1154"/>
      <c r="AT46" s="476"/>
      <c r="AU46" s="1154"/>
      <c r="AV46" s="1154"/>
      <c r="AW46" s="1154"/>
      <c r="AX46" s="1154"/>
      <c r="AY46" s="1154"/>
      <c r="AZ46" s="1420"/>
      <c r="BA46" s="553"/>
      <c r="BB46" s="553"/>
      <c r="BC46" s="553"/>
      <c r="BD46" s="553"/>
      <c r="BE46" s="1429">
        <v>11</v>
      </c>
    </row>
    <row r="47" spans="1:57" s="1429" customFormat="1" ht="11.45" customHeight="1">
      <c r="A47" s="839"/>
      <c r="B47" s="839"/>
      <c r="C47" s="839"/>
      <c r="D47" s="839"/>
      <c r="E47" s="839"/>
      <c r="F47" s="1424"/>
      <c r="G47" s="1424"/>
      <c r="H47" s="284"/>
      <c r="AH47" s="1154"/>
      <c r="AJ47" s="1154"/>
      <c r="AK47" s="1424"/>
      <c r="AL47" s="1424"/>
      <c r="AM47" s="1154"/>
      <c r="AN47" s="1154"/>
      <c r="AO47" s="1154"/>
      <c r="AP47" s="1154"/>
      <c r="AQ47" s="1424"/>
      <c r="AR47" s="1154"/>
      <c r="AS47" s="1154"/>
      <c r="AT47" s="476"/>
      <c r="AU47" s="1154"/>
      <c r="AV47" s="1154"/>
      <c r="AW47" s="1154"/>
      <c r="AX47" s="1154"/>
      <c r="AY47" s="1154"/>
      <c r="AZ47" s="1420"/>
      <c r="BA47" s="553"/>
      <c r="BB47" s="553"/>
      <c r="BC47" s="553"/>
      <c r="BD47" s="553"/>
      <c r="BE47" s="1429">
        <v>11</v>
      </c>
    </row>
    <row r="48" spans="1:57" s="1429" customFormat="1" ht="11.45" customHeight="1">
      <c r="A48" s="839"/>
      <c r="B48" s="839"/>
      <c r="C48" s="839"/>
      <c r="D48" s="839"/>
      <c r="E48" s="839"/>
      <c r="F48" s="1424"/>
      <c r="G48" s="1424"/>
      <c r="H48" s="284"/>
      <c r="AH48" s="1154"/>
      <c r="AJ48" s="1154"/>
      <c r="AK48" s="1424"/>
      <c r="AL48" s="1424"/>
      <c r="AM48" s="1154"/>
      <c r="AN48" s="1154"/>
      <c r="AO48" s="1154"/>
      <c r="AP48" s="1154"/>
      <c r="AQ48" s="1424"/>
      <c r="AR48" s="1154"/>
      <c r="AS48" s="1154"/>
      <c r="AT48" s="476"/>
      <c r="AU48" s="1154"/>
      <c r="AV48" s="1154"/>
      <c r="AW48" s="1154"/>
      <c r="AX48" s="1154"/>
      <c r="AY48" s="1154"/>
      <c r="AZ48" s="1420"/>
      <c r="BA48" s="553"/>
      <c r="BB48" s="553"/>
      <c r="BC48" s="553"/>
      <c r="BD48" s="553"/>
      <c r="BE48" s="1429">
        <v>11</v>
      </c>
    </row>
    <row r="49" spans="1:57" s="1429" customFormat="1" ht="11.45" customHeight="1">
      <c r="A49" s="839"/>
      <c r="B49" s="839"/>
      <c r="C49" s="839"/>
      <c r="D49" s="839"/>
      <c r="E49" s="839"/>
      <c r="F49" s="1424"/>
      <c r="G49" s="1424"/>
      <c r="H49" s="284"/>
      <c r="AH49" s="1154"/>
      <c r="AJ49" s="1154"/>
      <c r="AK49" s="1424"/>
      <c r="AL49" s="1424"/>
      <c r="AM49" s="1154"/>
      <c r="AN49" s="1154"/>
      <c r="AO49" s="1154"/>
      <c r="AP49" s="1154"/>
      <c r="AQ49" s="1424"/>
      <c r="AR49" s="1154"/>
      <c r="AS49" s="1154"/>
      <c r="AT49" s="476"/>
      <c r="AU49" s="1154"/>
      <c r="AV49" s="1154"/>
      <c r="AW49" s="1154"/>
      <c r="AX49" s="1154"/>
      <c r="AY49" s="1154"/>
      <c r="AZ49" s="1420"/>
      <c r="BA49" s="553"/>
      <c r="BB49" s="553"/>
      <c r="BC49" s="553"/>
      <c r="BD49" s="553"/>
      <c r="BE49" s="1429">
        <v>11</v>
      </c>
    </row>
    <row r="50" spans="1:57" s="1429" customFormat="1" ht="11.45" customHeight="1">
      <c r="A50" s="839"/>
      <c r="B50" s="839"/>
      <c r="C50" s="839"/>
      <c r="D50" s="839"/>
      <c r="E50" s="839"/>
      <c r="F50" s="1424"/>
      <c r="G50" s="1424"/>
      <c r="H50" s="284"/>
      <c r="AH50" s="1154"/>
      <c r="AJ50" s="1154"/>
      <c r="AK50" s="1424"/>
      <c r="AL50" s="1424"/>
      <c r="AM50" s="1154"/>
      <c r="AN50" s="1154"/>
      <c r="AO50" s="1154"/>
      <c r="AP50" s="1154"/>
      <c r="AQ50" s="1424"/>
      <c r="AR50" s="1154"/>
      <c r="AS50" s="1154"/>
      <c r="AT50" s="476"/>
      <c r="AU50" s="1154"/>
      <c r="AV50" s="1154"/>
      <c r="AW50" s="1154"/>
      <c r="AX50" s="1154"/>
      <c r="AY50" s="1154"/>
      <c r="AZ50" s="1420"/>
      <c r="BA50" s="553"/>
      <c r="BB50" s="553"/>
      <c r="BC50" s="553"/>
      <c r="BD50" s="553"/>
      <c r="BE50" s="1429">
        <v>11</v>
      </c>
    </row>
    <row r="51" spans="1:57" s="1429" customFormat="1" ht="11.45" customHeight="1">
      <c r="A51" s="839"/>
      <c r="B51" s="839"/>
      <c r="C51" s="839"/>
      <c r="D51" s="839"/>
      <c r="E51" s="839"/>
      <c r="F51" s="1424"/>
      <c r="G51" s="1424"/>
      <c r="H51" s="284"/>
      <c r="AH51" s="1154"/>
      <c r="AJ51" s="1154"/>
      <c r="AK51" s="1424"/>
      <c r="AL51" s="1424"/>
      <c r="AM51" s="1154"/>
      <c r="AN51" s="1154"/>
      <c r="AO51" s="1154"/>
      <c r="AP51" s="1154"/>
      <c r="AQ51" s="1424"/>
      <c r="AR51" s="1154"/>
      <c r="AS51" s="1154"/>
      <c r="AT51" s="476"/>
      <c r="AU51" s="1154"/>
      <c r="AV51" s="1154"/>
      <c r="AW51" s="1154"/>
      <c r="AX51" s="1154"/>
      <c r="AY51" s="1154"/>
      <c r="AZ51" s="1420"/>
      <c r="BA51" s="553"/>
      <c r="BB51" s="553"/>
      <c r="BC51" s="553"/>
      <c r="BD51" s="553"/>
      <c r="BE51" s="1429">
        <v>11</v>
      </c>
    </row>
    <row r="52" spans="1:57" s="1429" customFormat="1" ht="11.45" customHeight="1">
      <c r="A52" s="839"/>
      <c r="B52" s="839"/>
      <c r="C52" s="839"/>
      <c r="D52" s="839"/>
      <c r="E52" s="839"/>
      <c r="F52" s="1424"/>
      <c r="G52" s="1424"/>
      <c r="H52" s="284"/>
      <c r="AH52" s="1154"/>
      <c r="AJ52" s="1154"/>
      <c r="AK52" s="1424"/>
      <c r="AL52" s="1424"/>
      <c r="AM52" s="1154"/>
      <c r="AN52" s="1154"/>
      <c r="AO52" s="1154"/>
      <c r="AP52" s="1154"/>
      <c r="AQ52" s="1424"/>
      <c r="AR52" s="1154"/>
      <c r="AS52" s="1154"/>
      <c r="AT52" s="476"/>
      <c r="AU52" s="1154"/>
      <c r="AV52" s="1154"/>
      <c r="AW52" s="1154"/>
      <c r="AX52" s="1154"/>
      <c r="AY52" s="1154"/>
      <c r="AZ52" s="1420"/>
      <c r="BA52" s="553"/>
      <c r="BB52" s="553"/>
      <c r="BC52" s="553"/>
      <c r="BD52" s="553"/>
      <c r="BE52" s="1429">
        <v>11</v>
      </c>
    </row>
    <row r="53" spans="1:57" s="1429" customFormat="1" ht="11.45" customHeight="1">
      <c r="A53" s="839"/>
      <c r="B53" s="839"/>
      <c r="C53" s="839"/>
      <c r="D53" s="839"/>
      <c r="E53" s="839"/>
      <c r="F53" s="1424"/>
      <c r="G53" s="1424"/>
      <c r="H53" s="284"/>
      <c r="AH53" s="1154"/>
      <c r="AJ53" s="1154"/>
      <c r="AK53" s="1424"/>
      <c r="AL53" s="1424"/>
      <c r="AM53" s="1154"/>
      <c r="AN53" s="1154"/>
      <c r="AO53" s="1154"/>
      <c r="AP53" s="1154"/>
      <c r="AQ53" s="1424"/>
      <c r="AR53" s="1154"/>
      <c r="AS53" s="1154"/>
      <c r="AT53" s="476"/>
      <c r="AU53" s="1154"/>
      <c r="AV53" s="1154"/>
      <c r="AW53" s="1154"/>
      <c r="AX53" s="1154"/>
      <c r="AY53" s="1154"/>
      <c r="AZ53" s="1420"/>
      <c r="BA53" s="553"/>
      <c r="BB53" s="553"/>
      <c r="BC53" s="553"/>
      <c r="BD53" s="553"/>
      <c r="BE53" s="1429">
        <v>11</v>
      </c>
    </row>
    <row r="54" spans="1:57" s="1429" customFormat="1" ht="11.45" customHeight="1">
      <c r="A54" s="839"/>
      <c r="B54" s="839"/>
      <c r="C54" s="839"/>
      <c r="D54" s="839"/>
      <c r="E54" s="839"/>
      <c r="F54" s="1424"/>
      <c r="G54" s="1424"/>
      <c r="H54" s="284"/>
      <c r="AH54" s="1154"/>
      <c r="AJ54" s="1154"/>
      <c r="AK54" s="1424"/>
      <c r="AL54" s="1424"/>
      <c r="AM54" s="1154"/>
      <c r="AN54" s="1154"/>
      <c r="AO54" s="1154"/>
      <c r="AP54" s="1154"/>
      <c r="AQ54" s="1424"/>
      <c r="AR54" s="1154"/>
      <c r="AS54" s="1154"/>
      <c r="AT54" s="476"/>
      <c r="AU54" s="1154"/>
      <c r="AV54" s="1154"/>
      <c r="AW54" s="1154"/>
      <c r="AX54" s="1154"/>
      <c r="AY54" s="1154"/>
      <c r="AZ54" s="1420"/>
      <c r="BA54" s="553"/>
      <c r="BB54" s="553"/>
      <c r="BC54" s="553"/>
      <c r="BD54" s="553"/>
      <c r="BE54" s="1429">
        <v>11</v>
      </c>
    </row>
    <row r="55" spans="1:57" s="1429" customFormat="1" ht="11.45" customHeight="1">
      <c r="A55" s="839"/>
      <c r="B55" s="839"/>
      <c r="C55" s="839"/>
      <c r="D55" s="839"/>
      <c r="E55" s="839"/>
      <c r="F55" s="1424"/>
      <c r="G55" s="1424"/>
      <c r="H55" s="284"/>
      <c r="AH55" s="1154"/>
      <c r="AJ55" s="1154"/>
      <c r="AK55" s="1424"/>
      <c r="AL55" s="1424"/>
      <c r="AM55" s="1154"/>
      <c r="AN55" s="1154"/>
      <c r="AO55" s="1154"/>
      <c r="AP55" s="1154"/>
      <c r="AQ55" s="1424"/>
      <c r="AR55" s="1154"/>
      <c r="AS55" s="1154"/>
      <c r="AT55" s="476"/>
      <c r="AU55" s="1154"/>
      <c r="AV55" s="1154"/>
      <c r="AW55" s="1154"/>
      <c r="AX55" s="1154"/>
      <c r="AY55" s="1154"/>
      <c r="AZ55" s="1420"/>
      <c r="BA55" s="553"/>
      <c r="BB55" s="553"/>
      <c r="BC55" s="553"/>
      <c r="BD55" s="553"/>
      <c r="BE55" s="1429">
        <v>11</v>
      </c>
    </row>
    <row r="56" spans="1:57" s="1429" customFormat="1" ht="11.45" customHeight="1">
      <c r="A56" s="839"/>
      <c r="B56" s="839"/>
      <c r="C56" s="839"/>
      <c r="D56" s="839"/>
      <c r="E56" s="839"/>
      <c r="F56" s="1424"/>
      <c r="G56" s="1424"/>
      <c r="H56" s="284"/>
      <c r="AH56" s="1154"/>
      <c r="AJ56" s="1154"/>
      <c r="AK56" s="1424"/>
      <c r="AL56" s="1424"/>
      <c r="AM56" s="1154"/>
      <c r="AN56" s="1154"/>
      <c r="AO56" s="1154"/>
      <c r="AP56" s="1154"/>
      <c r="AQ56" s="1424"/>
      <c r="AR56" s="1154"/>
      <c r="AS56" s="1154"/>
      <c r="AT56" s="476"/>
      <c r="AU56" s="1154"/>
      <c r="AV56" s="1154"/>
      <c r="AW56" s="1154"/>
      <c r="AX56" s="1154"/>
      <c r="AY56" s="1154"/>
      <c r="AZ56" s="1420"/>
      <c r="BA56" s="553"/>
      <c r="BB56" s="553"/>
      <c r="BC56" s="553"/>
      <c r="BD56" s="553"/>
      <c r="BE56" s="1429">
        <v>11</v>
      </c>
    </row>
    <row r="57" spans="1:57" s="1429" customFormat="1" ht="11.45" customHeight="1">
      <c r="A57" s="839"/>
      <c r="B57" s="839"/>
      <c r="C57" s="839"/>
      <c r="D57" s="839"/>
      <c r="E57" s="839"/>
      <c r="F57" s="1424"/>
      <c r="G57" s="1424"/>
      <c r="H57" s="284"/>
      <c r="AH57" s="1154"/>
      <c r="AJ57" s="1154"/>
      <c r="AK57" s="1424"/>
      <c r="AL57" s="1424"/>
      <c r="AM57" s="1154"/>
      <c r="AN57" s="1154"/>
      <c r="AO57" s="1154"/>
      <c r="AP57" s="1154"/>
      <c r="AQ57" s="1424"/>
      <c r="AR57" s="1154"/>
      <c r="AS57" s="1154"/>
      <c r="AT57" s="476"/>
      <c r="AU57" s="1154"/>
      <c r="AV57" s="1154"/>
      <c r="AW57" s="1154"/>
      <c r="AX57" s="1154"/>
      <c r="AY57" s="1154"/>
      <c r="AZ57" s="1420"/>
      <c r="BA57" s="553"/>
      <c r="BB57" s="553"/>
      <c r="BC57" s="553"/>
      <c r="BD57" s="553"/>
      <c r="BE57" s="1429">
        <v>11</v>
      </c>
    </row>
    <row r="58" spans="1:57" s="1429" customFormat="1" ht="11.45" customHeight="1">
      <c r="A58" s="839"/>
      <c r="B58" s="839"/>
      <c r="C58" s="839"/>
      <c r="D58" s="839"/>
      <c r="E58" s="839"/>
      <c r="F58" s="1424"/>
      <c r="G58" s="1424"/>
      <c r="H58" s="284"/>
      <c r="AH58" s="1154"/>
      <c r="AJ58" s="1154"/>
      <c r="AK58" s="1424"/>
      <c r="AL58" s="1424"/>
      <c r="AM58" s="1154"/>
      <c r="AN58" s="1154"/>
      <c r="AO58" s="1154"/>
      <c r="AP58" s="1154"/>
      <c r="AQ58" s="1424"/>
      <c r="AR58" s="1154"/>
      <c r="AS58" s="1154"/>
      <c r="AT58" s="476"/>
      <c r="AU58" s="1154"/>
      <c r="AV58" s="1154"/>
      <c r="AW58" s="1154"/>
      <c r="AX58" s="1154"/>
      <c r="AY58" s="1154"/>
      <c r="AZ58" s="1420"/>
      <c r="BA58" s="553"/>
      <c r="BB58" s="553"/>
      <c r="BC58" s="553"/>
      <c r="BD58" s="553"/>
      <c r="BE58" s="1429">
        <v>11</v>
      </c>
    </row>
    <row r="59" spans="1:57" s="1429" customFormat="1" ht="11.45" customHeight="1">
      <c r="A59" s="839"/>
      <c r="B59" s="839"/>
      <c r="C59" s="839"/>
      <c r="D59" s="839"/>
      <c r="E59" s="839"/>
      <c r="F59" s="1424"/>
      <c r="G59" s="1424"/>
      <c r="H59" s="284"/>
      <c r="AH59" s="1154"/>
      <c r="AJ59" s="1154"/>
      <c r="AK59" s="1424"/>
      <c r="AL59" s="1424"/>
      <c r="AM59" s="1154"/>
      <c r="AN59" s="1154"/>
      <c r="AO59" s="1154"/>
      <c r="AP59" s="1154"/>
      <c r="AQ59" s="1424"/>
      <c r="AR59" s="1154"/>
      <c r="AS59" s="1154"/>
      <c r="AT59" s="476"/>
      <c r="AU59" s="1154"/>
      <c r="AV59" s="1154"/>
      <c r="AW59" s="1154"/>
      <c r="AX59" s="1154"/>
      <c r="AY59" s="1154"/>
      <c r="AZ59" s="1420"/>
      <c r="BA59" s="553"/>
      <c r="BB59" s="553"/>
      <c r="BC59" s="553"/>
      <c r="BD59" s="553"/>
      <c r="BE59" s="1429">
        <v>11</v>
      </c>
    </row>
    <row r="60" spans="1:57" s="1429" customFormat="1" ht="11.45" customHeight="1">
      <c r="A60" s="839"/>
      <c r="B60" s="839"/>
      <c r="C60" s="839"/>
      <c r="D60" s="839"/>
      <c r="E60" s="839"/>
      <c r="F60" s="1424"/>
      <c r="G60" s="1424"/>
      <c r="H60" s="284"/>
      <c r="AH60" s="1154"/>
      <c r="AJ60" s="1154"/>
      <c r="AK60" s="1424"/>
      <c r="AL60" s="1424"/>
      <c r="AM60" s="1154"/>
      <c r="AN60" s="1154"/>
      <c r="AO60" s="1154"/>
      <c r="AP60" s="1154"/>
      <c r="AQ60" s="1424"/>
      <c r="AR60" s="1154"/>
      <c r="AS60" s="1154"/>
      <c r="AT60" s="476"/>
      <c r="AU60" s="1154"/>
      <c r="AV60" s="1154"/>
      <c r="AW60" s="1154"/>
      <c r="AX60" s="1154"/>
      <c r="AY60" s="1154"/>
      <c r="AZ60" s="1420"/>
      <c r="BA60" s="553"/>
      <c r="BB60" s="553"/>
      <c r="BC60" s="553"/>
      <c r="BD60" s="553"/>
      <c r="BE60" s="1429">
        <v>11</v>
      </c>
    </row>
    <row r="61" spans="1:57" s="1429" customFormat="1" ht="11.45" customHeight="1">
      <c r="A61" s="839"/>
      <c r="B61" s="839"/>
      <c r="C61" s="839"/>
      <c r="D61" s="839"/>
      <c r="E61" s="839"/>
      <c r="F61" s="1424"/>
      <c r="G61" s="1424"/>
      <c r="H61" s="284"/>
      <c r="AH61" s="1154"/>
      <c r="AJ61" s="1154"/>
      <c r="AK61" s="1424"/>
      <c r="AL61" s="1424"/>
      <c r="AM61" s="1154"/>
      <c r="AN61" s="1154"/>
      <c r="AO61" s="1154"/>
      <c r="AP61" s="1154"/>
      <c r="AQ61" s="1424"/>
      <c r="AR61" s="1154"/>
      <c r="AS61" s="1154"/>
      <c r="AT61" s="476"/>
      <c r="AU61" s="1154"/>
      <c r="AV61" s="1154"/>
      <c r="AW61" s="1154"/>
      <c r="AX61" s="1154"/>
      <c r="AY61" s="1154"/>
      <c r="AZ61" s="1420"/>
      <c r="BA61" s="553"/>
      <c r="BB61" s="553"/>
      <c r="BC61" s="553"/>
      <c r="BD61" s="553"/>
      <c r="BE61" s="1429">
        <v>11</v>
      </c>
    </row>
    <row r="62" spans="1:57" s="1429" customFormat="1" ht="11.45" customHeight="1">
      <c r="A62" s="839"/>
      <c r="B62" s="839"/>
      <c r="C62" s="839"/>
      <c r="D62" s="839"/>
      <c r="E62" s="839"/>
      <c r="F62" s="1424"/>
      <c r="G62" s="1424"/>
      <c r="H62" s="284"/>
      <c r="AH62" s="1154"/>
      <c r="AJ62" s="1154"/>
      <c r="AK62" s="1424"/>
      <c r="AL62" s="1424"/>
      <c r="AM62" s="1154"/>
      <c r="AN62" s="1154"/>
      <c r="AO62" s="1154"/>
      <c r="AP62" s="1154"/>
      <c r="AQ62" s="1424"/>
      <c r="AR62" s="1154"/>
      <c r="AS62" s="1154"/>
      <c r="AT62" s="476"/>
      <c r="AU62" s="1154"/>
      <c r="AV62" s="1154"/>
      <c r="AW62" s="1154"/>
      <c r="AX62" s="1154"/>
      <c r="AY62" s="1154"/>
      <c r="AZ62" s="1420"/>
      <c r="BA62" s="553"/>
      <c r="BB62" s="553"/>
      <c r="BC62" s="553"/>
      <c r="BD62" s="553"/>
      <c r="BE62" s="1429">
        <v>11</v>
      </c>
    </row>
    <row r="63" spans="1:57" s="1429" customFormat="1" ht="11.45" customHeight="1">
      <c r="A63" s="839"/>
      <c r="B63" s="839"/>
      <c r="C63" s="839"/>
      <c r="D63" s="839"/>
      <c r="E63" s="839"/>
      <c r="F63" s="1424"/>
      <c r="G63" s="1424"/>
      <c r="H63" s="284"/>
      <c r="AH63" s="1154"/>
      <c r="AJ63" s="1154"/>
      <c r="AK63" s="1424"/>
      <c r="AL63" s="1424"/>
      <c r="AM63" s="1154"/>
      <c r="AN63" s="1154"/>
      <c r="AO63" s="1154"/>
      <c r="AP63" s="1154"/>
      <c r="AQ63" s="1424"/>
      <c r="AR63" s="1154"/>
      <c r="AS63" s="1154"/>
      <c r="AT63" s="476"/>
      <c r="AU63" s="1154"/>
      <c r="AV63" s="1154"/>
      <c r="AW63" s="1154"/>
      <c r="AX63" s="1154"/>
      <c r="AY63" s="1154"/>
      <c r="AZ63" s="1420"/>
      <c r="BA63" s="553"/>
      <c r="BB63" s="553"/>
      <c r="BC63" s="553"/>
      <c r="BD63" s="553"/>
      <c r="BE63" s="1429">
        <v>11</v>
      </c>
    </row>
    <row r="64" spans="1:57" s="1429" customFormat="1" ht="11.45" customHeight="1">
      <c r="A64" s="839"/>
      <c r="B64" s="839"/>
      <c r="C64" s="839"/>
      <c r="D64" s="839"/>
      <c r="E64" s="839"/>
      <c r="F64" s="1424"/>
      <c r="G64" s="1424"/>
      <c r="H64" s="284"/>
      <c r="AH64" s="1154"/>
      <c r="AJ64" s="1154"/>
      <c r="AK64" s="1424"/>
      <c r="AL64" s="1424"/>
      <c r="AM64" s="1154"/>
      <c r="AN64" s="1154"/>
      <c r="AO64" s="1154"/>
      <c r="AP64" s="1154"/>
      <c r="AQ64" s="1424"/>
      <c r="AR64" s="1154"/>
      <c r="AS64" s="1154"/>
      <c r="AT64" s="476"/>
      <c r="AU64" s="1154"/>
      <c r="AV64" s="1154"/>
      <c r="AW64" s="1154"/>
      <c r="AX64" s="1154"/>
      <c r="AY64" s="1154"/>
      <c r="AZ64" s="1420"/>
      <c r="BA64" s="553"/>
      <c r="BB64" s="553"/>
      <c r="BC64" s="553"/>
      <c r="BD64" s="553"/>
      <c r="BE64" s="1429">
        <v>11</v>
      </c>
    </row>
    <row r="65" spans="1:57" s="1429" customFormat="1" ht="11.45" customHeight="1">
      <c r="A65" s="839"/>
      <c r="B65" s="839"/>
      <c r="C65" s="839"/>
      <c r="D65" s="839"/>
      <c r="E65" s="839"/>
      <c r="F65" s="1424"/>
      <c r="G65" s="1424"/>
      <c r="H65" s="284"/>
      <c r="AH65" s="1154"/>
      <c r="AJ65" s="1154"/>
      <c r="AK65" s="1424"/>
      <c r="AL65" s="1424"/>
      <c r="AM65" s="1154"/>
      <c r="AN65" s="1154"/>
      <c r="AO65" s="1154"/>
      <c r="AP65" s="1154"/>
      <c r="AQ65" s="1424"/>
      <c r="AR65" s="1154"/>
      <c r="AS65" s="1154"/>
      <c r="AT65" s="476"/>
      <c r="AU65" s="1154"/>
      <c r="AV65" s="1154"/>
      <c r="AW65" s="1154"/>
      <c r="AX65" s="1154"/>
      <c r="AY65" s="1154"/>
      <c r="AZ65" s="1420"/>
      <c r="BA65" s="553"/>
      <c r="BB65" s="553"/>
      <c r="BC65" s="553"/>
      <c r="BD65" s="553"/>
      <c r="BE65" s="1429">
        <v>11</v>
      </c>
    </row>
    <row r="66" spans="1:57" s="1429" customFormat="1" ht="11.45" customHeight="1">
      <c r="A66" s="839"/>
      <c r="B66" s="839"/>
      <c r="C66" s="839"/>
      <c r="D66" s="839"/>
      <c r="E66" s="839"/>
      <c r="F66" s="1424"/>
      <c r="G66" s="1424"/>
      <c r="H66" s="284"/>
      <c r="AH66" s="1154"/>
      <c r="AJ66" s="1154"/>
      <c r="AK66" s="1424"/>
      <c r="AL66" s="1424"/>
      <c r="AM66" s="1154"/>
      <c r="AN66" s="1154"/>
      <c r="AO66" s="1154"/>
      <c r="AP66" s="1154"/>
      <c r="AQ66" s="1424"/>
      <c r="AR66" s="1154"/>
      <c r="AS66" s="1154"/>
      <c r="AT66" s="476"/>
      <c r="AU66" s="1154"/>
      <c r="AV66" s="1154"/>
      <c r="AW66" s="1154"/>
      <c r="AX66" s="1154"/>
      <c r="AY66" s="1154"/>
      <c r="AZ66" s="1420"/>
      <c r="BA66" s="553"/>
      <c r="BB66" s="553"/>
      <c r="BC66" s="553"/>
      <c r="BD66" s="553"/>
      <c r="BE66" s="1429">
        <v>11</v>
      </c>
    </row>
    <row r="67" spans="1:57" s="1429" customFormat="1" ht="11.45" customHeight="1">
      <c r="A67" s="839"/>
      <c r="B67" s="839"/>
      <c r="C67" s="839"/>
      <c r="D67" s="839"/>
      <c r="E67" s="839"/>
      <c r="F67" s="1424"/>
      <c r="G67" s="1424"/>
      <c r="H67" s="284"/>
      <c r="AH67" s="1154"/>
      <c r="AJ67" s="1154"/>
      <c r="AK67" s="1424"/>
      <c r="AL67" s="1424"/>
      <c r="AM67" s="1154"/>
      <c r="AN67" s="1154"/>
      <c r="AO67" s="1154"/>
      <c r="AP67" s="1154"/>
      <c r="AQ67" s="1424"/>
      <c r="AR67" s="1154"/>
      <c r="AS67" s="1154"/>
      <c r="AT67" s="476"/>
      <c r="AU67" s="1154"/>
      <c r="AV67" s="1154"/>
      <c r="AW67" s="1154"/>
      <c r="AX67" s="1154"/>
      <c r="AY67" s="1154"/>
      <c r="AZ67" s="1420"/>
      <c r="BA67" s="553"/>
      <c r="BB67" s="553"/>
      <c r="BC67" s="553"/>
      <c r="BD67" s="553"/>
      <c r="BE67" s="1429">
        <v>11</v>
      </c>
    </row>
    <row r="68" spans="1:57" s="1429" customFormat="1" ht="11.45" customHeight="1">
      <c r="A68" s="839"/>
      <c r="B68" s="839"/>
      <c r="C68" s="839"/>
      <c r="D68" s="839"/>
      <c r="E68" s="839"/>
      <c r="F68" s="1424"/>
      <c r="G68" s="1424"/>
      <c r="H68" s="284"/>
      <c r="AH68" s="1154"/>
      <c r="AJ68" s="1154"/>
      <c r="AK68" s="1424"/>
      <c r="AL68" s="1424"/>
      <c r="AM68" s="1154"/>
      <c r="AN68" s="1154"/>
      <c r="AO68" s="1154"/>
      <c r="AP68" s="1154"/>
      <c r="AQ68" s="1424"/>
      <c r="AR68" s="1154"/>
      <c r="AS68" s="1154"/>
      <c r="AT68" s="476"/>
      <c r="AU68" s="1154"/>
      <c r="AV68" s="1154"/>
      <c r="AW68" s="1154"/>
      <c r="AX68" s="1154"/>
      <c r="AY68" s="1154"/>
      <c r="AZ68" s="1420"/>
      <c r="BA68" s="553"/>
      <c r="BB68" s="553"/>
      <c r="BC68" s="553"/>
      <c r="BD68" s="553"/>
      <c r="BE68" s="1429">
        <v>11</v>
      </c>
    </row>
    <row r="69" spans="1:57" s="1429" customFormat="1" ht="11.45" customHeight="1">
      <c r="A69" s="839"/>
      <c r="B69" s="839"/>
      <c r="C69" s="839"/>
      <c r="D69" s="839"/>
      <c r="E69" s="839"/>
      <c r="F69" s="1424"/>
      <c r="G69" s="1424"/>
      <c r="H69" s="284"/>
      <c r="AH69" s="1154"/>
      <c r="AJ69" s="1154"/>
      <c r="AK69" s="1424"/>
      <c r="AL69" s="1424"/>
      <c r="AM69" s="1154"/>
      <c r="AN69" s="1154"/>
      <c r="AO69" s="1154"/>
      <c r="AP69" s="1154"/>
      <c r="AQ69" s="1424"/>
      <c r="AR69" s="1154"/>
      <c r="AS69" s="1154"/>
      <c r="AT69" s="476"/>
      <c r="AU69" s="1154"/>
      <c r="AV69" s="1154"/>
      <c r="AW69" s="1154"/>
      <c r="AX69" s="1154"/>
      <c r="AY69" s="1154"/>
      <c r="AZ69" s="1420"/>
      <c r="BA69" s="553"/>
      <c r="BB69" s="553"/>
      <c r="BC69" s="553"/>
      <c r="BD69" s="553"/>
      <c r="BE69" s="1429">
        <v>11</v>
      </c>
    </row>
    <row r="70" spans="1:57" s="1429" customFormat="1" ht="11.45" customHeight="1">
      <c r="A70" s="839"/>
      <c r="B70" s="839"/>
      <c r="C70" s="839"/>
      <c r="D70" s="839"/>
      <c r="E70" s="839"/>
      <c r="F70" s="1424"/>
      <c r="G70" s="1424"/>
      <c r="H70" s="284"/>
      <c r="AH70" s="1154"/>
      <c r="AJ70" s="1154"/>
      <c r="AK70" s="1424"/>
      <c r="AL70" s="1424"/>
      <c r="AM70" s="1154"/>
      <c r="AN70" s="1154"/>
      <c r="AO70" s="1154"/>
      <c r="AP70" s="1154"/>
      <c r="AQ70" s="1424"/>
      <c r="AR70" s="1154"/>
      <c r="AS70" s="1154"/>
      <c r="AT70" s="476"/>
      <c r="AU70" s="1154"/>
      <c r="AV70" s="1154"/>
      <c r="AW70" s="1154"/>
      <c r="AX70" s="1154"/>
      <c r="AY70" s="1154"/>
      <c r="AZ70" s="1420"/>
      <c r="BA70" s="553"/>
      <c r="BB70" s="553"/>
      <c r="BC70" s="553"/>
      <c r="BD70" s="553"/>
      <c r="BE70" s="1429">
        <v>11</v>
      </c>
    </row>
    <row r="71" spans="1:57" s="1429" customFormat="1" ht="11.45" customHeight="1">
      <c r="A71" s="839"/>
      <c r="B71" s="839"/>
      <c r="C71" s="839"/>
      <c r="D71" s="839"/>
      <c r="E71" s="839"/>
      <c r="F71" s="1424"/>
      <c r="G71" s="1424"/>
      <c r="H71" s="284"/>
      <c r="AH71" s="1154"/>
      <c r="AJ71" s="1154"/>
      <c r="AK71" s="1424"/>
      <c r="AL71" s="1424"/>
      <c r="AM71" s="1154"/>
      <c r="AN71" s="1154"/>
      <c r="AO71" s="1154"/>
      <c r="AP71" s="1154"/>
      <c r="AQ71" s="1424"/>
      <c r="AR71" s="1154"/>
      <c r="AS71" s="1154"/>
      <c r="AT71" s="476"/>
      <c r="AU71" s="1154"/>
      <c r="AV71" s="1154"/>
      <c r="AW71" s="1154"/>
      <c r="AX71" s="1154"/>
      <c r="AY71" s="1154"/>
      <c r="AZ71" s="1420"/>
      <c r="BA71" s="553"/>
      <c r="BB71" s="553"/>
      <c r="BC71" s="553"/>
      <c r="BD71" s="553"/>
      <c r="BE71" s="1429">
        <v>11</v>
      </c>
    </row>
    <row r="72" spans="1:57" s="1429" customFormat="1" ht="11.45" customHeight="1">
      <c r="A72" s="839"/>
      <c r="B72" s="839"/>
      <c r="C72" s="839"/>
      <c r="D72" s="839"/>
      <c r="E72" s="839"/>
      <c r="F72" s="1424"/>
      <c r="G72" s="1424"/>
      <c r="H72" s="284"/>
      <c r="AH72" s="1154"/>
      <c r="AJ72" s="1154"/>
      <c r="AK72" s="1424"/>
      <c r="AL72" s="1424"/>
      <c r="AM72" s="1154"/>
      <c r="AN72" s="1154"/>
      <c r="AO72" s="1154"/>
      <c r="AP72" s="1154"/>
      <c r="AQ72" s="1424"/>
      <c r="AR72" s="1154"/>
      <c r="AS72" s="1154"/>
      <c r="AT72" s="476"/>
      <c r="AU72" s="1154"/>
      <c r="AV72" s="1154"/>
      <c r="AW72" s="1154"/>
      <c r="AX72" s="1154"/>
      <c r="AY72" s="1154"/>
      <c r="AZ72" s="1420"/>
      <c r="BA72" s="553"/>
      <c r="BB72" s="553"/>
      <c r="BC72" s="553"/>
      <c r="BD72" s="553"/>
      <c r="BE72" s="1429">
        <v>11</v>
      </c>
    </row>
    <row r="73" spans="1:57" s="1429" customFormat="1" ht="11.45" customHeight="1">
      <c r="A73" s="839"/>
      <c r="B73" s="839"/>
      <c r="C73" s="839"/>
      <c r="D73" s="839"/>
      <c r="E73" s="839"/>
      <c r="F73" s="1424"/>
      <c r="G73" s="1424"/>
      <c r="H73" s="284"/>
      <c r="AH73" s="1154"/>
      <c r="AJ73" s="1154"/>
      <c r="AK73" s="1424"/>
      <c r="AL73" s="1424"/>
      <c r="AM73" s="1154"/>
      <c r="AN73" s="1154"/>
      <c r="AO73" s="1154"/>
      <c r="AP73" s="1154"/>
      <c r="AQ73" s="1424"/>
      <c r="AR73" s="1154"/>
      <c r="AS73" s="1154"/>
      <c r="AT73" s="476"/>
      <c r="AU73" s="1154"/>
      <c r="AV73" s="1154"/>
      <c r="AW73" s="1154"/>
      <c r="AX73" s="1154"/>
      <c r="AY73" s="1154"/>
      <c r="AZ73" s="1420"/>
      <c r="BA73" s="553"/>
      <c r="BB73" s="553"/>
      <c r="BC73" s="553"/>
      <c r="BD73" s="553"/>
      <c r="BE73" s="1429">
        <v>11</v>
      </c>
    </row>
    <row r="74" spans="1:57" s="1429" customFormat="1" ht="11.45" customHeight="1">
      <c r="A74" s="839"/>
      <c r="B74" s="839"/>
      <c r="C74" s="839"/>
      <c r="D74" s="839"/>
      <c r="E74" s="839"/>
      <c r="F74" s="1424"/>
      <c r="G74" s="1424"/>
      <c r="H74" s="284"/>
      <c r="AH74" s="1154"/>
      <c r="AJ74" s="1154"/>
      <c r="AK74" s="1424"/>
      <c r="AL74" s="1424"/>
      <c r="AM74" s="1154"/>
      <c r="AN74" s="1154"/>
      <c r="AO74" s="1154"/>
      <c r="AP74" s="1154"/>
      <c r="AQ74" s="1424"/>
      <c r="AR74" s="1154"/>
      <c r="AS74" s="1154"/>
      <c r="AT74" s="476"/>
      <c r="AU74" s="1154"/>
      <c r="AV74" s="1154"/>
      <c r="AW74" s="1154"/>
      <c r="AX74" s="1154"/>
      <c r="AY74" s="1154"/>
      <c r="AZ74" s="1420"/>
      <c r="BA74" s="553"/>
      <c r="BB74" s="553"/>
      <c r="BC74" s="553"/>
      <c r="BD74" s="553"/>
      <c r="BE74" s="1429">
        <v>11</v>
      </c>
    </row>
    <row r="75" spans="1:57" s="1429" customFormat="1" ht="11.45" customHeight="1">
      <c r="A75" s="839"/>
      <c r="B75" s="839"/>
      <c r="C75" s="839"/>
      <c r="D75" s="839"/>
      <c r="E75" s="839"/>
      <c r="F75" s="1424"/>
      <c r="G75" s="1424"/>
      <c r="H75" s="284"/>
      <c r="AH75" s="1154"/>
      <c r="AJ75" s="1154"/>
      <c r="AK75" s="1424"/>
      <c r="AL75" s="1424"/>
      <c r="AM75" s="1154"/>
      <c r="AN75" s="1154"/>
      <c r="AO75" s="1154"/>
      <c r="AP75" s="1154"/>
      <c r="AQ75" s="1424"/>
      <c r="AR75" s="1154"/>
      <c r="AS75" s="1154"/>
      <c r="AT75" s="476"/>
      <c r="AU75" s="1154"/>
      <c r="AV75" s="1154"/>
      <c r="AW75" s="1154"/>
      <c r="AX75" s="1154"/>
      <c r="AY75" s="1154"/>
      <c r="AZ75" s="1420"/>
      <c r="BA75" s="553"/>
      <c r="BB75" s="553"/>
      <c r="BC75" s="553"/>
      <c r="BD75" s="553"/>
      <c r="BE75" s="1429">
        <v>11</v>
      </c>
    </row>
    <row r="76" spans="1:57" s="1429" customFormat="1" ht="11.45" customHeight="1">
      <c r="A76" s="839"/>
      <c r="B76" s="839"/>
      <c r="C76" s="839"/>
      <c r="D76" s="839"/>
      <c r="E76" s="839"/>
      <c r="F76" s="1424"/>
      <c r="G76" s="1424"/>
      <c r="H76" s="284"/>
      <c r="AH76" s="1154"/>
      <c r="AJ76" s="1154"/>
      <c r="AK76" s="1424"/>
      <c r="AL76" s="1424"/>
      <c r="AM76" s="1154"/>
      <c r="AN76" s="1154"/>
      <c r="AO76" s="1154"/>
      <c r="AP76" s="1154"/>
      <c r="AQ76" s="1424"/>
      <c r="AR76" s="1154"/>
      <c r="AS76" s="1154"/>
      <c r="AT76" s="476"/>
      <c r="AU76" s="1154"/>
      <c r="AV76" s="1154"/>
      <c r="AW76" s="1154"/>
      <c r="AX76" s="1154"/>
      <c r="AY76" s="1154"/>
      <c r="AZ76" s="1420"/>
      <c r="BA76" s="553"/>
      <c r="BB76" s="553"/>
      <c r="BC76" s="553"/>
      <c r="BD76" s="553"/>
      <c r="BE76" s="1429">
        <v>11</v>
      </c>
    </row>
    <row r="77" spans="1:57" s="1429" customFormat="1" ht="11.45" customHeight="1">
      <c r="A77" s="839"/>
      <c r="B77" s="839"/>
      <c r="C77" s="839"/>
      <c r="D77" s="839"/>
      <c r="E77" s="839"/>
      <c r="F77" s="1424"/>
      <c r="G77" s="1424"/>
      <c r="H77" s="284"/>
      <c r="AH77" s="1154"/>
      <c r="AJ77" s="1154"/>
      <c r="AK77" s="1424"/>
      <c r="AL77" s="1424"/>
      <c r="AM77" s="1154"/>
      <c r="AN77" s="1154"/>
      <c r="AO77" s="1154"/>
      <c r="AP77" s="1154"/>
      <c r="AQ77" s="1424"/>
      <c r="AR77" s="1154"/>
      <c r="AS77" s="1154"/>
      <c r="AT77" s="476"/>
      <c r="AU77" s="1154"/>
      <c r="AV77" s="1154"/>
      <c r="AW77" s="1154"/>
      <c r="AX77" s="1154"/>
      <c r="AY77" s="1154"/>
      <c r="AZ77" s="1420"/>
      <c r="BA77" s="553"/>
      <c r="BB77" s="553"/>
      <c r="BC77" s="553"/>
      <c r="BD77" s="553"/>
      <c r="BE77" s="1429">
        <v>11</v>
      </c>
    </row>
    <row r="78" spans="1:57" s="1429" customFormat="1" ht="11.45" customHeight="1">
      <c r="A78" s="839"/>
      <c r="B78" s="839"/>
      <c r="C78" s="839"/>
      <c r="D78" s="839"/>
      <c r="E78" s="839"/>
      <c r="F78" s="1424"/>
      <c r="G78" s="1424"/>
      <c r="H78" s="284"/>
      <c r="AH78" s="1154"/>
      <c r="AJ78" s="1154"/>
      <c r="AK78" s="1424"/>
      <c r="AL78" s="1424"/>
      <c r="AM78" s="1154"/>
      <c r="AN78" s="1154"/>
      <c r="AO78" s="1154"/>
      <c r="AP78" s="1154"/>
      <c r="AQ78" s="1424"/>
      <c r="AR78" s="1154"/>
      <c r="AS78" s="1154"/>
      <c r="AT78" s="476"/>
      <c r="AU78" s="1154"/>
      <c r="AV78" s="1154"/>
      <c r="AW78" s="1154"/>
      <c r="AX78" s="1154"/>
      <c r="AY78" s="1154"/>
      <c r="AZ78" s="1420"/>
      <c r="BA78" s="553"/>
      <c r="BB78" s="553"/>
      <c r="BC78" s="553"/>
      <c r="BD78" s="553"/>
      <c r="BE78" s="1429">
        <v>11</v>
      </c>
    </row>
    <row r="79" spans="1:57" s="1429" customFormat="1" ht="11.45" customHeight="1">
      <c r="A79" s="839"/>
      <c r="B79" s="839"/>
      <c r="C79" s="839"/>
      <c r="D79" s="839"/>
      <c r="E79" s="839"/>
      <c r="F79" s="1424"/>
      <c r="G79" s="1424"/>
      <c r="H79" s="284"/>
      <c r="AH79" s="1154"/>
      <c r="AJ79" s="1154"/>
      <c r="AK79" s="1424"/>
      <c r="AL79" s="1424"/>
      <c r="AM79" s="1154"/>
      <c r="AN79" s="1154"/>
      <c r="AO79" s="1154"/>
      <c r="AP79" s="1154"/>
      <c r="AQ79" s="1424"/>
      <c r="AR79" s="1154"/>
      <c r="AS79" s="1154"/>
      <c r="AT79" s="476"/>
      <c r="AU79" s="1154"/>
      <c r="AV79" s="1154"/>
      <c r="AW79" s="1154"/>
      <c r="AX79" s="1154"/>
      <c r="AY79" s="1154"/>
      <c r="AZ79" s="1420"/>
      <c r="BA79" s="553"/>
      <c r="BB79" s="553"/>
      <c r="BC79" s="553"/>
      <c r="BD79" s="553"/>
      <c r="BE79" s="1429">
        <v>11</v>
      </c>
    </row>
    <row r="80" spans="1:57" s="1429" customFormat="1" ht="11.45" customHeight="1">
      <c r="A80" s="839"/>
      <c r="B80" s="839"/>
      <c r="C80" s="839"/>
      <c r="D80" s="839"/>
      <c r="E80" s="839"/>
      <c r="F80" s="1424"/>
      <c r="G80" s="1424"/>
      <c r="H80" s="284"/>
      <c r="AH80" s="1154"/>
      <c r="AJ80" s="1154"/>
      <c r="AK80" s="1424"/>
      <c r="AL80" s="1424"/>
      <c r="AM80" s="1154"/>
      <c r="AN80" s="1154"/>
      <c r="AO80" s="1154"/>
      <c r="AP80" s="1154"/>
      <c r="AQ80" s="1424"/>
      <c r="AR80" s="1154"/>
      <c r="AS80" s="1154"/>
      <c r="AT80" s="476"/>
      <c r="AU80" s="1154"/>
      <c r="AV80" s="1154"/>
      <c r="AW80" s="1154"/>
      <c r="AX80" s="1154"/>
      <c r="AY80" s="1154"/>
      <c r="AZ80" s="1420"/>
      <c r="BA80" s="553"/>
      <c r="BB80" s="553"/>
      <c r="BC80" s="553"/>
      <c r="BD80" s="553"/>
      <c r="BE80" s="1429">
        <v>11</v>
      </c>
    </row>
    <row r="81" spans="1:57" s="1429" customFormat="1" ht="11.45" customHeight="1">
      <c r="A81" s="839"/>
      <c r="B81" s="839"/>
      <c r="C81" s="839"/>
      <c r="D81" s="839"/>
      <c r="E81" s="839"/>
      <c r="F81" s="1424"/>
      <c r="G81" s="1424"/>
      <c r="H81" s="284"/>
      <c r="AH81" s="1154"/>
      <c r="AJ81" s="1154"/>
      <c r="AK81" s="1424"/>
      <c r="AL81" s="1424"/>
      <c r="AM81" s="1154"/>
      <c r="AN81" s="1154"/>
      <c r="AO81" s="1154"/>
      <c r="AP81" s="1154"/>
      <c r="AQ81" s="1424"/>
      <c r="AR81" s="1154"/>
      <c r="AS81" s="1154"/>
      <c r="AT81" s="476"/>
      <c r="AU81" s="1154"/>
      <c r="AV81" s="1154"/>
      <c r="AW81" s="1154"/>
      <c r="AX81" s="1154"/>
      <c r="AY81" s="1154"/>
      <c r="AZ81" s="1420"/>
      <c r="BA81" s="553"/>
      <c r="BB81" s="553"/>
      <c r="BC81" s="553"/>
      <c r="BD81" s="553"/>
      <c r="BE81" s="1429">
        <v>11</v>
      </c>
    </row>
    <row r="82" spans="1:57" s="1429" customFormat="1" ht="11.45" customHeight="1">
      <c r="A82" s="839"/>
      <c r="B82" s="839"/>
      <c r="C82" s="839"/>
      <c r="D82" s="839"/>
      <c r="E82" s="839"/>
      <c r="F82" s="1424"/>
      <c r="G82" s="1424"/>
      <c r="H82" s="284"/>
      <c r="AH82" s="1154"/>
      <c r="AJ82" s="1154"/>
      <c r="AK82" s="1424"/>
      <c r="AL82" s="1424"/>
      <c r="AM82" s="1154"/>
      <c r="AN82" s="1154"/>
      <c r="AO82" s="1154"/>
      <c r="AP82" s="1154"/>
      <c r="AQ82" s="1424"/>
      <c r="AR82" s="1154"/>
      <c r="AS82" s="1154"/>
      <c r="AT82" s="476"/>
      <c r="AU82" s="1154"/>
      <c r="AV82" s="1154"/>
      <c r="AW82" s="1154"/>
      <c r="AX82" s="1154"/>
      <c r="AY82" s="1154"/>
      <c r="AZ82" s="1420"/>
      <c r="BA82" s="553"/>
      <c r="BB82" s="553"/>
      <c r="BC82" s="553"/>
      <c r="BD82" s="553"/>
      <c r="BE82" s="1429">
        <v>11</v>
      </c>
    </row>
    <row r="83" spans="1:57" s="1429" customFormat="1" ht="11.45" customHeight="1">
      <c r="A83" s="839"/>
      <c r="B83" s="839"/>
      <c r="C83" s="839"/>
      <c r="D83" s="839"/>
      <c r="E83" s="839"/>
      <c r="F83" s="1424"/>
      <c r="G83" s="1424"/>
      <c r="H83" s="284"/>
      <c r="AH83" s="1154"/>
      <c r="AJ83" s="1154"/>
      <c r="AK83" s="1424"/>
      <c r="AL83" s="1424"/>
      <c r="AM83" s="1154"/>
      <c r="AN83" s="1154"/>
      <c r="AO83" s="1154"/>
      <c r="AP83" s="1154"/>
      <c r="AQ83" s="1424"/>
      <c r="AR83" s="1154"/>
      <c r="AS83" s="1154"/>
      <c r="AT83" s="476"/>
      <c r="AU83" s="1154"/>
      <c r="AV83" s="1154"/>
      <c r="AW83" s="1154"/>
      <c r="AX83" s="1154"/>
      <c r="AY83" s="1154"/>
      <c r="AZ83" s="1420"/>
      <c r="BA83" s="553"/>
      <c r="BB83" s="553"/>
      <c r="BC83" s="553"/>
      <c r="BD83" s="553"/>
      <c r="BE83" s="1429">
        <v>11</v>
      </c>
    </row>
    <row r="84" spans="1:57" s="1429" customFormat="1" ht="11.45" customHeight="1">
      <c r="A84" s="839"/>
      <c r="B84" s="839"/>
      <c r="C84" s="839"/>
      <c r="D84" s="839"/>
      <c r="E84" s="839"/>
      <c r="F84" s="1424"/>
      <c r="G84" s="1424"/>
      <c r="H84" s="284"/>
      <c r="AH84" s="1154"/>
      <c r="AJ84" s="1154"/>
      <c r="AK84" s="1424"/>
      <c r="AL84" s="1424"/>
      <c r="AM84" s="1154"/>
      <c r="AN84" s="1154"/>
      <c r="AO84" s="1154"/>
      <c r="AP84" s="1154"/>
      <c r="AQ84" s="1424"/>
      <c r="AR84" s="1154"/>
      <c r="AS84" s="1154"/>
      <c r="AT84" s="476"/>
      <c r="AU84" s="1154"/>
      <c r="AV84" s="1154"/>
      <c r="AW84" s="1154"/>
      <c r="AX84" s="1154"/>
      <c r="AY84" s="1154"/>
      <c r="AZ84" s="1420"/>
      <c r="BA84" s="553"/>
      <c r="BB84" s="553"/>
      <c r="BC84" s="553"/>
      <c r="BD84" s="553"/>
      <c r="BE84" s="1429">
        <v>11</v>
      </c>
    </row>
    <row r="85" spans="1:57" s="1429" customFormat="1" ht="11.45" customHeight="1">
      <c r="A85" s="839"/>
      <c r="B85" s="839"/>
      <c r="C85" s="839"/>
      <c r="D85" s="839"/>
      <c r="E85" s="839"/>
      <c r="F85" s="1424"/>
      <c r="G85" s="1424"/>
      <c r="H85" s="284"/>
      <c r="AH85" s="1154"/>
      <c r="AJ85" s="1154"/>
      <c r="AK85" s="1424"/>
      <c r="AL85" s="1424"/>
      <c r="AM85" s="1154"/>
      <c r="AN85" s="1154"/>
      <c r="AO85" s="1154"/>
      <c r="AP85" s="1154"/>
      <c r="AQ85" s="1424"/>
      <c r="AR85" s="1154"/>
      <c r="AS85" s="1154"/>
      <c r="AT85" s="476"/>
      <c r="AU85" s="1154"/>
      <c r="AV85" s="1154"/>
      <c r="AW85" s="1154"/>
      <c r="AX85" s="1154"/>
      <c r="AY85" s="1154"/>
      <c r="AZ85" s="1420"/>
      <c r="BA85" s="553"/>
      <c r="BB85" s="553"/>
      <c r="BC85" s="553"/>
      <c r="BD85" s="553"/>
      <c r="BE85" s="1429">
        <v>11</v>
      </c>
    </row>
    <row r="86" spans="1:57" s="1429" customFormat="1" ht="11.45" customHeight="1">
      <c r="A86" s="839"/>
      <c r="B86" s="839"/>
      <c r="C86" s="839"/>
      <c r="D86" s="839"/>
      <c r="E86" s="839"/>
      <c r="F86" s="1424"/>
      <c r="G86" s="1424"/>
      <c r="H86" s="284"/>
      <c r="AH86" s="1154"/>
      <c r="AJ86" s="1154"/>
      <c r="AK86" s="1424"/>
      <c r="AL86" s="1424"/>
      <c r="AM86" s="1154"/>
      <c r="AN86" s="1154"/>
      <c r="AO86" s="1154"/>
      <c r="AP86" s="1154"/>
      <c r="AQ86" s="1424"/>
      <c r="AR86" s="1154"/>
      <c r="AS86" s="1154"/>
      <c r="AT86" s="476"/>
      <c r="AU86" s="1154"/>
      <c r="AV86" s="1154"/>
      <c r="AW86" s="1154"/>
      <c r="AX86" s="1154"/>
      <c r="AY86" s="1154"/>
      <c r="AZ86" s="1420"/>
      <c r="BA86" s="553"/>
      <c r="BB86" s="553"/>
      <c r="BC86" s="553"/>
      <c r="BD86" s="553"/>
      <c r="BE86" s="1429">
        <v>11</v>
      </c>
    </row>
    <row r="87" spans="1:57" s="1429" customFormat="1" ht="11.45" customHeight="1">
      <c r="A87" s="839"/>
      <c r="B87" s="839"/>
      <c r="C87" s="839"/>
      <c r="D87" s="839"/>
      <c r="E87" s="839"/>
      <c r="F87" s="1424"/>
      <c r="G87" s="1424"/>
      <c r="H87" s="284"/>
      <c r="AH87" s="1154"/>
      <c r="AJ87" s="1154"/>
      <c r="AK87" s="1424"/>
      <c r="AL87" s="1424"/>
      <c r="AM87" s="1154"/>
      <c r="AN87" s="1154"/>
      <c r="AO87" s="1154"/>
      <c r="AP87" s="1154"/>
      <c r="AQ87" s="1424"/>
      <c r="AR87" s="1154"/>
      <c r="AS87" s="1154"/>
      <c r="AT87" s="476"/>
      <c r="AU87" s="1154"/>
      <c r="AV87" s="1154"/>
      <c r="AW87" s="1154"/>
      <c r="AX87" s="1154"/>
      <c r="AY87" s="1154"/>
      <c r="AZ87" s="1420"/>
      <c r="BA87" s="553"/>
      <c r="BB87" s="553"/>
      <c r="BC87" s="553"/>
      <c r="BD87" s="553"/>
      <c r="BE87" s="1429">
        <v>11</v>
      </c>
    </row>
    <row r="88" spans="1:57" s="1429" customFormat="1" ht="11.45" customHeight="1">
      <c r="A88" s="839"/>
      <c r="B88" s="839"/>
      <c r="C88" s="839"/>
      <c r="D88" s="839"/>
      <c r="E88" s="839"/>
      <c r="F88" s="1424"/>
      <c r="G88" s="1424"/>
      <c r="H88" s="284"/>
      <c r="AH88" s="1154"/>
      <c r="AJ88" s="1154"/>
      <c r="AK88" s="1424"/>
      <c r="AL88" s="1424"/>
      <c r="AM88" s="1154"/>
      <c r="AN88" s="1154"/>
      <c r="AO88" s="1154"/>
      <c r="AP88" s="1154"/>
      <c r="AQ88" s="1424"/>
      <c r="AR88" s="1154"/>
      <c r="AS88" s="1154"/>
      <c r="AT88" s="476"/>
      <c r="AU88" s="1154"/>
      <c r="AV88" s="1154"/>
      <c r="AW88" s="1154"/>
      <c r="AX88" s="1154"/>
      <c r="AY88" s="1154"/>
      <c r="AZ88" s="1420"/>
      <c r="BA88" s="553"/>
      <c r="BB88" s="553"/>
      <c r="BC88" s="553"/>
      <c r="BD88" s="553"/>
      <c r="BE88" s="1429">
        <v>11</v>
      </c>
    </row>
    <row r="89" spans="1:57" s="1429" customFormat="1" ht="11.45" customHeight="1">
      <c r="A89" s="839"/>
      <c r="B89" s="839"/>
      <c r="C89" s="839"/>
      <c r="D89" s="839"/>
      <c r="E89" s="839"/>
      <c r="F89" s="1424"/>
      <c r="G89" s="1424"/>
      <c r="H89" s="284"/>
      <c r="AH89" s="1154"/>
      <c r="AJ89" s="1154"/>
      <c r="AK89" s="1424"/>
      <c r="AL89" s="1424"/>
      <c r="AM89" s="1154"/>
      <c r="AN89" s="1154"/>
      <c r="AO89" s="1154"/>
      <c r="AP89" s="1154"/>
      <c r="AQ89" s="1424"/>
      <c r="AR89" s="1154"/>
      <c r="AS89" s="1154"/>
      <c r="AT89" s="476"/>
      <c r="AU89" s="1154"/>
      <c r="AV89" s="1154"/>
      <c r="AW89" s="1154"/>
      <c r="AX89" s="1154"/>
      <c r="AY89" s="1154"/>
      <c r="AZ89" s="1420"/>
      <c r="BA89" s="553"/>
      <c r="BB89" s="553"/>
      <c r="BC89" s="553"/>
      <c r="BD89" s="553"/>
      <c r="BE89" s="1429">
        <v>11</v>
      </c>
    </row>
    <row r="90" spans="1:57" s="1429" customFormat="1" ht="11.45" customHeight="1">
      <c r="A90" s="839"/>
      <c r="B90" s="839"/>
      <c r="C90" s="839"/>
      <c r="D90" s="839"/>
      <c r="E90" s="839"/>
      <c r="F90" s="1424"/>
      <c r="G90" s="1424"/>
      <c r="H90" s="284"/>
      <c r="AH90" s="1154"/>
      <c r="AJ90" s="1154"/>
      <c r="AK90" s="1424"/>
      <c r="AL90" s="1424"/>
      <c r="AM90" s="1154"/>
      <c r="AN90" s="1154"/>
      <c r="AO90" s="1154"/>
      <c r="AP90" s="1154"/>
      <c r="AQ90" s="1424"/>
      <c r="AR90" s="1154"/>
      <c r="AS90" s="1154"/>
      <c r="AT90" s="476"/>
      <c r="AU90" s="1154"/>
      <c r="AV90" s="1154"/>
      <c r="AW90" s="1154"/>
      <c r="AX90" s="1154"/>
      <c r="AY90" s="1154"/>
      <c r="AZ90" s="1420"/>
      <c r="BA90" s="553"/>
      <c r="BB90" s="553"/>
      <c r="BC90" s="553"/>
      <c r="BD90" s="553"/>
      <c r="BE90" s="1429">
        <v>11</v>
      </c>
    </row>
    <row r="91" spans="1:57" s="1429" customFormat="1" ht="11.45" customHeight="1">
      <c r="A91" s="839"/>
      <c r="B91" s="839"/>
      <c r="C91" s="839"/>
      <c r="D91" s="839"/>
      <c r="E91" s="839"/>
      <c r="F91" s="1424"/>
      <c r="G91" s="1424"/>
      <c r="H91" s="284"/>
      <c r="AH91" s="1154"/>
      <c r="AJ91" s="1154"/>
      <c r="AK91" s="1424"/>
      <c r="AL91" s="1424"/>
      <c r="AM91" s="1154"/>
      <c r="AN91" s="1154"/>
      <c r="AO91" s="1154"/>
      <c r="AP91" s="1154"/>
      <c r="AQ91" s="1424"/>
      <c r="AR91" s="1154"/>
      <c r="AS91" s="1154"/>
      <c r="AT91" s="476"/>
      <c r="AU91" s="1154"/>
      <c r="AV91" s="1154"/>
      <c r="AW91" s="1154"/>
      <c r="AX91" s="1154"/>
      <c r="AY91" s="1154"/>
      <c r="AZ91" s="1420"/>
      <c r="BA91" s="553"/>
      <c r="BB91" s="553"/>
      <c r="BC91" s="553"/>
      <c r="BD91" s="553"/>
      <c r="BE91" s="1429">
        <v>11</v>
      </c>
    </row>
    <row r="92" spans="1:57" s="1429" customFormat="1" ht="11.45" customHeight="1">
      <c r="A92" s="839"/>
      <c r="B92" s="839"/>
      <c r="C92" s="839"/>
      <c r="D92" s="839"/>
      <c r="E92" s="839"/>
      <c r="F92" s="1424"/>
      <c r="G92" s="1424"/>
      <c r="H92" s="284"/>
      <c r="AH92" s="1154"/>
      <c r="AJ92" s="1154"/>
      <c r="AK92" s="1424"/>
      <c r="AL92" s="1424"/>
      <c r="AM92" s="1154"/>
      <c r="AN92" s="1154"/>
      <c r="AO92" s="1154"/>
      <c r="AP92" s="1154"/>
      <c r="AQ92" s="1424"/>
      <c r="AR92" s="1154"/>
      <c r="AS92" s="1154"/>
      <c r="AT92" s="476"/>
      <c r="AU92" s="1154"/>
      <c r="AV92" s="1154"/>
      <c r="AW92" s="1154"/>
      <c r="AX92" s="1154"/>
      <c r="AY92" s="1154"/>
      <c r="AZ92" s="1420"/>
      <c r="BA92" s="553"/>
      <c r="BB92" s="553"/>
      <c r="BC92" s="553"/>
      <c r="BD92" s="553"/>
      <c r="BE92" s="1429">
        <v>11</v>
      </c>
    </row>
    <row r="93" spans="1:57" s="1429" customFormat="1" ht="11.45" customHeight="1">
      <c r="A93" s="839"/>
      <c r="B93" s="839"/>
      <c r="C93" s="839"/>
      <c r="D93" s="839"/>
      <c r="E93" s="839"/>
      <c r="F93" s="1424"/>
      <c r="G93" s="1424"/>
      <c r="H93" s="284"/>
      <c r="AH93" s="1154"/>
      <c r="AJ93" s="1154"/>
      <c r="AK93" s="1424"/>
      <c r="AL93" s="1424"/>
      <c r="AM93" s="1154"/>
      <c r="AN93" s="1154"/>
      <c r="AO93" s="1154"/>
      <c r="AP93" s="1154"/>
      <c r="AQ93" s="1424"/>
      <c r="AR93" s="1154"/>
      <c r="AS93" s="1154"/>
      <c r="AT93" s="476"/>
      <c r="AU93" s="1154"/>
      <c r="AV93" s="1154"/>
      <c r="AW93" s="1154"/>
      <c r="AX93" s="1154"/>
      <c r="AY93" s="1154"/>
      <c r="AZ93" s="1420"/>
      <c r="BA93" s="553"/>
      <c r="BB93" s="553"/>
      <c r="BC93" s="553"/>
      <c r="BD93" s="553"/>
      <c r="BE93" s="1429">
        <v>11</v>
      </c>
    </row>
    <row r="94" spans="1:57" s="1429" customFormat="1" ht="11.45" customHeight="1">
      <c r="A94" s="839"/>
      <c r="B94" s="839"/>
      <c r="C94" s="839"/>
      <c r="D94" s="839"/>
      <c r="E94" s="839"/>
      <c r="F94" s="1424"/>
      <c r="G94" s="1424"/>
      <c r="H94" s="284"/>
      <c r="AH94" s="1154"/>
      <c r="AJ94" s="1154"/>
      <c r="AK94" s="1424"/>
      <c r="AL94" s="1424"/>
      <c r="AM94" s="1154"/>
      <c r="AN94" s="1154"/>
      <c r="AO94" s="1154"/>
      <c r="AP94" s="1154"/>
      <c r="AQ94" s="1424"/>
      <c r="AR94" s="1154"/>
      <c r="AS94" s="1154"/>
      <c r="AT94" s="476"/>
      <c r="AU94" s="1154"/>
      <c r="AV94" s="1154"/>
      <c r="AW94" s="1154"/>
      <c r="AX94" s="1154"/>
      <c r="AY94" s="1154"/>
      <c r="AZ94" s="1420"/>
      <c r="BA94" s="553"/>
      <c r="BB94" s="553"/>
      <c r="BC94" s="553"/>
      <c r="BD94" s="553"/>
      <c r="BE94" s="1429">
        <v>11</v>
      </c>
    </row>
    <row r="95" spans="1:57" s="1429" customFormat="1" ht="11.45" customHeight="1">
      <c r="A95" s="839"/>
      <c r="B95" s="839"/>
      <c r="C95" s="839"/>
      <c r="D95" s="839"/>
      <c r="E95" s="839"/>
      <c r="F95" s="1424"/>
      <c r="G95" s="1424"/>
      <c r="H95" s="284"/>
      <c r="AH95" s="1154"/>
      <c r="AJ95" s="1154"/>
      <c r="AK95" s="1424"/>
      <c r="AL95" s="1424"/>
      <c r="AM95" s="1154"/>
      <c r="AN95" s="1154"/>
      <c r="AO95" s="1154"/>
      <c r="AP95" s="1154"/>
      <c r="AQ95" s="1424"/>
      <c r="AR95" s="1154"/>
      <c r="AS95" s="1154"/>
      <c r="AT95" s="476"/>
      <c r="AU95" s="1154"/>
      <c r="AV95" s="1154"/>
      <c r="AW95" s="1154"/>
      <c r="AX95" s="1154"/>
      <c r="AY95" s="1154"/>
      <c r="AZ95" s="1420"/>
      <c r="BA95" s="553"/>
      <c r="BB95" s="553"/>
      <c r="BC95" s="553"/>
      <c r="BD95" s="553"/>
      <c r="BE95" s="1429">
        <v>11</v>
      </c>
    </row>
    <row r="96" spans="1:57" s="1429" customFormat="1" ht="11.45" customHeight="1">
      <c r="A96" s="839"/>
      <c r="B96" s="839"/>
      <c r="C96" s="839"/>
      <c r="D96" s="839"/>
      <c r="E96" s="839"/>
      <c r="F96" s="1424"/>
      <c r="G96" s="1424"/>
      <c r="H96" s="284"/>
      <c r="AH96" s="1154"/>
      <c r="AJ96" s="1154"/>
      <c r="AK96" s="1424"/>
      <c r="AL96" s="1424"/>
      <c r="AM96" s="1154"/>
      <c r="AN96" s="1154"/>
      <c r="AO96" s="1154"/>
      <c r="AP96" s="1154"/>
      <c r="AQ96" s="1424"/>
      <c r="AR96" s="1154"/>
      <c r="AS96" s="1154"/>
      <c r="AT96" s="476"/>
      <c r="AU96" s="1154"/>
      <c r="AV96" s="1154"/>
      <c r="AW96" s="1154"/>
      <c r="AX96" s="1154"/>
      <c r="AY96" s="1154"/>
      <c r="AZ96" s="1420"/>
      <c r="BA96" s="553"/>
      <c r="BB96" s="553"/>
      <c r="BC96" s="553"/>
      <c r="BD96" s="553"/>
      <c r="BE96" s="1429">
        <v>11</v>
      </c>
    </row>
    <row r="97" spans="1:57" s="1429" customFormat="1" ht="11.45" customHeight="1">
      <c r="A97" s="839"/>
      <c r="B97" s="839"/>
      <c r="C97" s="839"/>
      <c r="D97" s="839"/>
      <c r="E97" s="839"/>
      <c r="F97" s="1424"/>
      <c r="G97" s="1424"/>
      <c r="H97" s="284"/>
      <c r="AH97" s="1154"/>
      <c r="AJ97" s="1154"/>
      <c r="AK97" s="1424"/>
      <c r="AL97" s="1424"/>
      <c r="AM97" s="1154"/>
      <c r="AN97" s="1154"/>
      <c r="AO97" s="1154"/>
      <c r="AP97" s="1154"/>
      <c r="AQ97" s="1424"/>
      <c r="AR97" s="1154"/>
      <c r="AS97" s="1154"/>
      <c r="AT97" s="476"/>
      <c r="AU97" s="1154"/>
      <c r="AV97" s="1154"/>
      <c r="AW97" s="1154"/>
      <c r="AX97" s="1154"/>
      <c r="AY97" s="1154"/>
      <c r="AZ97" s="1420"/>
      <c r="BA97" s="553"/>
      <c r="BB97" s="553"/>
      <c r="BC97" s="553"/>
      <c r="BD97" s="553"/>
      <c r="BE97" s="1429">
        <v>11</v>
      </c>
    </row>
    <row r="98" spans="1:57" s="1429" customFormat="1" ht="11.45" customHeight="1">
      <c r="A98" s="839"/>
      <c r="B98" s="839"/>
      <c r="C98" s="839"/>
      <c r="D98" s="839"/>
      <c r="E98" s="839"/>
      <c r="F98" s="1424"/>
      <c r="G98" s="1424"/>
      <c r="H98" s="284"/>
      <c r="AH98" s="1154"/>
      <c r="AJ98" s="1154"/>
      <c r="AK98" s="1424"/>
      <c r="AL98" s="1424"/>
      <c r="AM98" s="1154"/>
      <c r="AN98" s="1154"/>
      <c r="AO98" s="1154"/>
      <c r="AP98" s="1154"/>
      <c r="AQ98" s="1424"/>
      <c r="AR98" s="1154"/>
      <c r="AS98" s="1154"/>
      <c r="AT98" s="476"/>
      <c r="AU98" s="1154"/>
      <c r="AV98" s="1154"/>
      <c r="AW98" s="1154"/>
      <c r="AX98" s="1154"/>
      <c r="AY98" s="1154"/>
      <c r="AZ98" s="1420"/>
      <c r="BA98" s="553"/>
      <c r="BB98" s="553"/>
      <c r="BC98" s="553"/>
      <c r="BD98" s="553"/>
      <c r="BE98" s="1429">
        <v>11</v>
      </c>
    </row>
    <row r="99" spans="1:57" s="1429" customFormat="1" ht="11.45" customHeight="1">
      <c r="A99" s="839"/>
      <c r="B99" s="839"/>
      <c r="C99" s="839"/>
      <c r="D99" s="839"/>
      <c r="E99" s="839"/>
      <c r="F99" s="1424"/>
      <c r="G99" s="1424"/>
      <c r="H99" s="284"/>
      <c r="AH99" s="1154"/>
      <c r="AJ99" s="1154"/>
      <c r="AK99" s="1424"/>
      <c r="AL99" s="1424"/>
      <c r="AM99" s="1154"/>
      <c r="AN99" s="1154"/>
      <c r="AO99" s="1154"/>
      <c r="AP99" s="1154"/>
      <c r="AQ99" s="1424"/>
      <c r="AR99" s="1154"/>
      <c r="AS99" s="1154"/>
      <c r="AT99" s="476"/>
      <c r="AU99" s="1154"/>
      <c r="AV99" s="1154"/>
      <c r="AW99" s="1154"/>
      <c r="AX99" s="1154"/>
      <c r="AY99" s="1154"/>
      <c r="AZ99" s="1420"/>
      <c r="BA99" s="553"/>
      <c r="BB99" s="553"/>
      <c r="BC99" s="553"/>
      <c r="BD99" s="553"/>
      <c r="BE99" s="1429">
        <v>11</v>
      </c>
    </row>
    <row r="100" spans="1:57" s="1429" customFormat="1" ht="11.45" customHeight="1">
      <c r="A100" s="839"/>
      <c r="B100" s="839"/>
      <c r="C100" s="839"/>
      <c r="D100" s="839"/>
      <c r="E100" s="839"/>
      <c r="F100" s="1424"/>
      <c r="G100" s="1424"/>
      <c r="H100" s="284"/>
      <c r="AH100" s="1154"/>
      <c r="AJ100" s="1154"/>
      <c r="AK100" s="1424"/>
      <c r="AL100" s="1424"/>
      <c r="AM100" s="1154"/>
      <c r="AN100" s="1154"/>
      <c r="AO100" s="1154"/>
      <c r="AP100" s="1154"/>
      <c r="AQ100" s="1424"/>
      <c r="AR100" s="1154"/>
      <c r="AS100" s="1154"/>
      <c r="AT100" s="476"/>
      <c r="AU100" s="1154"/>
      <c r="AV100" s="1154"/>
      <c r="AW100" s="1154"/>
      <c r="AX100" s="1154"/>
      <c r="AY100" s="1154"/>
      <c r="AZ100" s="1420"/>
      <c r="BA100" s="553"/>
      <c r="BB100" s="553"/>
      <c r="BC100" s="553"/>
      <c r="BD100" s="553"/>
      <c r="BE100" s="1429">
        <v>11</v>
      </c>
    </row>
    <row r="101" spans="1:57" s="1429" customFormat="1" ht="11.45" customHeight="1">
      <c r="A101" s="839"/>
      <c r="B101" s="839"/>
      <c r="C101" s="839"/>
      <c r="D101" s="839"/>
      <c r="E101" s="839"/>
      <c r="F101" s="1424"/>
      <c r="G101" s="1424"/>
      <c r="H101" s="284"/>
      <c r="AH101" s="1154"/>
      <c r="AJ101" s="1154"/>
      <c r="AK101" s="1424"/>
      <c r="AL101" s="1424"/>
      <c r="AM101" s="1154"/>
      <c r="AN101" s="1154"/>
      <c r="AO101" s="1154"/>
      <c r="AP101" s="1154"/>
      <c r="AQ101" s="1424"/>
      <c r="AR101" s="1154"/>
      <c r="AS101" s="1154"/>
      <c r="AT101" s="476"/>
      <c r="AU101" s="1154"/>
      <c r="AV101" s="1154"/>
      <c r="AW101" s="1154"/>
      <c r="AX101" s="1154"/>
      <c r="AY101" s="1154"/>
      <c r="AZ101" s="1420"/>
      <c r="BA101" s="553"/>
      <c r="BB101" s="553"/>
      <c r="BC101" s="553"/>
      <c r="BD101" s="553"/>
      <c r="BE101" s="1429">
        <v>11</v>
      </c>
    </row>
    <row r="102" spans="1:57" s="1429" customFormat="1" ht="11.45" customHeight="1">
      <c r="A102" s="839"/>
      <c r="B102" s="839"/>
      <c r="C102" s="839"/>
      <c r="D102" s="839"/>
      <c r="E102" s="839"/>
      <c r="F102" s="1424"/>
      <c r="G102" s="1424"/>
      <c r="H102" s="284"/>
      <c r="AH102" s="1154"/>
      <c r="AJ102" s="1154"/>
      <c r="AK102" s="1424"/>
      <c r="AL102" s="1424"/>
      <c r="AM102" s="1154"/>
      <c r="AN102" s="1154"/>
      <c r="AO102" s="1154"/>
      <c r="AP102" s="1154"/>
      <c r="AQ102" s="1424"/>
      <c r="AR102" s="1154"/>
      <c r="AS102" s="1154"/>
      <c r="AT102" s="476"/>
      <c r="AU102" s="1154"/>
      <c r="AV102" s="1154"/>
      <c r="AW102" s="1154"/>
      <c r="AX102" s="1154"/>
      <c r="AY102" s="1154"/>
      <c r="AZ102" s="1420"/>
      <c r="BA102" s="553"/>
      <c r="BB102" s="553"/>
      <c r="BC102" s="553"/>
      <c r="BD102" s="553"/>
      <c r="BE102" s="1429">
        <v>11</v>
      </c>
    </row>
    <row r="103" spans="1:57" s="1429" customFormat="1" ht="11.45" customHeight="1">
      <c r="A103" s="839"/>
      <c r="B103" s="839"/>
      <c r="C103" s="839"/>
      <c r="D103" s="839"/>
      <c r="E103" s="839"/>
      <c r="F103" s="1424"/>
      <c r="G103" s="1424"/>
      <c r="H103" s="284"/>
      <c r="AH103" s="1154"/>
      <c r="AJ103" s="1154"/>
      <c r="AK103" s="1424"/>
      <c r="AL103" s="1424"/>
      <c r="AM103" s="1154"/>
      <c r="AN103" s="1154"/>
      <c r="AO103" s="1154"/>
      <c r="AP103" s="1154"/>
      <c r="AQ103" s="1424"/>
      <c r="AR103" s="1154"/>
      <c r="AS103" s="1154"/>
      <c r="AT103" s="476"/>
      <c r="AU103" s="1154"/>
      <c r="AV103" s="1154"/>
      <c r="AW103" s="1154"/>
      <c r="AX103" s="1154"/>
      <c r="AY103" s="1154"/>
      <c r="AZ103" s="1420"/>
      <c r="BA103" s="553"/>
      <c r="BB103" s="553"/>
      <c r="BC103" s="553"/>
      <c r="BD103" s="553"/>
      <c r="BE103" s="1429">
        <v>11</v>
      </c>
    </row>
    <row r="104" spans="1:57" s="1429" customFormat="1" ht="11.45" customHeight="1">
      <c r="A104" s="839"/>
      <c r="B104" s="839"/>
      <c r="C104" s="839"/>
      <c r="D104" s="839"/>
      <c r="E104" s="839"/>
      <c r="F104" s="1424"/>
      <c r="G104" s="1424"/>
      <c r="H104" s="284"/>
      <c r="AH104" s="1154"/>
      <c r="AJ104" s="1154"/>
      <c r="AK104" s="1424"/>
      <c r="AL104" s="1424"/>
      <c r="AM104" s="1154"/>
      <c r="AN104" s="1154"/>
      <c r="AO104" s="1154"/>
      <c r="AP104" s="1154"/>
      <c r="AQ104" s="1424"/>
      <c r="AR104" s="1154"/>
      <c r="AS104" s="1154"/>
      <c r="AT104" s="476"/>
      <c r="AU104" s="1154"/>
      <c r="AV104" s="1154"/>
      <c r="AW104" s="1154"/>
      <c r="AX104" s="1154"/>
      <c r="AY104" s="1154"/>
      <c r="AZ104" s="1420"/>
      <c r="BA104" s="553"/>
      <c r="BB104" s="553"/>
      <c r="BC104" s="553"/>
      <c r="BD104" s="553"/>
      <c r="BE104" s="1429">
        <v>11</v>
      </c>
    </row>
    <row r="105" spans="1:57" s="1429" customFormat="1" ht="11.45" customHeight="1">
      <c r="A105" s="839"/>
      <c r="B105" s="839"/>
      <c r="C105" s="839"/>
      <c r="D105" s="839"/>
      <c r="E105" s="839"/>
      <c r="F105" s="1424"/>
      <c r="G105" s="1424"/>
      <c r="H105" s="284"/>
      <c r="AH105" s="1154"/>
      <c r="AJ105" s="1154"/>
      <c r="AK105" s="1424"/>
      <c r="AL105" s="1424"/>
      <c r="AM105" s="1154"/>
      <c r="AN105" s="1154"/>
      <c r="AO105" s="1154"/>
      <c r="AP105" s="1154"/>
      <c r="AQ105" s="1424"/>
      <c r="AR105" s="1154"/>
      <c r="AS105" s="1154"/>
      <c r="AT105" s="476"/>
      <c r="AU105" s="1154"/>
      <c r="AV105" s="1154"/>
      <c r="AW105" s="1154"/>
      <c r="AX105" s="1154"/>
      <c r="AY105" s="1154"/>
      <c r="AZ105" s="1420"/>
      <c r="BA105" s="553"/>
      <c r="BB105" s="553"/>
      <c r="BC105" s="553"/>
      <c r="BD105" s="553"/>
      <c r="BE105" s="1429">
        <v>11</v>
      </c>
    </row>
    <row r="106" spans="1:57" s="1429" customFormat="1" ht="11.45" customHeight="1">
      <c r="A106" s="839"/>
      <c r="B106" s="839"/>
      <c r="C106" s="839"/>
      <c r="D106" s="839"/>
      <c r="E106" s="839"/>
      <c r="F106" s="1424"/>
      <c r="G106" s="1424"/>
      <c r="H106" s="284"/>
      <c r="AH106" s="1154"/>
      <c r="AJ106" s="1154"/>
      <c r="AK106" s="1424"/>
      <c r="AL106" s="1424"/>
      <c r="AM106" s="1154"/>
      <c r="AN106" s="1154"/>
      <c r="AO106" s="1154"/>
      <c r="AP106" s="1154"/>
      <c r="AQ106" s="1424"/>
      <c r="AR106" s="1154"/>
      <c r="AS106" s="1154"/>
      <c r="AT106" s="476"/>
      <c r="AU106" s="1154"/>
      <c r="AV106" s="1154"/>
      <c r="AW106" s="1154"/>
      <c r="AX106" s="1154"/>
      <c r="AY106" s="1154"/>
      <c r="AZ106" s="1420"/>
      <c r="BA106" s="553"/>
      <c r="BB106" s="553"/>
      <c r="BC106" s="553"/>
      <c r="BD106" s="553"/>
      <c r="BE106" s="1429">
        <v>11</v>
      </c>
    </row>
    <row r="107" spans="1:57" s="1429" customFormat="1" ht="11.45" customHeight="1">
      <c r="A107" s="839"/>
      <c r="B107" s="839"/>
      <c r="C107" s="839"/>
      <c r="D107" s="839"/>
      <c r="E107" s="839"/>
      <c r="F107" s="1424"/>
      <c r="G107" s="1424"/>
      <c r="H107" s="284"/>
      <c r="AH107" s="1154"/>
      <c r="AJ107" s="1154"/>
      <c r="AK107" s="1424"/>
      <c r="AL107" s="1424"/>
      <c r="AM107" s="1154"/>
      <c r="AN107" s="1154"/>
      <c r="AO107" s="1154"/>
      <c r="AP107" s="1154"/>
      <c r="AQ107" s="1424"/>
      <c r="AR107" s="1154"/>
      <c r="AS107" s="1154"/>
      <c r="AT107" s="476"/>
      <c r="AU107" s="1154"/>
      <c r="AV107" s="1154"/>
      <c r="AW107" s="1154"/>
      <c r="AX107" s="1154"/>
      <c r="AY107" s="1154"/>
      <c r="AZ107" s="1420"/>
      <c r="BA107" s="553"/>
      <c r="BB107" s="553"/>
      <c r="BC107" s="553"/>
      <c r="BD107" s="553"/>
      <c r="BE107" s="1429">
        <v>11</v>
      </c>
    </row>
    <row r="108" spans="1:57" s="1429" customFormat="1" ht="11.45" customHeight="1">
      <c r="A108" s="839"/>
      <c r="B108" s="839"/>
      <c r="C108" s="839"/>
      <c r="D108" s="839"/>
      <c r="E108" s="839"/>
      <c r="F108" s="1424"/>
      <c r="G108" s="1424"/>
      <c r="H108" s="284"/>
      <c r="AH108" s="1154"/>
      <c r="AJ108" s="1154"/>
      <c r="AK108" s="1424"/>
      <c r="AL108" s="1424"/>
      <c r="AM108" s="1154"/>
      <c r="AN108" s="1154"/>
      <c r="AO108" s="1154"/>
      <c r="AP108" s="1154"/>
      <c r="AQ108" s="1424"/>
      <c r="AR108" s="1154"/>
      <c r="AS108" s="1154"/>
      <c r="AT108" s="476"/>
      <c r="AU108" s="1154"/>
      <c r="AV108" s="1154"/>
      <c r="AW108" s="1154"/>
      <c r="AX108" s="1154"/>
      <c r="AY108" s="1154"/>
      <c r="AZ108" s="1420"/>
      <c r="BA108" s="553"/>
      <c r="BB108" s="553"/>
      <c r="BC108" s="553"/>
      <c r="BD108" s="553"/>
      <c r="BE108" s="1429">
        <v>11</v>
      </c>
    </row>
    <row r="109" spans="1:57" s="1429" customFormat="1" ht="11.45" customHeight="1">
      <c r="A109" s="839"/>
      <c r="B109" s="839"/>
      <c r="C109" s="839"/>
      <c r="D109" s="839"/>
      <c r="E109" s="839"/>
      <c r="F109" s="1424"/>
      <c r="G109" s="1424"/>
      <c r="H109" s="284"/>
      <c r="AH109" s="1154"/>
      <c r="AJ109" s="1154"/>
      <c r="AK109" s="1424"/>
      <c r="AL109" s="1424"/>
      <c r="AM109" s="1154"/>
      <c r="AN109" s="1154"/>
      <c r="AO109" s="1154"/>
      <c r="AP109" s="1154"/>
      <c r="AQ109" s="1424"/>
      <c r="AR109" s="1154"/>
      <c r="AS109" s="1154"/>
      <c r="AT109" s="476"/>
      <c r="AU109" s="1154"/>
      <c r="AV109" s="1154"/>
      <c r="AW109" s="1154"/>
      <c r="AX109" s="1154"/>
      <c r="AY109" s="1154"/>
      <c r="AZ109" s="1420"/>
      <c r="BA109" s="553"/>
      <c r="BB109" s="553"/>
      <c r="BC109" s="553"/>
      <c r="BD109" s="553"/>
      <c r="BE109" s="1429">
        <v>11</v>
      </c>
    </row>
    <row r="110" spans="1:57" s="1429" customFormat="1" ht="11.45" customHeight="1">
      <c r="A110" s="839"/>
      <c r="B110" s="839"/>
      <c r="C110" s="839"/>
      <c r="D110" s="839"/>
      <c r="E110" s="839"/>
      <c r="F110" s="1424"/>
      <c r="G110" s="1424"/>
      <c r="H110" s="284"/>
      <c r="AH110" s="1154"/>
      <c r="AJ110" s="1154"/>
      <c r="AK110" s="1424"/>
      <c r="AL110" s="1424"/>
      <c r="AM110" s="1154"/>
      <c r="AN110" s="1154"/>
      <c r="AO110" s="1154"/>
      <c r="AP110" s="1154"/>
      <c r="AQ110" s="1424"/>
      <c r="AR110" s="1154"/>
      <c r="AS110" s="1154"/>
      <c r="AT110" s="476"/>
      <c r="AU110" s="1154"/>
      <c r="AV110" s="1154"/>
      <c r="AW110" s="1154"/>
      <c r="AX110" s="1154"/>
      <c r="AY110" s="1154"/>
      <c r="AZ110" s="1420"/>
      <c r="BA110" s="553"/>
      <c r="BB110" s="553"/>
      <c r="BC110" s="553"/>
      <c r="BD110" s="553"/>
      <c r="BE110" s="1429">
        <v>11</v>
      </c>
    </row>
    <row r="111" spans="1:57" s="1429" customFormat="1" ht="11.45" customHeight="1">
      <c r="A111" s="839"/>
      <c r="B111" s="839"/>
      <c r="C111" s="839"/>
      <c r="D111" s="839"/>
      <c r="E111" s="839"/>
      <c r="F111" s="1424"/>
      <c r="G111" s="1424"/>
      <c r="H111" s="284"/>
      <c r="AH111" s="1154"/>
      <c r="AJ111" s="1154"/>
      <c r="AK111" s="1424"/>
      <c r="AL111" s="1424"/>
      <c r="AM111" s="1154"/>
      <c r="AN111" s="1154"/>
      <c r="AO111" s="1154"/>
      <c r="AP111" s="1154"/>
      <c r="AQ111" s="1424"/>
      <c r="AR111" s="1154"/>
      <c r="AS111" s="1154"/>
      <c r="AT111" s="476"/>
      <c r="AU111" s="1154"/>
      <c r="AV111" s="1154"/>
      <c r="AW111" s="1154"/>
      <c r="AX111" s="1154"/>
      <c r="AY111" s="1154"/>
      <c r="AZ111" s="1420"/>
      <c r="BA111" s="553"/>
      <c r="BB111" s="553"/>
      <c r="BC111" s="553"/>
      <c r="BD111" s="553"/>
      <c r="BE111" s="1429">
        <v>11</v>
      </c>
    </row>
    <row r="112" spans="1:57" s="1429" customFormat="1" ht="11.45" customHeight="1">
      <c r="A112" s="839"/>
      <c r="B112" s="839"/>
      <c r="C112" s="839"/>
      <c r="D112" s="839"/>
      <c r="E112" s="839"/>
      <c r="F112" s="1424"/>
      <c r="G112" s="1424"/>
      <c r="H112" s="284"/>
      <c r="AH112" s="1154"/>
      <c r="AJ112" s="1154"/>
      <c r="AK112" s="1424"/>
      <c r="AL112" s="1424"/>
      <c r="AM112" s="1154"/>
      <c r="AN112" s="1154"/>
      <c r="AO112" s="1154"/>
      <c r="AP112" s="1154"/>
      <c r="AQ112" s="1424"/>
      <c r="AR112" s="1154"/>
      <c r="AS112" s="1154"/>
      <c r="AT112" s="476"/>
      <c r="AU112" s="1154"/>
      <c r="AV112" s="1154"/>
      <c r="AW112" s="1154"/>
      <c r="AX112" s="1154"/>
      <c r="AY112" s="1154"/>
      <c r="AZ112" s="1420"/>
      <c r="BA112" s="553"/>
      <c r="BB112" s="553"/>
      <c r="BC112" s="553"/>
      <c r="BD112" s="553"/>
      <c r="BE112" s="1429">
        <v>11</v>
      </c>
    </row>
    <row r="113" spans="1:57" s="1429" customFormat="1" ht="11.45" customHeight="1">
      <c r="A113" s="839"/>
      <c r="B113" s="839"/>
      <c r="C113" s="839"/>
      <c r="D113" s="839"/>
      <c r="E113" s="839"/>
      <c r="F113" s="1424"/>
      <c r="G113" s="1424"/>
      <c r="H113" s="284"/>
      <c r="AH113" s="1154"/>
      <c r="AJ113" s="1154"/>
      <c r="AK113" s="1424"/>
      <c r="AL113" s="1424"/>
      <c r="AM113" s="1154"/>
      <c r="AN113" s="1154"/>
      <c r="AO113" s="1154"/>
      <c r="AP113" s="1154"/>
      <c r="AQ113" s="1424"/>
      <c r="AR113" s="1154"/>
      <c r="AS113" s="1154"/>
      <c r="AT113" s="476"/>
      <c r="AU113" s="1154"/>
      <c r="AV113" s="1154"/>
      <c r="AW113" s="1154"/>
      <c r="AX113" s="1154"/>
      <c r="AY113" s="1154"/>
      <c r="AZ113" s="1420"/>
      <c r="BA113" s="553"/>
      <c r="BB113" s="553"/>
      <c r="BC113" s="553"/>
      <c r="BD113" s="553"/>
      <c r="BE113" s="1429">
        <v>11</v>
      </c>
    </row>
    <row r="114" spans="1:57" s="1429" customFormat="1" ht="11.45" customHeight="1">
      <c r="A114" s="839"/>
      <c r="B114" s="839"/>
      <c r="C114" s="839"/>
      <c r="D114" s="839"/>
      <c r="E114" s="839"/>
      <c r="F114" s="1424"/>
      <c r="G114" s="1424"/>
      <c r="H114" s="284"/>
      <c r="AH114" s="1154"/>
      <c r="AJ114" s="1154"/>
      <c r="AK114" s="1424"/>
      <c r="AL114" s="1424"/>
      <c r="AM114" s="1154"/>
      <c r="AN114" s="1154"/>
      <c r="AO114" s="1154"/>
      <c r="AP114" s="1154"/>
      <c r="AQ114" s="1424"/>
      <c r="AR114" s="1154"/>
      <c r="AS114" s="1154"/>
      <c r="AT114" s="476"/>
      <c r="AU114" s="1154"/>
      <c r="AV114" s="1154"/>
      <c r="AW114" s="1154"/>
      <c r="AX114" s="1154"/>
      <c r="AY114" s="1154"/>
      <c r="AZ114" s="1420"/>
      <c r="BA114" s="553"/>
      <c r="BB114" s="553"/>
      <c r="BC114" s="553"/>
      <c r="BD114" s="553"/>
      <c r="BE114" s="1429">
        <v>11</v>
      </c>
    </row>
    <row r="115" spans="1:57" s="1429" customFormat="1" ht="11.45" customHeight="1">
      <c r="A115" s="839"/>
      <c r="B115" s="839"/>
      <c r="C115" s="839"/>
      <c r="D115" s="839"/>
      <c r="E115" s="839"/>
      <c r="F115" s="1424"/>
      <c r="G115" s="1424"/>
      <c r="H115" s="284"/>
      <c r="AH115" s="1154"/>
      <c r="AJ115" s="1154"/>
      <c r="AK115" s="1424"/>
      <c r="AL115" s="1424"/>
      <c r="AM115" s="1154"/>
      <c r="AN115" s="1154"/>
      <c r="AO115" s="1154"/>
      <c r="AP115" s="1154"/>
      <c r="AQ115" s="1424"/>
      <c r="AR115" s="1154"/>
      <c r="AS115" s="1154"/>
      <c r="AT115" s="476"/>
      <c r="AU115" s="1154"/>
      <c r="AV115" s="1154"/>
      <c r="AW115" s="1154"/>
      <c r="AX115" s="1154"/>
      <c r="AY115" s="1154"/>
      <c r="AZ115" s="1420"/>
      <c r="BA115" s="553"/>
      <c r="BB115" s="553"/>
      <c r="BC115" s="553"/>
      <c r="BD115" s="553"/>
      <c r="BE115" s="1429">
        <v>11</v>
      </c>
    </row>
    <row r="116" spans="1:57" s="1429" customFormat="1" ht="11.45" customHeight="1">
      <c r="A116" s="839"/>
      <c r="B116" s="839"/>
      <c r="C116" s="839"/>
      <c r="D116" s="839"/>
      <c r="E116" s="839"/>
      <c r="F116" s="1424"/>
      <c r="G116" s="1424"/>
      <c r="H116" s="284"/>
      <c r="AH116" s="1154"/>
      <c r="AJ116" s="1154"/>
      <c r="AK116" s="1424"/>
      <c r="AL116" s="1424"/>
      <c r="AM116" s="1154"/>
      <c r="AN116" s="1154"/>
      <c r="AO116" s="1154"/>
      <c r="AP116" s="1154"/>
      <c r="AQ116" s="1424"/>
      <c r="AR116" s="1154"/>
      <c r="AS116" s="1154"/>
      <c r="AT116" s="476"/>
      <c r="AU116" s="1154"/>
      <c r="AV116" s="1154"/>
      <c r="AW116" s="1154"/>
      <c r="AX116" s="1154"/>
      <c r="AY116" s="1154"/>
      <c r="AZ116" s="1420"/>
      <c r="BA116" s="553"/>
      <c r="BB116" s="553"/>
      <c r="BC116" s="553"/>
      <c r="BD116" s="553"/>
      <c r="BE116" s="1429">
        <v>11</v>
      </c>
    </row>
    <row r="117" spans="1:57" s="1429" customFormat="1" ht="11.45" customHeight="1">
      <c r="A117" s="839"/>
      <c r="B117" s="839"/>
      <c r="C117" s="839"/>
      <c r="D117" s="839"/>
      <c r="E117" s="839"/>
      <c r="F117" s="1424"/>
      <c r="G117" s="1424"/>
      <c r="H117" s="284"/>
      <c r="AH117" s="1154"/>
      <c r="AJ117" s="1154"/>
      <c r="AK117" s="1424"/>
      <c r="AL117" s="1424"/>
      <c r="AM117" s="1154"/>
      <c r="AN117" s="1154"/>
      <c r="AO117" s="1154"/>
      <c r="AP117" s="1154"/>
      <c r="AQ117" s="1424"/>
      <c r="AR117" s="1154"/>
      <c r="AS117" s="1154"/>
      <c r="AT117" s="476"/>
      <c r="AU117" s="1154"/>
      <c r="AV117" s="1154"/>
      <c r="AW117" s="1154"/>
      <c r="AX117" s="1154"/>
      <c r="AY117" s="1154"/>
      <c r="AZ117" s="1420"/>
      <c r="BA117" s="553"/>
      <c r="BB117" s="553"/>
      <c r="BC117" s="553"/>
      <c r="BD117" s="553"/>
      <c r="BE117" s="1429">
        <v>11</v>
      </c>
    </row>
    <row r="118" spans="1:57" s="1429" customFormat="1" ht="11.45" customHeight="1">
      <c r="A118" s="839"/>
      <c r="B118" s="839"/>
      <c r="C118" s="839"/>
      <c r="D118" s="839"/>
      <c r="E118" s="839"/>
      <c r="F118" s="1424"/>
      <c r="G118" s="1424"/>
      <c r="H118" s="284"/>
      <c r="AH118" s="1154"/>
      <c r="AJ118" s="1154"/>
      <c r="AK118" s="1424"/>
      <c r="AL118" s="1424"/>
      <c r="AM118" s="1154"/>
      <c r="AN118" s="1154"/>
      <c r="AO118" s="1154"/>
      <c r="AP118" s="1154"/>
      <c r="AQ118" s="1424"/>
      <c r="AR118" s="1154"/>
      <c r="AS118" s="1154"/>
      <c r="AT118" s="476"/>
      <c r="AU118" s="1154"/>
      <c r="AV118" s="1154"/>
      <c r="AW118" s="1154"/>
      <c r="AX118" s="1154"/>
      <c r="AY118" s="1154"/>
      <c r="AZ118" s="1420"/>
      <c r="BA118" s="553"/>
      <c r="BB118" s="553"/>
      <c r="BC118" s="553"/>
      <c r="BD118" s="553"/>
      <c r="BE118" s="1429">
        <v>11</v>
      </c>
    </row>
    <row r="119" spans="1:57" s="1429" customFormat="1" ht="11.45" customHeight="1">
      <c r="A119" s="839"/>
      <c r="B119" s="839"/>
      <c r="C119" s="839"/>
      <c r="D119" s="839"/>
      <c r="E119" s="839"/>
      <c r="F119" s="1424"/>
      <c r="G119" s="1424"/>
      <c r="H119" s="284"/>
      <c r="AH119" s="1154"/>
      <c r="AJ119" s="1154"/>
      <c r="AK119" s="1424"/>
      <c r="AL119" s="1424"/>
      <c r="AM119" s="1154"/>
      <c r="AN119" s="1154"/>
      <c r="AO119" s="1154"/>
      <c r="AP119" s="1154"/>
      <c r="AQ119" s="1424"/>
      <c r="AR119" s="1154"/>
      <c r="AS119" s="1154"/>
      <c r="AT119" s="476"/>
      <c r="AU119" s="1154"/>
      <c r="AV119" s="1154"/>
      <c r="AW119" s="1154"/>
      <c r="AX119" s="1154"/>
      <c r="AY119" s="1154"/>
      <c r="AZ119" s="1420"/>
      <c r="BA119" s="553"/>
      <c r="BB119" s="553"/>
      <c r="BC119" s="553"/>
      <c r="BD119" s="553"/>
      <c r="BE119" s="1429">
        <v>11</v>
      </c>
    </row>
    <row r="120" spans="1:57" s="1429" customFormat="1" ht="11.45" customHeight="1">
      <c r="A120" s="839"/>
      <c r="B120" s="839"/>
      <c r="C120" s="839"/>
      <c r="D120" s="839"/>
      <c r="E120" s="839"/>
      <c r="F120" s="1424"/>
      <c r="G120" s="1424"/>
      <c r="H120" s="284"/>
      <c r="AH120" s="1154"/>
      <c r="AJ120" s="1154"/>
      <c r="AK120" s="1424"/>
      <c r="AL120" s="1424"/>
      <c r="AM120" s="1154"/>
      <c r="AN120" s="1154"/>
      <c r="AO120" s="1154"/>
      <c r="AP120" s="1154"/>
      <c r="AQ120" s="1424"/>
      <c r="AR120" s="1154"/>
      <c r="AS120" s="1154"/>
      <c r="AT120" s="476"/>
      <c r="AU120" s="1154"/>
      <c r="AV120" s="1154"/>
      <c r="AW120" s="1154"/>
      <c r="AX120" s="1154"/>
      <c r="AY120" s="1154"/>
      <c r="AZ120" s="1420"/>
      <c r="BA120" s="553"/>
      <c r="BB120" s="553"/>
      <c r="BC120" s="553"/>
      <c r="BD120" s="553"/>
      <c r="BE120" s="1429">
        <v>11</v>
      </c>
    </row>
    <row r="121" spans="1:57" s="1429" customFormat="1" ht="11.45" customHeight="1">
      <c r="A121" s="839"/>
      <c r="B121" s="839"/>
      <c r="C121" s="839"/>
      <c r="D121" s="839"/>
      <c r="E121" s="839"/>
      <c r="F121" s="1424"/>
      <c r="G121" s="1424"/>
      <c r="H121" s="284"/>
      <c r="AH121" s="1154"/>
      <c r="AJ121" s="1154"/>
      <c r="AK121" s="1424"/>
      <c r="AL121" s="1424"/>
      <c r="AM121" s="1154"/>
      <c r="AN121" s="1154"/>
      <c r="AO121" s="1154"/>
      <c r="AP121" s="1154"/>
      <c r="AQ121" s="1424"/>
      <c r="AR121" s="1154"/>
      <c r="AS121" s="1154"/>
      <c r="AT121" s="476"/>
      <c r="AU121" s="1154"/>
      <c r="AV121" s="1154"/>
      <c r="AW121" s="1154"/>
      <c r="AX121" s="1154"/>
      <c r="AY121" s="1154"/>
      <c r="AZ121" s="1420"/>
      <c r="BA121" s="553"/>
      <c r="BB121" s="553"/>
      <c r="BC121" s="553"/>
      <c r="BD121" s="553"/>
      <c r="BE121" s="1429">
        <v>11</v>
      </c>
    </row>
    <row r="122" spans="1:57" s="1429" customFormat="1" ht="11.45" customHeight="1">
      <c r="A122" s="839"/>
      <c r="B122" s="839"/>
      <c r="C122" s="839"/>
      <c r="D122" s="839"/>
      <c r="E122" s="839"/>
      <c r="F122" s="1424"/>
      <c r="G122" s="1424"/>
      <c r="H122" s="284"/>
      <c r="AH122" s="1154"/>
      <c r="AJ122" s="1154"/>
      <c r="AK122" s="1424"/>
      <c r="AL122" s="1424"/>
      <c r="AM122" s="1154"/>
      <c r="AN122" s="1154"/>
      <c r="AO122" s="1154"/>
      <c r="AP122" s="1154"/>
      <c r="AQ122" s="1424"/>
      <c r="AR122" s="1154"/>
      <c r="AS122" s="1154"/>
      <c r="AT122" s="476"/>
      <c r="AU122" s="1154"/>
      <c r="AV122" s="1154"/>
      <c r="AW122" s="1154"/>
      <c r="AX122" s="1154"/>
      <c r="AY122" s="1154"/>
      <c r="AZ122" s="1420"/>
      <c r="BA122" s="553"/>
      <c r="BB122" s="553"/>
      <c r="BC122" s="553"/>
      <c r="BD122" s="553"/>
      <c r="BE122" s="1429">
        <v>11</v>
      </c>
    </row>
    <row r="123" spans="1:57" s="1429" customFormat="1" ht="11.45" customHeight="1">
      <c r="A123" s="839"/>
      <c r="B123" s="839"/>
      <c r="C123" s="839"/>
      <c r="D123" s="839"/>
      <c r="E123" s="839"/>
      <c r="F123" s="1424"/>
      <c r="G123" s="1424"/>
      <c r="H123" s="284"/>
      <c r="AH123" s="1154"/>
      <c r="AJ123" s="1154"/>
      <c r="AK123" s="1424"/>
      <c r="AL123" s="1424"/>
      <c r="AM123" s="1154"/>
      <c r="AN123" s="1154"/>
      <c r="AO123" s="1154"/>
      <c r="AP123" s="1154"/>
      <c r="AQ123" s="1424"/>
      <c r="AR123" s="1154"/>
      <c r="AS123" s="1154"/>
      <c r="AT123" s="476"/>
      <c r="AU123" s="1154"/>
      <c r="AV123" s="1154"/>
      <c r="AW123" s="1154"/>
      <c r="AX123" s="1154"/>
      <c r="AY123" s="1154"/>
      <c r="AZ123" s="1420"/>
      <c r="BA123" s="553"/>
      <c r="BB123" s="553"/>
      <c r="BC123" s="553"/>
      <c r="BD123" s="553"/>
      <c r="BE123" s="1429">
        <v>11</v>
      </c>
    </row>
    <row r="124" spans="1:57" s="1429" customFormat="1" ht="11.45" customHeight="1">
      <c r="A124" s="839"/>
      <c r="B124" s="839"/>
      <c r="C124" s="839"/>
      <c r="D124" s="839"/>
      <c r="E124" s="839"/>
      <c r="F124" s="1424"/>
      <c r="G124" s="1424"/>
      <c r="H124" s="284"/>
      <c r="AH124" s="1154"/>
      <c r="AJ124" s="1154"/>
      <c r="AK124" s="1424"/>
      <c r="AL124" s="1424"/>
      <c r="AM124" s="1154"/>
      <c r="AN124" s="1154"/>
      <c r="AO124" s="1154"/>
      <c r="AP124" s="1154"/>
      <c r="AQ124" s="1424"/>
      <c r="AR124" s="1154"/>
      <c r="AS124" s="1154"/>
      <c r="AT124" s="476"/>
      <c r="AU124" s="1154"/>
      <c r="AV124" s="1154"/>
      <c r="AW124" s="1154"/>
      <c r="AX124" s="1154"/>
      <c r="AY124" s="1154"/>
      <c r="AZ124" s="1420"/>
      <c r="BA124" s="553"/>
      <c r="BB124" s="553"/>
      <c r="BC124" s="553"/>
      <c r="BD124" s="553"/>
      <c r="BE124" s="1429">
        <v>11</v>
      </c>
    </row>
    <row r="125" spans="1:57" s="1429" customFormat="1" ht="11.45" customHeight="1">
      <c r="A125" s="839"/>
      <c r="B125" s="839"/>
      <c r="C125" s="839"/>
      <c r="D125" s="839"/>
      <c r="E125" s="839"/>
      <c r="F125" s="1424"/>
      <c r="G125" s="1424"/>
      <c r="H125" s="284"/>
      <c r="AH125" s="1154"/>
      <c r="AJ125" s="1154"/>
      <c r="AK125" s="1424"/>
      <c r="AL125" s="1424"/>
      <c r="AM125" s="1154"/>
      <c r="AN125" s="1154"/>
      <c r="AO125" s="1154"/>
      <c r="AP125" s="1154"/>
      <c r="AQ125" s="1424"/>
      <c r="AR125" s="1154"/>
      <c r="AS125" s="1154"/>
      <c r="AT125" s="476"/>
      <c r="AU125" s="1154"/>
      <c r="AV125" s="1154"/>
      <c r="AW125" s="1154"/>
      <c r="AX125" s="1154"/>
      <c r="AY125" s="1154"/>
      <c r="AZ125" s="1420"/>
      <c r="BA125" s="553"/>
      <c r="BB125" s="553"/>
      <c r="BC125" s="553"/>
      <c r="BD125" s="553"/>
      <c r="BE125" s="1429">
        <v>11</v>
      </c>
    </row>
    <row r="126" spans="1:57" s="1429" customFormat="1" ht="11.45" customHeight="1">
      <c r="A126" s="839"/>
      <c r="B126" s="839"/>
      <c r="C126" s="839"/>
      <c r="D126" s="839"/>
      <c r="E126" s="839"/>
      <c r="F126" s="1424"/>
      <c r="G126" s="1424"/>
      <c r="H126" s="284"/>
      <c r="AH126" s="1154"/>
      <c r="AJ126" s="1154"/>
      <c r="AK126" s="1424"/>
      <c r="AL126" s="1424"/>
      <c r="AM126" s="1154"/>
      <c r="AN126" s="1154"/>
      <c r="AO126" s="1154"/>
      <c r="AP126" s="1154"/>
      <c r="AQ126" s="1424"/>
      <c r="AR126" s="1154"/>
      <c r="AS126" s="1154"/>
      <c r="AT126" s="476"/>
      <c r="AU126" s="1154"/>
      <c r="AV126" s="1154"/>
      <c r="AW126" s="1154"/>
      <c r="AX126" s="1154"/>
      <c r="AY126" s="1154"/>
      <c r="AZ126" s="1420"/>
      <c r="BA126" s="553"/>
      <c r="BB126" s="553"/>
      <c r="BC126" s="553"/>
      <c r="BD126" s="553"/>
      <c r="BE126" s="1429">
        <v>11</v>
      </c>
    </row>
    <row r="127" spans="1:57" s="1429" customFormat="1" ht="11.45" customHeight="1">
      <c r="A127" s="839"/>
      <c r="B127" s="839"/>
      <c r="C127" s="839"/>
      <c r="D127" s="839"/>
      <c r="E127" s="839"/>
      <c r="F127" s="1424"/>
      <c r="G127" s="1424"/>
      <c r="H127" s="284"/>
      <c r="AH127" s="1154"/>
      <c r="AJ127" s="1154"/>
      <c r="AK127" s="1424"/>
      <c r="AL127" s="1424"/>
      <c r="AM127" s="1154"/>
      <c r="AN127" s="1154"/>
      <c r="AO127" s="1154"/>
      <c r="AP127" s="1154"/>
      <c r="AQ127" s="1424"/>
      <c r="AR127" s="1154"/>
      <c r="AS127" s="1154"/>
      <c r="AT127" s="476"/>
      <c r="AU127" s="1154"/>
      <c r="AV127" s="1154"/>
      <c r="AW127" s="1154"/>
      <c r="AX127" s="1154"/>
      <c r="AY127" s="1154"/>
      <c r="AZ127" s="1420"/>
      <c r="BA127" s="553"/>
      <c r="BB127" s="553"/>
      <c r="BC127" s="553"/>
      <c r="BD127" s="553"/>
      <c r="BE127" s="1429">
        <v>11</v>
      </c>
    </row>
    <row r="128" spans="1:57" s="1429" customFormat="1" ht="11.45" customHeight="1">
      <c r="A128" s="839"/>
      <c r="B128" s="839"/>
      <c r="C128" s="839"/>
      <c r="D128" s="839"/>
      <c r="E128" s="839"/>
      <c r="F128" s="1424"/>
      <c r="G128" s="1424"/>
      <c r="H128" s="284"/>
      <c r="AH128" s="1154"/>
      <c r="AJ128" s="1154"/>
      <c r="AK128" s="1424"/>
      <c r="AL128" s="1424"/>
      <c r="AM128" s="1154"/>
      <c r="AN128" s="1154"/>
      <c r="AO128" s="1154"/>
      <c r="AP128" s="1154"/>
      <c r="AQ128" s="1424"/>
      <c r="AR128" s="1154"/>
      <c r="AS128" s="1154"/>
      <c r="AT128" s="476"/>
      <c r="AU128" s="1154"/>
      <c r="AV128" s="1154"/>
      <c r="AW128" s="1154"/>
      <c r="AX128" s="1154"/>
      <c r="AY128" s="1154"/>
      <c r="AZ128" s="1420"/>
      <c r="BA128" s="553"/>
      <c r="BB128" s="553"/>
      <c r="BC128" s="553"/>
      <c r="BD128" s="553"/>
      <c r="BE128" s="1429">
        <v>11</v>
      </c>
    </row>
    <row r="129" spans="1:57" s="1429" customFormat="1" ht="11.45" customHeight="1">
      <c r="A129" s="839"/>
      <c r="B129" s="839"/>
      <c r="C129" s="839"/>
      <c r="D129" s="839"/>
      <c r="E129" s="839"/>
      <c r="F129" s="1424"/>
      <c r="G129" s="1424"/>
      <c r="H129" s="284"/>
      <c r="AH129" s="1154"/>
      <c r="AJ129" s="1154"/>
      <c r="AK129" s="1424"/>
      <c r="AL129" s="1424"/>
      <c r="AM129" s="1154"/>
      <c r="AN129" s="1154"/>
      <c r="AO129" s="1154"/>
      <c r="AP129" s="1154"/>
      <c r="AQ129" s="1424"/>
      <c r="AR129" s="1154"/>
      <c r="AS129" s="1154"/>
      <c r="AT129" s="476"/>
      <c r="AU129" s="1154"/>
      <c r="AV129" s="1154"/>
      <c r="AW129" s="1154"/>
      <c r="AX129" s="1154"/>
      <c r="AY129" s="1154"/>
      <c r="AZ129" s="1420"/>
      <c r="BA129" s="553"/>
      <c r="BB129" s="553"/>
      <c r="BC129" s="553"/>
      <c r="BD129" s="553"/>
      <c r="BE129" s="1429">
        <v>11</v>
      </c>
    </row>
    <row r="130" spans="1:57" s="1429" customFormat="1" ht="11.45" customHeight="1">
      <c r="A130" s="839"/>
      <c r="B130" s="839"/>
      <c r="C130" s="839"/>
      <c r="D130" s="839"/>
      <c r="E130" s="839"/>
      <c r="F130" s="1424"/>
      <c r="G130" s="1424"/>
      <c r="H130" s="284"/>
      <c r="AH130" s="1154"/>
      <c r="AJ130" s="1154"/>
      <c r="AK130" s="1424"/>
      <c r="AL130" s="1424"/>
      <c r="AM130" s="1154"/>
      <c r="AN130" s="1154"/>
      <c r="AO130" s="1154"/>
      <c r="AP130" s="1154"/>
      <c r="AQ130" s="1424"/>
      <c r="AR130" s="1154"/>
      <c r="AS130" s="1154"/>
      <c r="AT130" s="476"/>
      <c r="AU130" s="1154"/>
      <c r="AV130" s="1154"/>
      <c r="AW130" s="1154"/>
      <c r="AX130" s="1154"/>
      <c r="AY130" s="1154"/>
      <c r="AZ130" s="1420"/>
      <c r="BA130" s="553"/>
      <c r="BB130" s="553"/>
      <c r="BC130" s="553"/>
      <c r="BD130" s="553"/>
      <c r="BE130" s="1429">
        <v>11</v>
      </c>
    </row>
    <row r="131" spans="1:57" s="1429" customFormat="1" ht="11.45" customHeight="1">
      <c r="A131" s="839"/>
      <c r="B131" s="839"/>
      <c r="C131" s="839"/>
      <c r="D131" s="839"/>
      <c r="E131" s="839"/>
      <c r="F131" s="1424"/>
      <c r="G131" s="1424"/>
      <c r="H131" s="284"/>
      <c r="AH131" s="1154"/>
      <c r="AJ131" s="1154"/>
      <c r="AK131" s="1424"/>
      <c r="AL131" s="1424"/>
      <c r="AM131" s="1154"/>
      <c r="AN131" s="1154"/>
      <c r="AO131" s="1154"/>
      <c r="AP131" s="1154"/>
      <c r="AQ131" s="1424"/>
      <c r="AR131" s="1154"/>
      <c r="AS131" s="1154"/>
      <c r="AT131" s="476"/>
      <c r="AU131" s="1154"/>
      <c r="AV131" s="1154"/>
      <c r="AW131" s="1154"/>
      <c r="AX131" s="1154"/>
      <c r="AY131" s="1154"/>
      <c r="AZ131" s="1420"/>
      <c r="BA131" s="553"/>
      <c r="BB131" s="553"/>
      <c r="BC131" s="553"/>
      <c r="BD131" s="553"/>
      <c r="BE131" s="1429">
        <v>11</v>
      </c>
    </row>
    <row r="132" spans="1:57" s="1429" customFormat="1" ht="11.45" customHeight="1">
      <c r="A132" s="839"/>
      <c r="B132" s="839"/>
      <c r="C132" s="839"/>
      <c r="D132" s="839"/>
      <c r="E132" s="839"/>
      <c r="F132" s="1424"/>
      <c r="G132" s="1424"/>
      <c r="H132" s="284"/>
      <c r="AH132" s="1154"/>
      <c r="AJ132" s="1154"/>
      <c r="AK132" s="1424"/>
      <c r="AL132" s="1424"/>
      <c r="AM132" s="1154"/>
      <c r="AN132" s="1154"/>
      <c r="AO132" s="1154"/>
      <c r="AP132" s="1154"/>
      <c r="AQ132" s="1424"/>
      <c r="AR132" s="1154"/>
      <c r="AS132" s="1154"/>
      <c r="AT132" s="476"/>
      <c r="AU132" s="1154"/>
      <c r="AV132" s="1154"/>
      <c r="AW132" s="1154"/>
      <c r="AX132" s="1154"/>
      <c r="AY132" s="1154"/>
      <c r="AZ132" s="1420"/>
      <c r="BA132" s="553"/>
      <c r="BB132" s="553"/>
      <c r="BC132" s="553"/>
      <c r="BD132" s="553"/>
      <c r="BE132" s="1429">
        <v>11</v>
      </c>
    </row>
    <row r="133" spans="1:57" s="1429" customFormat="1" ht="11.45" customHeight="1">
      <c r="A133" s="839"/>
      <c r="B133" s="839"/>
      <c r="C133" s="839"/>
      <c r="D133" s="839"/>
      <c r="E133" s="839"/>
      <c r="F133" s="1424"/>
      <c r="G133" s="1424"/>
      <c r="H133" s="284"/>
      <c r="AH133" s="1154"/>
      <c r="AJ133" s="1154"/>
      <c r="AK133" s="1424"/>
      <c r="AL133" s="1424"/>
      <c r="AM133" s="1154"/>
      <c r="AN133" s="1154"/>
      <c r="AO133" s="1154"/>
      <c r="AP133" s="1154"/>
      <c r="AQ133" s="1424"/>
      <c r="AR133" s="1154"/>
      <c r="AS133" s="1154"/>
      <c r="AT133" s="476"/>
      <c r="AU133" s="1154"/>
      <c r="AV133" s="1154"/>
      <c r="AW133" s="1154"/>
      <c r="AX133" s="1154"/>
      <c r="AY133" s="1154"/>
      <c r="AZ133" s="1420"/>
      <c r="BA133" s="553"/>
      <c r="BB133" s="553"/>
      <c r="BC133" s="553"/>
      <c r="BD133" s="553"/>
      <c r="BE133" s="1429">
        <v>11</v>
      </c>
    </row>
    <row r="134" spans="1:57" s="1429" customFormat="1" ht="11.45" customHeight="1">
      <c r="A134" s="839"/>
      <c r="B134" s="839"/>
      <c r="C134" s="839"/>
      <c r="D134" s="839"/>
      <c r="E134" s="839"/>
      <c r="F134" s="1424"/>
      <c r="G134" s="1424"/>
      <c r="H134" s="284"/>
      <c r="AH134" s="1154"/>
      <c r="AJ134" s="1154"/>
      <c r="AK134" s="1424"/>
      <c r="AL134" s="1424"/>
      <c r="AM134" s="1154"/>
      <c r="AN134" s="1154"/>
      <c r="AO134" s="1154"/>
      <c r="AP134" s="1154"/>
      <c r="AQ134" s="1424"/>
      <c r="AR134" s="1154"/>
      <c r="AS134" s="1154"/>
      <c r="AT134" s="476"/>
      <c r="AU134" s="1154"/>
      <c r="AV134" s="1154"/>
      <c r="AW134" s="1154"/>
      <c r="AX134" s="1154"/>
      <c r="AY134" s="1154"/>
      <c r="AZ134" s="1420"/>
      <c r="BA134" s="553"/>
      <c r="BB134" s="553"/>
      <c r="BC134" s="553"/>
      <c r="BD134" s="553"/>
      <c r="BE134" s="1429">
        <v>11</v>
      </c>
    </row>
    <row r="135" spans="1:57" s="1429" customFormat="1" ht="11.45" customHeight="1">
      <c r="A135" s="839"/>
      <c r="B135" s="839"/>
      <c r="C135" s="839"/>
      <c r="D135" s="839"/>
      <c r="E135" s="839"/>
      <c r="F135" s="1424"/>
      <c r="G135" s="1424"/>
      <c r="H135" s="284"/>
      <c r="AH135" s="1154"/>
      <c r="AJ135" s="1154"/>
      <c r="AK135" s="1424"/>
      <c r="AL135" s="1424"/>
      <c r="AM135" s="1154"/>
      <c r="AN135" s="1154"/>
      <c r="AO135" s="1154"/>
      <c r="AP135" s="1154"/>
      <c r="AQ135" s="1424"/>
      <c r="AR135" s="1154"/>
      <c r="AS135" s="1154"/>
      <c r="AT135" s="476"/>
      <c r="AU135" s="1154"/>
      <c r="AV135" s="1154"/>
      <c r="AW135" s="1154"/>
      <c r="AX135" s="1154"/>
      <c r="AY135" s="1154"/>
      <c r="AZ135" s="1420"/>
      <c r="BA135" s="553"/>
      <c r="BB135" s="553"/>
      <c r="BC135" s="553"/>
      <c r="BD135" s="553"/>
      <c r="BE135" s="1429">
        <v>11</v>
      </c>
    </row>
    <row r="136" spans="1:57" s="1429" customFormat="1" ht="11.45" customHeight="1">
      <c r="A136" s="839"/>
      <c r="B136" s="839"/>
      <c r="C136" s="839"/>
      <c r="D136" s="839"/>
      <c r="E136" s="839"/>
      <c r="F136" s="1424"/>
      <c r="G136" s="1424"/>
      <c r="H136" s="284"/>
      <c r="AH136" s="1154"/>
      <c r="AJ136" s="1154"/>
      <c r="AK136" s="1424"/>
      <c r="AL136" s="1424"/>
      <c r="AM136" s="1154"/>
      <c r="AN136" s="1154"/>
      <c r="AO136" s="1154"/>
      <c r="AP136" s="1154"/>
      <c r="AQ136" s="1424"/>
      <c r="AR136" s="1154"/>
      <c r="AS136" s="1154"/>
      <c r="AT136" s="476"/>
      <c r="AU136" s="1154"/>
      <c r="AV136" s="1154"/>
      <c r="AW136" s="1154"/>
      <c r="AX136" s="1154"/>
      <c r="AY136" s="1154"/>
      <c r="AZ136" s="1420"/>
      <c r="BA136" s="553"/>
      <c r="BB136" s="553"/>
      <c r="BC136" s="553"/>
      <c r="BD136" s="553"/>
      <c r="BE136" s="1429">
        <v>11</v>
      </c>
    </row>
    <row r="137" spans="1:57" s="1429" customFormat="1" ht="11.45" customHeight="1">
      <c r="A137" s="839"/>
      <c r="B137" s="839"/>
      <c r="C137" s="839"/>
      <c r="D137" s="839"/>
      <c r="E137" s="839"/>
      <c r="F137" s="1424"/>
      <c r="G137" s="1424"/>
      <c r="H137" s="284"/>
      <c r="AH137" s="1154"/>
      <c r="AJ137" s="1154"/>
      <c r="AK137" s="1424"/>
      <c r="AL137" s="1424"/>
      <c r="AM137" s="1154"/>
      <c r="AN137" s="1154"/>
      <c r="AO137" s="1154"/>
      <c r="AP137" s="1154"/>
      <c r="AQ137" s="1424"/>
      <c r="AR137" s="1154"/>
      <c r="AS137" s="1154"/>
      <c r="AT137" s="476"/>
      <c r="AU137" s="1154"/>
      <c r="AV137" s="1154"/>
      <c r="AW137" s="1154"/>
      <c r="AX137" s="1154"/>
      <c r="AY137" s="1154"/>
      <c r="AZ137" s="1420"/>
      <c r="BA137" s="553"/>
      <c r="BB137" s="553"/>
      <c r="BC137" s="553"/>
      <c r="BD137" s="553"/>
      <c r="BE137" s="1429">
        <v>11</v>
      </c>
    </row>
    <row r="138" spans="1:57" s="1429" customFormat="1" ht="11.45" customHeight="1">
      <c r="A138" s="839"/>
      <c r="B138" s="839"/>
      <c r="C138" s="839"/>
      <c r="D138" s="839"/>
      <c r="E138" s="839"/>
      <c r="F138" s="1424"/>
      <c r="G138" s="1424"/>
      <c r="H138" s="284"/>
      <c r="AH138" s="1154"/>
      <c r="AJ138" s="1154"/>
      <c r="AK138" s="1424"/>
      <c r="AL138" s="1424"/>
      <c r="AM138" s="1154"/>
      <c r="AN138" s="1154"/>
      <c r="AO138" s="1154"/>
      <c r="AP138" s="1154"/>
      <c r="AQ138" s="1424"/>
      <c r="AR138" s="1154"/>
      <c r="AS138" s="1154"/>
      <c r="AT138" s="476"/>
      <c r="AU138" s="1154"/>
      <c r="AV138" s="1154"/>
      <c r="AW138" s="1154"/>
      <c r="AX138" s="1154"/>
      <c r="AY138" s="1154"/>
      <c r="AZ138" s="1420"/>
      <c r="BA138" s="553"/>
      <c r="BB138" s="553"/>
      <c r="BC138" s="553"/>
      <c r="BD138" s="553"/>
      <c r="BE138" s="1429">
        <v>11</v>
      </c>
    </row>
    <row r="139" spans="1:57" s="1429" customFormat="1" ht="11.45" customHeight="1">
      <c r="A139" s="839"/>
      <c r="B139" s="839"/>
      <c r="C139" s="839"/>
      <c r="D139" s="839"/>
      <c r="E139" s="839"/>
      <c r="F139" s="1424"/>
      <c r="G139" s="1424"/>
      <c r="H139" s="284"/>
      <c r="AH139" s="1154"/>
      <c r="AJ139" s="1154"/>
      <c r="AK139" s="1424"/>
      <c r="AL139" s="1424"/>
      <c r="AM139" s="1154"/>
      <c r="AN139" s="1154"/>
      <c r="AO139" s="1154"/>
      <c r="AP139" s="1154"/>
      <c r="AQ139" s="1424"/>
      <c r="AR139" s="1154"/>
      <c r="AS139" s="1154"/>
      <c r="AT139" s="476"/>
      <c r="AU139" s="1154"/>
      <c r="AV139" s="1154"/>
      <c r="AW139" s="1154"/>
      <c r="AX139" s="1154"/>
      <c r="AY139" s="1154"/>
      <c r="AZ139" s="1420"/>
      <c r="BA139" s="553"/>
      <c r="BB139" s="553"/>
      <c r="BC139" s="553"/>
      <c r="BD139" s="553"/>
      <c r="BE139" s="1429">
        <v>11</v>
      </c>
    </row>
    <row r="140" spans="1:57" s="1429" customFormat="1" ht="11.45" customHeight="1">
      <c r="A140" s="839"/>
      <c r="B140" s="839"/>
      <c r="C140" s="839"/>
      <c r="D140" s="839"/>
      <c r="E140" s="839"/>
      <c r="F140" s="1424"/>
      <c r="G140" s="1424"/>
      <c r="H140" s="284"/>
      <c r="AH140" s="1154"/>
      <c r="AJ140" s="1154"/>
      <c r="AK140" s="1424"/>
      <c r="AL140" s="1424"/>
      <c r="AM140" s="1154"/>
      <c r="AN140" s="1154"/>
      <c r="AO140" s="1154"/>
      <c r="AP140" s="1154"/>
      <c r="AQ140" s="1424"/>
      <c r="AR140" s="1154"/>
      <c r="AS140" s="1154"/>
      <c r="AT140" s="476"/>
      <c r="AU140" s="1154"/>
      <c r="AV140" s="1154"/>
      <c r="AW140" s="1154"/>
      <c r="AX140" s="1154"/>
      <c r="AY140" s="1154"/>
      <c r="AZ140" s="1420"/>
      <c r="BA140" s="553"/>
      <c r="BB140" s="553"/>
      <c r="BC140" s="553"/>
      <c r="BD140" s="553"/>
      <c r="BE140" s="1429">
        <v>11</v>
      </c>
    </row>
    <row r="141" spans="1:57" s="1429" customFormat="1" ht="11.45" customHeight="1">
      <c r="A141" s="839"/>
      <c r="B141" s="839"/>
      <c r="C141" s="839"/>
      <c r="D141" s="839"/>
      <c r="E141" s="839"/>
      <c r="F141" s="1424"/>
      <c r="G141" s="1424"/>
      <c r="H141" s="284"/>
      <c r="AH141" s="1154"/>
      <c r="AJ141" s="1154"/>
      <c r="AK141" s="1424"/>
      <c r="AL141" s="1424"/>
      <c r="AM141" s="1154"/>
      <c r="AN141" s="1154"/>
      <c r="AO141" s="1154"/>
      <c r="AP141" s="1154"/>
      <c r="AQ141" s="1424"/>
      <c r="AR141" s="1154"/>
      <c r="AS141" s="1154"/>
      <c r="AT141" s="476"/>
      <c r="AU141" s="1154"/>
      <c r="AV141" s="1154"/>
      <c r="AW141" s="1154"/>
      <c r="AX141" s="1154"/>
      <c r="AY141" s="1154"/>
      <c r="AZ141" s="1420"/>
      <c r="BA141" s="553"/>
      <c r="BB141" s="553"/>
      <c r="BC141" s="553"/>
      <c r="BD141" s="553"/>
      <c r="BE141" s="1429">
        <v>11</v>
      </c>
    </row>
    <row r="142" spans="1:57" s="1429" customFormat="1" ht="11.45" customHeight="1">
      <c r="A142" s="839"/>
      <c r="B142" s="839"/>
      <c r="C142" s="839"/>
      <c r="D142" s="839"/>
      <c r="E142" s="839"/>
      <c r="F142" s="1424"/>
      <c r="G142" s="1424"/>
      <c r="H142" s="284"/>
      <c r="AH142" s="1154"/>
      <c r="AJ142" s="1154"/>
      <c r="AK142" s="1424"/>
      <c r="AL142" s="1424"/>
      <c r="AM142" s="1154"/>
      <c r="AN142" s="1154"/>
      <c r="AO142" s="1154"/>
      <c r="AP142" s="1154"/>
      <c r="AQ142" s="1424"/>
      <c r="AR142" s="1154"/>
      <c r="AS142" s="1154"/>
      <c r="AT142" s="476"/>
      <c r="AU142" s="1154"/>
      <c r="AV142" s="1154"/>
      <c r="AW142" s="1154"/>
      <c r="AX142" s="1154"/>
      <c r="AY142" s="1154"/>
      <c r="AZ142" s="1420"/>
      <c r="BA142" s="553"/>
      <c r="BB142" s="553"/>
      <c r="BC142" s="553"/>
      <c r="BD142" s="553"/>
      <c r="BE142" s="1429">
        <v>11</v>
      </c>
    </row>
    <row r="143" spans="1:57" s="1429" customFormat="1" ht="11.45" customHeight="1">
      <c r="A143" s="839"/>
      <c r="B143" s="839"/>
      <c r="C143" s="839"/>
      <c r="D143" s="839"/>
      <c r="E143" s="839"/>
      <c r="F143" s="1424"/>
      <c r="G143" s="1424"/>
      <c r="H143" s="284"/>
      <c r="AH143" s="1154"/>
      <c r="AJ143" s="1154"/>
      <c r="AK143" s="1424"/>
      <c r="AL143" s="1424"/>
      <c r="AM143" s="1154"/>
      <c r="AN143" s="1154"/>
      <c r="AO143" s="1154"/>
      <c r="AP143" s="1154"/>
      <c r="AQ143" s="1424"/>
      <c r="AR143" s="1154"/>
      <c r="AS143" s="1154"/>
      <c r="AT143" s="476"/>
      <c r="AU143" s="1154"/>
      <c r="AV143" s="1154"/>
      <c r="AW143" s="1154"/>
      <c r="AX143" s="1154"/>
      <c r="AY143" s="1154"/>
      <c r="AZ143" s="1420"/>
      <c r="BA143" s="553"/>
      <c r="BB143" s="553"/>
      <c r="BC143" s="553"/>
      <c r="BD143" s="553"/>
      <c r="BE143" s="1429">
        <v>11</v>
      </c>
    </row>
    <row r="144" spans="1:57" s="1429" customFormat="1" ht="11.45" customHeight="1">
      <c r="A144" s="839"/>
      <c r="B144" s="839"/>
      <c r="C144" s="839"/>
      <c r="D144" s="839"/>
      <c r="E144" s="839"/>
      <c r="F144" s="1424"/>
      <c r="G144" s="1424"/>
      <c r="H144" s="284"/>
      <c r="AH144" s="1154"/>
      <c r="AJ144" s="1154"/>
      <c r="AK144" s="1424"/>
      <c r="AL144" s="1424"/>
      <c r="AM144" s="1154"/>
      <c r="AN144" s="1154"/>
      <c r="AO144" s="1154"/>
      <c r="AP144" s="1154"/>
      <c r="AQ144" s="1424"/>
      <c r="AR144" s="1154"/>
      <c r="AS144" s="1154"/>
      <c r="AT144" s="476"/>
      <c r="AU144" s="1154"/>
      <c r="AV144" s="1154"/>
      <c r="AW144" s="1154"/>
      <c r="AX144" s="1154"/>
      <c r="AY144" s="1154"/>
      <c r="AZ144" s="1420"/>
      <c r="BA144" s="553"/>
      <c r="BB144" s="553"/>
      <c r="BC144" s="553"/>
      <c r="BD144" s="553"/>
      <c r="BE144" s="1429">
        <v>11</v>
      </c>
    </row>
    <row r="145" spans="1:57" s="1429" customFormat="1" ht="11.45" customHeight="1">
      <c r="A145" s="839"/>
      <c r="B145" s="839"/>
      <c r="C145" s="839"/>
      <c r="D145" s="839"/>
      <c r="E145" s="839"/>
      <c r="F145" s="1424"/>
      <c r="G145" s="1424"/>
      <c r="H145" s="284"/>
      <c r="AH145" s="1154"/>
      <c r="AJ145" s="1154"/>
      <c r="AK145" s="1424"/>
      <c r="AL145" s="1424"/>
      <c r="AM145" s="1154"/>
      <c r="AN145" s="1154"/>
      <c r="AO145" s="1154"/>
      <c r="AP145" s="1154"/>
      <c r="AQ145" s="1424"/>
      <c r="AR145" s="1154"/>
      <c r="AS145" s="1154"/>
      <c r="AT145" s="476"/>
      <c r="AU145" s="1154"/>
      <c r="AV145" s="1154"/>
      <c r="AW145" s="1154"/>
      <c r="AX145" s="1154"/>
      <c r="AY145" s="1154"/>
      <c r="AZ145" s="1420"/>
      <c r="BA145" s="553"/>
      <c r="BB145" s="553"/>
      <c r="BC145" s="553"/>
      <c r="BD145" s="553"/>
      <c r="BE145" s="1429">
        <v>11</v>
      </c>
    </row>
    <row r="146" spans="1:57" s="1429" customFormat="1" ht="11.45" customHeight="1">
      <c r="A146" s="839"/>
      <c r="B146" s="839"/>
      <c r="C146" s="839"/>
      <c r="D146" s="839"/>
      <c r="E146" s="839"/>
      <c r="F146" s="1424"/>
      <c r="G146" s="1424"/>
      <c r="H146" s="284"/>
      <c r="AH146" s="1154"/>
      <c r="AJ146" s="1154"/>
      <c r="AK146" s="1424"/>
      <c r="AL146" s="1424"/>
      <c r="AM146" s="1154"/>
      <c r="AN146" s="1154"/>
      <c r="AO146" s="1154"/>
      <c r="AP146" s="1154"/>
      <c r="AQ146" s="1424"/>
      <c r="AR146" s="1154"/>
      <c r="AS146" s="1154"/>
      <c r="AT146" s="476"/>
      <c r="AU146" s="1154"/>
      <c r="AV146" s="1154"/>
      <c r="AW146" s="1154"/>
      <c r="AX146" s="1154"/>
      <c r="AY146" s="1154"/>
      <c r="AZ146" s="1420"/>
      <c r="BA146" s="553"/>
      <c r="BB146" s="553"/>
      <c r="BC146" s="553"/>
      <c r="BD146" s="553"/>
      <c r="BE146" s="1429">
        <v>11</v>
      </c>
    </row>
    <row r="147" spans="1:57" s="1429" customFormat="1" ht="11.45" customHeight="1">
      <c r="A147" s="839"/>
      <c r="B147" s="839"/>
      <c r="C147" s="839"/>
      <c r="D147" s="839"/>
      <c r="E147" s="839"/>
      <c r="F147" s="1424"/>
      <c r="G147" s="1424"/>
      <c r="H147" s="284"/>
      <c r="AH147" s="1154"/>
      <c r="AJ147" s="1154"/>
      <c r="AK147" s="1424"/>
      <c r="AL147" s="1424"/>
      <c r="AM147" s="1154"/>
      <c r="AN147" s="1154"/>
      <c r="AO147" s="1154"/>
      <c r="AP147" s="1154"/>
      <c r="AQ147" s="1424"/>
      <c r="AR147" s="1154"/>
      <c r="AS147" s="1154"/>
      <c r="AT147" s="476"/>
      <c r="AU147" s="1154"/>
      <c r="AV147" s="1154"/>
      <c r="AW147" s="1154"/>
      <c r="AX147" s="1154"/>
      <c r="AY147" s="1154"/>
      <c r="AZ147" s="1420"/>
      <c r="BA147" s="553"/>
      <c r="BB147" s="553"/>
      <c r="BC147" s="553"/>
      <c r="BD147" s="553"/>
      <c r="BE147" s="1429">
        <v>11</v>
      </c>
    </row>
    <row r="148" spans="1:57" s="1429" customFormat="1" ht="11.45" customHeight="1">
      <c r="A148" s="839"/>
      <c r="B148" s="839"/>
      <c r="C148" s="839"/>
      <c r="D148" s="839"/>
      <c r="E148" s="839"/>
      <c r="F148" s="1424"/>
      <c r="G148" s="1424"/>
      <c r="H148" s="284"/>
      <c r="AH148" s="1154"/>
      <c r="AJ148" s="1154"/>
      <c r="AK148" s="1424"/>
      <c r="AL148" s="1424"/>
      <c r="AM148" s="1154"/>
      <c r="AN148" s="1154"/>
      <c r="AO148" s="1154"/>
      <c r="AP148" s="1154"/>
      <c r="AQ148" s="1424"/>
      <c r="AR148" s="1154"/>
      <c r="AS148" s="1154"/>
      <c r="AT148" s="476"/>
      <c r="AU148" s="1154"/>
      <c r="AV148" s="1154"/>
      <c r="AW148" s="1154"/>
      <c r="AX148" s="1154"/>
      <c r="AY148" s="1154"/>
      <c r="AZ148" s="1420"/>
      <c r="BA148" s="553"/>
      <c r="BB148" s="553"/>
      <c r="BC148" s="553"/>
      <c r="BD148" s="553"/>
      <c r="BE148" s="1429">
        <v>11</v>
      </c>
    </row>
    <row r="149" spans="1:57" s="1429" customFormat="1" ht="11.45" customHeight="1">
      <c r="A149" s="839"/>
      <c r="B149" s="839"/>
      <c r="C149" s="839"/>
      <c r="D149" s="839"/>
      <c r="E149" s="839"/>
      <c r="F149" s="1424"/>
      <c r="G149" s="1424"/>
      <c r="H149" s="284"/>
      <c r="AH149" s="1154"/>
      <c r="AJ149" s="1154"/>
      <c r="AK149" s="1424"/>
      <c r="AL149" s="1424"/>
      <c r="AM149" s="1154"/>
      <c r="AN149" s="1154"/>
      <c r="AO149" s="1154"/>
      <c r="AP149" s="1154"/>
      <c r="AQ149" s="1424"/>
      <c r="AR149" s="1154"/>
      <c r="AS149" s="1154"/>
      <c r="AT149" s="476"/>
      <c r="AU149" s="1154"/>
      <c r="AV149" s="1154"/>
      <c r="AW149" s="1154"/>
      <c r="AX149" s="1154"/>
      <c r="AY149" s="1154"/>
      <c r="AZ149" s="1420"/>
      <c r="BA149" s="553"/>
      <c r="BB149" s="553"/>
      <c r="BC149" s="553"/>
      <c r="BD149" s="553"/>
      <c r="BE149" s="1429">
        <v>11</v>
      </c>
    </row>
    <row r="150" spans="1:57" s="1429" customFormat="1" ht="11.45" customHeight="1">
      <c r="A150" s="839"/>
      <c r="B150" s="839"/>
      <c r="C150" s="839"/>
      <c r="D150" s="839"/>
      <c r="E150" s="839"/>
      <c r="F150" s="1424"/>
      <c r="G150" s="1424"/>
      <c r="H150" s="284"/>
      <c r="AH150" s="1154"/>
      <c r="AJ150" s="1154"/>
      <c r="AK150" s="1424"/>
      <c r="AL150" s="1424"/>
      <c r="AM150" s="1154"/>
      <c r="AN150" s="1154"/>
      <c r="AO150" s="1154"/>
      <c r="AP150" s="1154"/>
      <c r="AQ150" s="1424"/>
      <c r="AR150" s="1154"/>
      <c r="AS150" s="1154"/>
      <c r="AT150" s="476"/>
      <c r="AU150" s="1154"/>
      <c r="AV150" s="1154"/>
      <c r="AW150" s="1154"/>
      <c r="AX150" s="1154"/>
      <c r="AY150" s="1154"/>
      <c r="AZ150" s="1420"/>
      <c r="BA150" s="553"/>
      <c r="BB150" s="553"/>
      <c r="BC150" s="553"/>
      <c r="BD150" s="553"/>
      <c r="BE150" s="1429">
        <v>11</v>
      </c>
    </row>
    <row r="151" spans="1:57" s="1429" customFormat="1" ht="11.45" customHeight="1">
      <c r="A151" s="839"/>
      <c r="B151" s="839"/>
      <c r="C151" s="839"/>
      <c r="D151" s="839"/>
      <c r="E151" s="839"/>
      <c r="F151" s="1424"/>
      <c r="G151" s="1424"/>
      <c r="H151" s="284"/>
      <c r="AH151" s="1154"/>
      <c r="AJ151" s="1154"/>
      <c r="AK151" s="1424"/>
      <c r="AL151" s="1424"/>
      <c r="AM151" s="1154"/>
      <c r="AN151" s="1154"/>
      <c r="AO151" s="1154"/>
      <c r="AP151" s="1154"/>
      <c r="AQ151" s="1424"/>
      <c r="AR151" s="1154"/>
      <c r="AS151" s="1154"/>
      <c r="AT151" s="476"/>
      <c r="AU151" s="1154"/>
      <c r="AV151" s="1154"/>
      <c r="AW151" s="1154"/>
      <c r="AX151" s="1154"/>
      <c r="AY151" s="1154"/>
      <c r="AZ151" s="1420"/>
      <c r="BA151" s="553"/>
      <c r="BB151" s="553"/>
      <c r="BC151" s="553"/>
      <c r="BD151" s="553"/>
      <c r="BE151" s="1429">
        <v>11</v>
      </c>
    </row>
    <row r="152" spans="1:57" s="1429" customFormat="1" ht="11.45" customHeight="1">
      <c r="A152" s="839"/>
      <c r="B152" s="839"/>
      <c r="C152" s="839"/>
      <c r="D152" s="839"/>
      <c r="E152" s="839"/>
      <c r="F152" s="1424"/>
      <c r="G152" s="1424"/>
      <c r="H152" s="284"/>
      <c r="AH152" s="1154"/>
      <c r="AJ152" s="1154"/>
      <c r="AK152" s="1424"/>
      <c r="AL152" s="1424"/>
      <c r="AM152" s="1154"/>
      <c r="AN152" s="1154"/>
      <c r="AO152" s="1154"/>
      <c r="AP152" s="1154"/>
      <c r="AQ152" s="1424"/>
      <c r="AR152" s="1154"/>
      <c r="AS152" s="1154"/>
      <c r="AT152" s="476"/>
      <c r="AU152" s="1154"/>
      <c r="AV152" s="1154"/>
      <c r="AW152" s="1154"/>
      <c r="AX152" s="1154"/>
      <c r="AY152" s="1154"/>
      <c r="AZ152" s="1420"/>
      <c r="BA152" s="553"/>
      <c r="BB152" s="553"/>
      <c r="BC152" s="553"/>
      <c r="BD152" s="553"/>
      <c r="BE152" s="1429">
        <v>11</v>
      </c>
    </row>
    <row r="153" spans="1:57" s="1429" customFormat="1" ht="11.45" customHeight="1">
      <c r="A153" s="839"/>
      <c r="B153" s="839"/>
      <c r="C153" s="839"/>
      <c r="D153" s="839"/>
      <c r="E153" s="839"/>
      <c r="F153" s="1424"/>
      <c r="G153" s="1424"/>
      <c r="H153" s="284"/>
      <c r="AH153" s="1154"/>
      <c r="AJ153" s="1154"/>
      <c r="AK153" s="1424"/>
      <c r="AL153" s="1424"/>
      <c r="AM153" s="1154"/>
      <c r="AN153" s="1154"/>
      <c r="AO153" s="1154"/>
      <c r="AP153" s="1154"/>
      <c r="AQ153" s="1424"/>
      <c r="AR153" s="1154"/>
      <c r="AS153" s="1154"/>
      <c r="AT153" s="476"/>
      <c r="AU153" s="1154"/>
      <c r="AV153" s="1154"/>
      <c r="AW153" s="1154"/>
      <c r="AX153" s="1154"/>
      <c r="AY153" s="1154"/>
      <c r="AZ153" s="1420"/>
      <c r="BA153" s="553"/>
      <c r="BB153" s="553"/>
      <c r="BC153" s="553"/>
      <c r="BD153" s="553"/>
      <c r="BE153" s="1429">
        <v>11</v>
      </c>
    </row>
    <row r="154" spans="1:57" s="1429" customFormat="1" ht="11.45" customHeight="1">
      <c r="A154" s="839"/>
      <c r="B154" s="839"/>
      <c r="C154" s="839"/>
      <c r="D154" s="839"/>
      <c r="E154" s="839"/>
      <c r="F154" s="1424"/>
      <c r="G154" s="1424"/>
      <c r="H154" s="284"/>
      <c r="AH154" s="1154"/>
      <c r="AJ154" s="1154"/>
      <c r="AK154" s="1424"/>
      <c r="AL154" s="1424"/>
      <c r="AM154" s="1154"/>
      <c r="AN154" s="1154"/>
      <c r="AO154" s="1154"/>
      <c r="AP154" s="1154"/>
      <c r="AQ154" s="1424"/>
      <c r="AR154" s="1154"/>
      <c r="AS154" s="1154"/>
      <c r="AT154" s="476"/>
      <c r="AU154" s="1154"/>
      <c r="AV154" s="1154"/>
      <c r="AW154" s="1154"/>
      <c r="AX154" s="1154"/>
      <c r="AY154" s="1154"/>
      <c r="AZ154" s="1420"/>
      <c r="BA154" s="553"/>
      <c r="BB154" s="553"/>
      <c r="BC154" s="553"/>
      <c r="BD154" s="553"/>
      <c r="BE154" s="1429">
        <v>11</v>
      </c>
    </row>
    <row r="155" spans="1:57" s="1429" customFormat="1" ht="11.45" customHeight="1">
      <c r="A155" s="839"/>
      <c r="B155" s="839"/>
      <c r="C155" s="839"/>
      <c r="D155" s="839"/>
      <c r="E155" s="839"/>
      <c r="F155" s="1424"/>
      <c r="G155" s="1424"/>
      <c r="H155" s="284"/>
      <c r="AH155" s="1154"/>
      <c r="AJ155" s="1154"/>
      <c r="AK155" s="1424"/>
      <c r="AL155" s="1424"/>
      <c r="AM155" s="1154"/>
      <c r="AN155" s="1154"/>
      <c r="AO155" s="1154"/>
      <c r="AP155" s="1154"/>
      <c r="AQ155" s="1424"/>
      <c r="AR155" s="1154"/>
      <c r="AS155" s="1154"/>
      <c r="AT155" s="476"/>
      <c r="AU155" s="1154"/>
      <c r="AV155" s="1154"/>
      <c r="AW155" s="1154"/>
      <c r="AX155" s="1154"/>
      <c r="AY155" s="1154"/>
      <c r="AZ155" s="1420"/>
      <c r="BA155" s="553"/>
      <c r="BB155" s="553"/>
      <c r="BC155" s="553"/>
      <c r="BD155" s="553"/>
      <c r="BE155" s="1429">
        <v>11</v>
      </c>
    </row>
    <row r="156" spans="1:57" s="1429" customFormat="1" ht="11.45" customHeight="1">
      <c r="A156" s="839"/>
      <c r="B156" s="839"/>
      <c r="C156" s="839"/>
      <c r="D156" s="839"/>
      <c r="E156" s="839"/>
      <c r="F156" s="1424"/>
      <c r="G156" s="1424"/>
      <c r="H156" s="284"/>
      <c r="AH156" s="1154"/>
      <c r="AJ156" s="1154"/>
      <c r="AK156" s="1424"/>
      <c r="AL156" s="1424"/>
      <c r="AM156" s="1154"/>
      <c r="AN156" s="1154"/>
      <c r="AO156" s="1154"/>
      <c r="AP156" s="1154"/>
      <c r="AQ156" s="1424"/>
      <c r="AR156" s="1154"/>
      <c r="AS156" s="1154"/>
      <c r="AT156" s="476"/>
      <c r="AU156" s="1154"/>
      <c r="AV156" s="1154"/>
      <c r="AW156" s="1154"/>
      <c r="AX156" s="1154"/>
      <c r="AY156" s="1154"/>
      <c r="AZ156" s="1420"/>
      <c r="BA156" s="553"/>
      <c r="BB156" s="553"/>
      <c r="BC156" s="553"/>
      <c r="BD156" s="553"/>
      <c r="BE156" s="1429">
        <v>11</v>
      </c>
    </row>
    <row r="157" spans="1:57" s="1429" customFormat="1" ht="11.45" customHeight="1">
      <c r="A157" s="839"/>
      <c r="B157" s="839"/>
      <c r="C157" s="839"/>
      <c r="D157" s="839"/>
      <c r="E157" s="839"/>
      <c r="F157" s="1424"/>
      <c r="G157" s="1424"/>
      <c r="H157" s="284"/>
      <c r="AH157" s="1154"/>
      <c r="AJ157" s="1154"/>
      <c r="AK157" s="1424"/>
      <c r="AL157" s="1424"/>
      <c r="AM157" s="1154"/>
      <c r="AN157" s="1154"/>
      <c r="AO157" s="1154"/>
      <c r="AP157" s="1154"/>
      <c r="AQ157" s="1424"/>
      <c r="AR157" s="1154"/>
      <c r="AS157" s="1154"/>
      <c r="AT157" s="476"/>
      <c r="AU157" s="1154"/>
      <c r="AV157" s="1154"/>
      <c r="AW157" s="1154"/>
      <c r="AX157" s="1154"/>
      <c r="AY157" s="1154"/>
      <c r="AZ157" s="1420"/>
      <c r="BA157" s="553"/>
      <c r="BB157" s="553"/>
      <c r="BC157" s="553"/>
      <c r="BD157" s="553"/>
      <c r="BE157" s="1429">
        <v>11</v>
      </c>
    </row>
    <row r="158" spans="1:57" s="1429" customFormat="1" ht="11.45" customHeight="1">
      <c r="A158" s="839"/>
      <c r="B158" s="839"/>
      <c r="C158" s="839"/>
      <c r="D158" s="839"/>
      <c r="E158" s="839"/>
      <c r="F158" s="1424"/>
      <c r="G158" s="1424"/>
      <c r="H158" s="284"/>
      <c r="AH158" s="1154"/>
      <c r="AJ158" s="1154"/>
      <c r="AK158" s="1424"/>
      <c r="AL158" s="1424"/>
      <c r="AM158" s="1154"/>
      <c r="AN158" s="1154"/>
      <c r="AO158" s="1154"/>
      <c r="AP158" s="1154"/>
      <c r="AQ158" s="1424"/>
      <c r="AR158" s="1154"/>
      <c r="AS158" s="1154"/>
      <c r="AT158" s="476"/>
      <c r="AU158" s="1154"/>
      <c r="AV158" s="1154"/>
      <c r="AW158" s="1154"/>
      <c r="AX158" s="1154"/>
      <c r="AY158" s="1154"/>
      <c r="AZ158" s="1420"/>
      <c r="BA158" s="553"/>
      <c r="BB158" s="553"/>
      <c r="BC158" s="553"/>
      <c r="BD158" s="553"/>
      <c r="BE158" s="1429">
        <v>11</v>
      </c>
    </row>
    <row r="159" spans="1:57" s="1429" customFormat="1" ht="11.45" customHeight="1">
      <c r="A159" s="839"/>
      <c r="B159" s="839"/>
      <c r="C159" s="839"/>
      <c r="D159" s="839"/>
      <c r="E159" s="839"/>
      <c r="F159" s="1424"/>
      <c r="G159" s="1424"/>
      <c r="H159" s="284"/>
      <c r="AH159" s="1154"/>
      <c r="AJ159" s="1154"/>
      <c r="AK159" s="1424"/>
      <c r="AL159" s="1424"/>
      <c r="AM159" s="1154"/>
      <c r="AN159" s="1154"/>
      <c r="AO159" s="1154"/>
      <c r="AP159" s="1154"/>
      <c r="AQ159" s="1424"/>
      <c r="AR159" s="1154"/>
      <c r="AS159" s="1154"/>
      <c r="AT159" s="476"/>
      <c r="AU159" s="1154"/>
      <c r="AV159" s="1154"/>
      <c r="AW159" s="1154"/>
      <c r="AX159" s="1154"/>
      <c r="AY159" s="1154"/>
      <c r="AZ159" s="1420"/>
      <c r="BA159" s="553"/>
      <c r="BB159" s="553"/>
      <c r="BC159" s="553"/>
      <c r="BD159" s="553"/>
      <c r="BE159" s="1429">
        <v>11</v>
      </c>
    </row>
    <row r="160" spans="1:57" s="1429" customFormat="1" ht="11.45" customHeight="1">
      <c r="A160" s="839"/>
      <c r="B160" s="839"/>
      <c r="C160" s="839"/>
      <c r="D160" s="839"/>
      <c r="E160" s="839"/>
      <c r="F160" s="1424"/>
      <c r="G160" s="1424"/>
      <c r="H160" s="284"/>
      <c r="AH160" s="1154"/>
      <c r="AJ160" s="1154"/>
      <c r="AK160" s="1424"/>
      <c r="AL160" s="1424"/>
      <c r="AM160" s="1154"/>
      <c r="AN160" s="1154"/>
      <c r="AO160" s="1154"/>
      <c r="AP160" s="1154"/>
      <c r="AQ160" s="1424"/>
      <c r="AR160" s="1154"/>
      <c r="AS160" s="1154"/>
      <c r="AT160" s="476"/>
      <c r="AU160" s="1154"/>
      <c r="AV160" s="1154"/>
      <c r="AW160" s="1154"/>
      <c r="AX160" s="1154"/>
      <c r="AY160" s="1154"/>
      <c r="AZ160" s="1420"/>
      <c r="BA160" s="553"/>
      <c r="BB160" s="553"/>
      <c r="BC160" s="553"/>
      <c r="BD160" s="553"/>
      <c r="BE160" s="1429">
        <v>11</v>
      </c>
    </row>
    <row r="161" spans="1:57" s="1429" customFormat="1" ht="11.45" customHeight="1">
      <c r="A161" s="839"/>
      <c r="B161" s="839"/>
      <c r="C161" s="839"/>
      <c r="D161" s="839"/>
      <c r="E161" s="839"/>
      <c r="F161" s="1424"/>
      <c r="G161" s="1424"/>
      <c r="H161" s="284"/>
      <c r="AH161" s="1154"/>
      <c r="AJ161" s="1154"/>
      <c r="AK161" s="1424"/>
      <c r="AL161" s="1424"/>
      <c r="AM161" s="1154"/>
      <c r="AN161" s="1154"/>
      <c r="AO161" s="1154"/>
      <c r="AP161" s="1154"/>
      <c r="AQ161" s="1424"/>
      <c r="AR161" s="1154"/>
      <c r="AS161" s="1154"/>
      <c r="AT161" s="476"/>
      <c r="AU161" s="1154"/>
      <c r="AV161" s="1154"/>
      <c r="AW161" s="1154"/>
      <c r="AX161" s="1154"/>
      <c r="AY161" s="1154"/>
      <c r="AZ161" s="1420"/>
      <c r="BA161" s="553"/>
      <c r="BB161" s="553"/>
      <c r="BC161" s="553"/>
      <c r="BD161" s="553"/>
      <c r="BE161" s="1429">
        <v>11</v>
      </c>
    </row>
    <row r="162" spans="1:57" s="1429" customFormat="1" ht="11.45" customHeight="1">
      <c r="A162" s="839"/>
      <c r="B162" s="839"/>
      <c r="C162" s="839"/>
      <c r="D162" s="839"/>
      <c r="E162" s="839"/>
      <c r="F162" s="1424"/>
      <c r="G162" s="1424"/>
      <c r="H162" s="284"/>
      <c r="AH162" s="1154"/>
      <c r="AJ162" s="1154"/>
      <c r="AK162" s="1424"/>
      <c r="AL162" s="1424"/>
      <c r="AM162" s="1154"/>
      <c r="AN162" s="1154"/>
      <c r="AO162" s="1154"/>
      <c r="AP162" s="1154"/>
      <c r="AQ162" s="1424"/>
      <c r="AR162" s="1154"/>
      <c r="AS162" s="1154"/>
      <c r="AT162" s="476"/>
      <c r="AU162" s="1154"/>
      <c r="AV162" s="1154"/>
      <c r="AW162" s="1154"/>
      <c r="AX162" s="1154"/>
      <c r="AY162" s="1154"/>
      <c r="AZ162" s="1420"/>
      <c r="BA162" s="553"/>
      <c r="BB162" s="553"/>
      <c r="BC162" s="553"/>
      <c r="BD162" s="553"/>
      <c r="BE162" s="1429">
        <v>11</v>
      </c>
    </row>
    <row r="163" spans="1:57" s="1429" customFormat="1" ht="11.45" customHeight="1">
      <c r="A163" s="839"/>
      <c r="B163" s="839"/>
      <c r="C163" s="839"/>
      <c r="D163" s="839"/>
      <c r="E163" s="839"/>
      <c r="F163" s="1424"/>
      <c r="G163" s="1424"/>
      <c r="H163" s="284"/>
      <c r="AH163" s="1154"/>
      <c r="AJ163" s="1154"/>
      <c r="AK163" s="1424"/>
      <c r="AL163" s="1424"/>
      <c r="AM163" s="1154"/>
      <c r="AN163" s="1154"/>
      <c r="AO163" s="1154"/>
      <c r="AP163" s="1154"/>
      <c r="AQ163" s="1424"/>
      <c r="AR163" s="1154"/>
      <c r="AS163" s="1154"/>
      <c r="AT163" s="476"/>
      <c r="AU163" s="1154"/>
      <c r="AV163" s="1154"/>
      <c r="AW163" s="1154"/>
      <c r="AX163" s="1154"/>
      <c r="AY163" s="1154"/>
      <c r="AZ163" s="1420"/>
      <c r="BA163" s="553"/>
      <c r="BB163" s="553"/>
      <c r="BC163" s="553"/>
      <c r="BD163" s="553"/>
      <c r="BE163" s="1429">
        <v>11</v>
      </c>
    </row>
    <row r="164" spans="1:57" s="1429" customFormat="1" ht="11.45" customHeight="1">
      <c r="A164" s="839"/>
      <c r="B164" s="839"/>
      <c r="C164" s="839"/>
      <c r="D164" s="839"/>
      <c r="E164" s="839"/>
      <c r="F164" s="1424"/>
      <c r="G164" s="1424"/>
      <c r="H164" s="284"/>
      <c r="AH164" s="1154"/>
      <c r="AJ164" s="1154"/>
      <c r="AK164" s="1424"/>
      <c r="AL164" s="1424"/>
      <c r="AM164" s="1154"/>
      <c r="AN164" s="1154"/>
      <c r="AO164" s="1154"/>
      <c r="AP164" s="1154"/>
      <c r="AQ164" s="1424"/>
      <c r="AR164" s="1154"/>
      <c r="AS164" s="1154"/>
      <c r="AT164" s="476"/>
      <c r="AU164" s="1154"/>
      <c r="AV164" s="1154"/>
      <c r="AW164" s="1154"/>
      <c r="AX164" s="1154"/>
      <c r="AY164" s="1154"/>
      <c r="AZ164" s="1420"/>
      <c r="BA164" s="553"/>
      <c r="BB164" s="553"/>
      <c r="BC164" s="553"/>
      <c r="BD164" s="553"/>
      <c r="BE164" s="1429">
        <v>11</v>
      </c>
    </row>
    <row r="165" spans="1:57" s="1429" customFormat="1" ht="11.45" customHeight="1">
      <c r="A165" s="839"/>
      <c r="B165" s="839"/>
      <c r="C165" s="839"/>
      <c r="D165" s="839"/>
      <c r="E165" s="839"/>
      <c r="F165" s="1424"/>
      <c r="G165" s="1424"/>
      <c r="H165" s="284"/>
      <c r="AH165" s="1154"/>
      <c r="AJ165" s="1154"/>
      <c r="AK165" s="1424"/>
      <c r="AL165" s="1424"/>
      <c r="AM165" s="1154"/>
      <c r="AN165" s="1154"/>
      <c r="AO165" s="1154"/>
      <c r="AP165" s="1154"/>
      <c r="AQ165" s="1424"/>
      <c r="AR165" s="1154"/>
      <c r="AS165" s="1154"/>
      <c r="AT165" s="476"/>
      <c r="AU165" s="1154"/>
      <c r="AV165" s="1154"/>
      <c r="AW165" s="1154"/>
      <c r="AX165" s="1154"/>
      <c r="AY165" s="1154"/>
      <c r="AZ165" s="1420"/>
      <c r="BA165" s="553"/>
      <c r="BB165" s="553"/>
      <c r="BC165" s="553"/>
      <c r="BD165" s="553"/>
      <c r="BE165" s="1429">
        <v>11</v>
      </c>
    </row>
    <row r="166" spans="1:57" s="1429" customFormat="1" ht="11.45" customHeight="1">
      <c r="A166" s="839"/>
      <c r="B166" s="839"/>
      <c r="C166" s="839"/>
      <c r="D166" s="839"/>
      <c r="E166" s="839"/>
      <c r="F166" s="1424"/>
      <c r="G166" s="1424"/>
      <c r="H166" s="284"/>
      <c r="AH166" s="1154"/>
      <c r="AJ166" s="1154"/>
      <c r="AK166" s="1424"/>
      <c r="AL166" s="1424"/>
      <c r="AM166" s="1154"/>
      <c r="AN166" s="1154"/>
      <c r="AO166" s="1154"/>
      <c r="AP166" s="1154"/>
      <c r="AQ166" s="1424"/>
      <c r="AR166" s="1154"/>
      <c r="AS166" s="1154"/>
      <c r="AT166" s="476"/>
      <c r="AU166" s="1154"/>
      <c r="AV166" s="1154"/>
      <c r="AW166" s="1154"/>
      <c r="AX166" s="1154"/>
      <c r="AY166" s="1154"/>
      <c r="AZ166" s="1420"/>
      <c r="BA166" s="553"/>
      <c r="BB166" s="553"/>
      <c r="BC166" s="553"/>
      <c r="BD166" s="553"/>
      <c r="BE166" s="1429">
        <v>11</v>
      </c>
    </row>
    <row r="167" spans="1:57" s="1429" customFormat="1" ht="11.45" customHeight="1">
      <c r="A167" s="839"/>
      <c r="B167" s="839"/>
      <c r="C167" s="839"/>
      <c r="D167" s="839"/>
      <c r="E167" s="839"/>
      <c r="F167" s="1424"/>
      <c r="G167" s="1424"/>
      <c r="H167" s="284"/>
      <c r="AH167" s="1154"/>
      <c r="AJ167" s="1154"/>
      <c r="AK167" s="1424"/>
      <c r="AL167" s="1424"/>
      <c r="AM167" s="1154"/>
      <c r="AN167" s="1154"/>
      <c r="AO167" s="1154"/>
      <c r="AP167" s="1154"/>
      <c r="AQ167" s="1424"/>
      <c r="AR167" s="1154"/>
      <c r="AS167" s="1154"/>
      <c r="AT167" s="476"/>
      <c r="AU167" s="1154"/>
      <c r="AV167" s="1154"/>
      <c r="AW167" s="1154"/>
      <c r="AX167" s="1154"/>
      <c r="AY167" s="1154"/>
      <c r="AZ167" s="1420"/>
      <c r="BA167" s="553"/>
      <c r="BB167" s="553"/>
      <c r="BC167" s="553"/>
      <c r="BD167" s="553"/>
      <c r="BE167" s="1429">
        <v>11</v>
      </c>
    </row>
    <row r="168" spans="1:57" s="1429" customFormat="1" ht="11.45" customHeight="1">
      <c r="A168" s="839"/>
      <c r="B168" s="839"/>
      <c r="C168" s="839"/>
      <c r="D168" s="839"/>
      <c r="E168" s="839"/>
      <c r="F168" s="1424"/>
      <c r="G168" s="1424"/>
      <c r="H168" s="284"/>
      <c r="AH168" s="1154"/>
      <c r="AJ168" s="1154"/>
      <c r="AK168" s="1424"/>
      <c r="AL168" s="1424"/>
      <c r="AM168" s="1154"/>
      <c r="AN168" s="1154"/>
      <c r="AO168" s="1154"/>
      <c r="AP168" s="1154"/>
      <c r="AQ168" s="1424"/>
      <c r="AR168" s="1154"/>
      <c r="AS168" s="1154"/>
      <c r="AT168" s="476"/>
      <c r="AU168" s="1154"/>
      <c r="AV168" s="1154"/>
      <c r="AW168" s="1154"/>
      <c r="AX168" s="1154"/>
      <c r="AY168" s="1154"/>
      <c r="AZ168" s="1420"/>
      <c r="BA168" s="553"/>
      <c r="BB168" s="553"/>
      <c r="BC168" s="553"/>
      <c r="BD168" s="553"/>
      <c r="BE168" s="1429">
        <v>11</v>
      </c>
    </row>
    <row r="169" spans="1:57" s="1429" customFormat="1" ht="11.45" customHeight="1">
      <c r="A169" s="839"/>
      <c r="B169" s="839"/>
      <c r="C169" s="839"/>
      <c r="D169" s="839"/>
      <c r="E169" s="839"/>
      <c r="F169" s="1424"/>
      <c r="G169" s="1424"/>
      <c r="H169" s="284"/>
      <c r="AH169" s="1154"/>
      <c r="AJ169" s="1154"/>
      <c r="AK169" s="1424"/>
      <c r="AL169" s="1424"/>
      <c r="AM169" s="1154"/>
      <c r="AN169" s="1154"/>
      <c r="AO169" s="1154"/>
      <c r="AP169" s="1154"/>
      <c r="AQ169" s="1424"/>
      <c r="AR169" s="1154"/>
      <c r="AS169" s="1154"/>
      <c r="AT169" s="476"/>
      <c r="AU169" s="1154"/>
      <c r="AV169" s="1154"/>
      <c r="AW169" s="1154"/>
      <c r="AX169" s="1154"/>
      <c r="AY169" s="1154"/>
      <c r="AZ169" s="1420"/>
      <c r="BA169" s="553"/>
      <c r="BB169" s="553"/>
      <c r="BC169" s="553"/>
      <c r="BD169" s="553"/>
      <c r="BE169" s="1429">
        <v>11</v>
      </c>
    </row>
    <row r="170" spans="1:57" s="1429" customFormat="1" ht="11.45" customHeight="1">
      <c r="A170" s="839"/>
      <c r="B170" s="839"/>
      <c r="C170" s="839"/>
      <c r="D170" s="839"/>
      <c r="E170" s="839"/>
      <c r="F170" s="1424"/>
      <c r="G170" s="1424"/>
      <c r="H170" s="284"/>
      <c r="AH170" s="1154"/>
      <c r="AJ170" s="1154"/>
      <c r="AK170" s="1424"/>
      <c r="AL170" s="1424"/>
      <c r="AM170" s="1154"/>
      <c r="AN170" s="1154"/>
      <c r="AO170" s="1154"/>
      <c r="AP170" s="1154"/>
      <c r="AQ170" s="1424"/>
      <c r="AR170" s="1154"/>
      <c r="AS170" s="1154"/>
      <c r="AT170" s="476"/>
      <c r="AU170" s="1154"/>
      <c r="AV170" s="1154"/>
      <c r="AW170" s="1154"/>
      <c r="AX170" s="1154"/>
      <c r="AY170" s="1154"/>
      <c r="AZ170" s="1420"/>
      <c r="BA170" s="553"/>
      <c r="BB170" s="553"/>
      <c r="BC170" s="553"/>
      <c r="BD170" s="553"/>
      <c r="BE170" s="1429">
        <v>11</v>
      </c>
    </row>
    <row r="171" spans="1:57" s="1429" customFormat="1" ht="11.45" customHeight="1">
      <c r="A171" s="839"/>
      <c r="B171" s="839"/>
      <c r="C171" s="839"/>
      <c r="D171" s="839"/>
      <c r="E171" s="839"/>
      <c r="F171" s="1424"/>
      <c r="G171" s="1424"/>
      <c r="H171" s="284"/>
      <c r="AH171" s="1154"/>
      <c r="AJ171" s="1154"/>
      <c r="AK171" s="1424"/>
      <c r="AL171" s="1424"/>
      <c r="AM171" s="1154"/>
      <c r="AN171" s="1154"/>
      <c r="AO171" s="1154"/>
      <c r="AP171" s="1154"/>
      <c r="AQ171" s="1424"/>
      <c r="AR171" s="1154"/>
      <c r="AS171" s="1154"/>
      <c r="AT171" s="476"/>
      <c r="AU171" s="1154"/>
      <c r="AV171" s="1154"/>
      <c r="AW171" s="1154"/>
      <c r="AX171" s="1154"/>
      <c r="AY171" s="1154"/>
      <c r="AZ171" s="1420"/>
      <c r="BA171" s="553"/>
      <c r="BB171" s="553"/>
      <c r="BC171" s="553"/>
      <c r="BD171" s="553"/>
      <c r="BE171" s="1429">
        <v>11</v>
      </c>
    </row>
    <row r="172" spans="1:57" s="1429" customFormat="1" ht="11.45" customHeight="1">
      <c r="A172" s="839"/>
      <c r="B172" s="839"/>
      <c r="C172" s="839"/>
      <c r="D172" s="839"/>
      <c r="E172" s="839"/>
      <c r="F172" s="1424"/>
      <c r="G172" s="1424"/>
      <c r="H172" s="284"/>
      <c r="AH172" s="1154"/>
      <c r="AJ172" s="1154"/>
      <c r="AK172" s="1424"/>
      <c r="AL172" s="1424"/>
      <c r="AM172" s="1154"/>
      <c r="AN172" s="1154"/>
      <c r="AO172" s="1154"/>
      <c r="AP172" s="1154"/>
      <c r="AQ172" s="1424"/>
      <c r="AR172" s="1154"/>
      <c r="AS172" s="1154"/>
      <c r="AT172" s="476"/>
      <c r="AU172" s="1154"/>
      <c r="AV172" s="1154"/>
      <c r="AW172" s="1154"/>
      <c r="AX172" s="1154"/>
      <c r="AY172" s="1154"/>
      <c r="AZ172" s="1420"/>
      <c r="BA172" s="553"/>
      <c r="BB172" s="553"/>
      <c r="BC172" s="553"/>
      <c r="BD172" s="553"/>
      <c r="BE172" s="1429">
        <v>11</v>
      </c>
    </row>
    <row r="173" spans="1:57" s="1429" customFormat="1" ht="11.45" customHeight="1">
      <c r="A173" s="839"/>
      <c r="B173" s="839"/>
      <c r="C173" s="839"/>
      <c r="D173" s="839"/>
      <c r="E173" s="839"/>
      <c r="F173" s="1424"/>
      <c r="G173" s="1424"/>
      <c r="H173" s="284"/>
      <c r="AH173" s="1154"/>
      <c r="AJ173" s="1154"/>
      <c r="AK173" s="1424"/>
      <c r="AL173" s="1424"/>
      <c r="AM173" s="1154"/>
      <c r="AN173" s="1154"/>
      <c r="AO173" s="1154"/>
      <c r="AP173" s="1154"/>
      <c r="AQ173" s="1424"/>
      <c r="AR173" s="1154"/>
      <c r="AS173" s="1154"/>
      <c r="AT173" s="476"/>
      <c r="AU173" s="1154"/>
      <c r="AV173" s="1154"/>
      <c r="AW173" s="1154"/>
      <c r="AX173" s="1154"/>
      <c r="AY173" s="1154"/>
      <c r="AZ173" s="1420"/>
      <c r="BA173" s="553"/>
      <c r="BB173" s="553"/>
      <c r="BC173" s="553"/>
      <c r="BD173" s="553"/>
      <c r="BE173" s="1429">
        <v>11</v>
      </c>
    </row>
    <row r="174" spans="1:57" s="1429" customFormat="1" ht="11.45" customHeight="1">
      <c r="A174" s="839"/>
      <c r="B174" s="839"/>
      <c r="C174" s="839"/>
      <c r="D174" s="839"/>
      <c r="E174" s="839"/>
      <c r="F174" s="1424"/>
      <c r="G174" s="1424"/>
      <c r="H174" s="284"/>
      <c r="AH174" s="1154"/>
      <c r="AJ174" s="1154"/>
      <c r="AK174" s="1424"/>
      <c r="AL174" s="1424"/>
      <c r="AM174" s="1154"/>
      <c r="AN174" s="1154"/>
      <c r="AO174" s="1154"/>
      <c r="AP174" s="1154"/>
      <c r="AQ174" s="1424"/>
      <c r="AR174" s="1154"/>
      <c r="AS174" s="1154"/>
      <c r="AT174" s="476"/>
      <c r="AU174" s="1154"/>
      <c r="AV174" s="1154"/>
      <c r="AW174" s="1154"/>
      <c r="AX174" s="1154"/>
      <c r="AY174" s="1154"/>
      <c r="AZ174" s="1420"/>
      <c r="BA174" s="553"/>
      <c r="BB174" s="553"/>
      <c r="BC174" s="553"/>
      <c r="BD174" s="553"/>
      <c r="BE174" s="1429">
        <v>11</v>
      </c>
    </row>
    <row r="175" spans="1:57" s="1429" customFormat="1" ht="11.45" customHeight="1">
      <c r="A175" s="839"/>
      <c r="B175" s="839"/>
      <c r="C175" s="839"/>
      <c r="D175" s="839"/>
      <c r="E175" s="839"/>
      <c r="F175" s="1424"/>
      <c r="G175" s="1424"/>
      <c r="H175" s="284"/>
      <c r="AH175" s="1154"/>
      <c r="AJ175" s="1154"/>
      <c r="AK175" s="1424"/>
      <c r="AL175" s="1424"/>
      <c r="AM175" s="1154"/>
      <c r="AN175" s="1154"/>
      <c r="AO175" s="1154"/>
      <c r="AP175" s="1154"/>
      <c r="AQ175" s="1424"/>
      <c r="AR175" s="1154"/>
      <c r="AS175" s="1154"/>
      <c r="AT175" s="476"/>
      <c r="AU175" s="1154"/>
      <c r="AV175" s="1154"/>
      <c r="AW175" s="1154"/>
      <c r="AX175" s="1154"/>
      <c r="AY175" s="1154"/>
      <c r="AZ175" s="1420"/>
      <c r="BA175" s="553"/>
      <c r="BB175" s="553"/>
      <c r="BC175" s="553"/>
      <c r="BD175" s="553"/>
      <c r="BE175" s="1429">
        <v>11</v>
      </c>
    </row>
    <row r="176" spans="1:57" s="1429" customFormat="1" ht="11.45" customHeight="1">
      <c r="A176" s="839"/>
      <c r="B176" s="839"/>
      <c r="C176" s="839"/>
      <c r="D176" s="839"/>
      <c r="E176" s="839"/>
      <c r="F176" s="1424"/>
      <c r="G176" s="1424"/>
      <c r="H176" s="284"/>
      <c r="AH176" s="1154"/>
      <c r="AJ176" s="1154"/>
      <c r="AK176" s="1424"/>
      <c r="AL176" s="1424"/>
      <c r="AM176" s="1154"/>
      <c r="AN176" s="1154"/>
      <c r="AO176" s="1154"/>
      <c r="AP176" s="1154"/>
      <c r="AQ176" s="1424"/>
      <c r="AR176" s="1154"/>
      <c r="AS176" s="1154"/>
      <c r="AT176" s="476"/>
      <c r="AU176" s="1154"/>
      <c r="AV176" s="1154"/>
      <c r="AW176" s="1154"/>
      <c r="AX176" s="1154"/>
      <c r="AY176" s="1154"/>
      <c r="AZ176" s="1420"/>
      <c r="BA176" s="553"/>
      <c r="BB176" s="553"/>
      <c r="BC176" s="553"/>
      <c r="BD176" s="553"/>
      <c r="BE176" s="1429">
        <v>11</v>
      </c>
    </row>
    <row r="177" spans="1:57" s="1429" customFormat="1" ht="11.45" customHeight="1">
      <c r="A177" s="839"/>
      <c r="B177" s="839"/>
      <c r="C177" s="839"/>
      <c r="D177" s="839"/>
      <c r="E177" s="839"/>
      <c r="F177" s="1424"/>
      <c r="G177" s="1424"/>
      <c r="H177" s="284"/>
      <c r="AH177" s="1154"/>
      <c r="AJ177" s="1154"/>
      <c r="AK177" s="1424"/>
      <c r="AL177" s="1424"/>
      <c r="AM177" s="1154"/>
      <c r="AN177" s="1154"/>
      <c r="AO177" s="1154"/>
      <c r="AP177" s="1154"/>
      <c r="AQ177" s="1424"/>
      <c r="AR177" s="1154"/>
      <c r="AS177" s="1154"/>
      <c r="AT177" s="476"/>
      <c r="AU177" s="1154"/>
      <c r="AV177" s="1154"/>
      <c r="AW177" s="1154"/>
      <c r="AX177" s="1154"/>
      <c r="AY177" s="1154"/>
      <c r="AZ177" s="1420"/>
      <c r="BA177" s="553"/>
      <c r="BB177" s="553"/>
      <c r="BC177" s="553"/>
      <c r="BD177" s="553"/>
      <c r="BE177" s="1429">
        <v>11</v>
      </c>
    </row>
    <row r="178" spans="1:57" s="1429" customFormat="1" ht="11.45" customHeight="1">
      <c r="A178" s="839"/>
      <c r="B178" s="839"/>
      <c r="C178" s="839"/>
      <c r="D178" s="839"/>
      <c r="E178" s="839"/>
      <c r="F178" s="1424"/>
      <c r="G178" s="1424"/>
      <c r="H178" s="284"/>
      <c r="AH178" s="1154"/>
      <c r="AJ178" s="1154"/>
      <c r="AK178" s="1424"/>
      <c r="AL178" s="1424"/>
      <c r="AM178" s="1154"/>
      <c r="AN178" s="1154"/>
      <c r="AO178" s="1154"/>
      <c r="AP178" s="1154"/>
      <c r="AQ178" s="1424"/>
      <c r="AR178" s="1154"/>
      <c r="AS178" s="1154"/>
      <c r="AT178" s="476"/>
      <c r="AU178" s="1154"/>
      <c r="AV178" s="1154"/>
      <c r="AW178" s="1154"/>
      <c r="AX178" s="1154"/>
      <c r="AY178" s="1154"/>
      <c r="AZ178" s="1420"/>
      <c r="BA178" s="553"/>
      <c r="BB178" s="553"/>
      <c r="BC178" s="553"/>
      <c r="BD178" s="553"/>
      <c r="BE178" s="1429">
        <v>11</v>
      </c>
    </row>
    <row r="179" spans="1:57" s="1429" customFormat="1" ht="11.45" customHeight="1">
      <c r="A179" s="839"/>
      <c r="B179" s="839"/>
      <c r="C179" s="839"/>
      <c r="D179" s="839"/>
      <c r="E179" s="839"/>
      <c r="F179" s="1424"/>
      <c r="G179" s="1424"/>
      <c r="H179" s="284"/>
      <c r="AH179" s="1154"/>
      <c r="AJ179" s="1154"/>
      <c r="AK179" s="1424"/>
      <c r="AL179" s="1424"/>
      <c r="AM179" s="1154"/>
      <c r="AN179" s="1154"/>
      <c r="AO179" s="1154"/>
      <c r="AP179" s="1154"/>
      <c r="AQ179" s="1424"/>
      <c r="AR179" s="1154"/>
      <c r="AS179" s="1154"/>
      <c r="AT179" s="476"/>
      <c r="AU179" s="1154"/>
      <c r="AV179" s="1154"/>
      <c r="AW179" s="1154"/>
      <c r="AX179" s="1154"/>
      <c r="AY179" s="1154"/>
      <c r="AZ179" s="1420"/>
      <c r="BA179" s="553"/>
      <c r="BB179" s="553"/>
      <c r="BC179" s="553"/>
      <c r="BD179" s="553"/>
      <c r="BE179" s="1429">
        <v>11</v>
      </c>
    </row>
    <row r="180" spans="1:57" s="1429" customFormat="1" ht="11.45" customHeight="1">
      <c r="A180" s="839"/>
      <c r="B180" s="839"/>
      <c r="C180" s="839"/>
      <c r="D180" s="839"/>
      <c r="E180" s="839"/>
      <c r="F180" s="1424"/>
      <c r="G180" s="1424"/>
      <c r="H180" s="284"/>
      <c r="AH180" s="1154"/>
      <c r="AJ180" s="1154"/>
      <c r="AK180" s="1424"/>
      <c r="AL180" s="1424"/>
      <c r="AM180" s="1154"/>
      <c r="AN180" s="1154"/>
      <c r="AO180" s="1154"/>
      <c r="AP180" s="1154"/>
      <c r="AQ180" s="1424"/>
      <c r="AR180" s="1154"/>
      <c r="AS180" s="1154"/>
      <c r="AT180" s="476"/>
      <c r="AU180" s="1154"/>
      <c r="AV180" s="1154"/>
      <c r="AW180" s="1154"/>
      <c r="AX180" s="1154"/>
      <c r="AY180" s="1154"/>
      <c r="AZ180" s="1420"/>
      <c r="BA180" s="553"/>
      <c r="BB180" s="553"/>
      <c r="BC180" s="553"/>
      <c r="BD180" s="553"/>
      <c r="BE180" s="1429">
        <v>11</v>
      </c>
    </row>
    <row r="181" spans="1:57" s="1429" customFormat="1" ht="11.45" customHeight="1">
      <c r="A181" s="839"/>
      <c r="B181" s="839"/>
      <c r="C181" s="839"/>
      <c r="D181" s="839"/>
      <c r="E181" s="839"/>
      <c r="F181" s="1424"/>
      <c r="G181" s="1424"/>
      <c r="H181" s="284"/>
      <c r="AH181" s="1154"/>
      <c r="AJ181" s="1154"/>
      <c r="AK181" s="1424"/>
      <c r="AL181" s="1424"/>
      <c r="AM181" s="1154"/>
      <c r="AN181" s="1154"/>
      <c r="AO181" s="1154"/>
      <c r="AP181" s="1154"/>
      <c r="AQ181" s="1424"/>
      <c r="AR181" s="1154"/>
      <c r="AS181" s="1154"/>
      <c r="AT181" s="476"/>
      <c r="AU181" s="1154"/>
      <c r="AV181" s="1154"/>
      <c r="AW181" s="1154"/>
      <c r="AX181" s="1154"/>
      <c r="AY181" s="1154"/>
      <c r="AZ181" s="1420"/>
      <c r="BA181" s="553"/>
      <c r="BB181" s="553"/>
      <c r="BC181" s="553"/>
      <c r="BD181" s="553"/>
      <c r="BE181" s="1429">
        <v>11</v>
      </c>
    </row>
    <row r="182" spans="1:57" s="1429" customFormat="1" ht="11.45" customHeight="1">
      <c r="A182" s="839"/>
      <c r="B182" s="839"/>
      <c r="C182" s="839"/>
      <c r="D182" s="839"/>
      <c r="E182" s="839"/>
      <c r="F182" s="1424"/>
      <c r="G182" s="1424"/>
      <c r="H182" s="284"/>
      <c r="AH182" s="1154"/>
      <c r="AJ182" s="1154"/>
      <c r="AK182" s="1424"/>
      <c r="AL182" s="1424"/>
      <c r="AM182" s="1154"/>
      <c r="AN182" s="1154"/>
      <c r="AO182" s="1154"/>
      <c r="AP182" s="1154"/>
      <c r="AQ182" s="1424"/>
      <c r="AR182" s="1154"/>
      <c r="AS182" s="1154"/>
      <c r="AT182" s="476"/>
      <c r="AU182" s="1154"/>
      <c r="AV182" s="1154"/>
      <c r="AW182" s="1154"/>
      <c r="AX182" s="1154"/>
      <c r="AY182" s="1154"/>
      <c r="AZ182" s="1420"/>
      <c r="BA182" s="553"/>
      <c r="BB182" s="553"/>
      <c r="BC182" s="553"/>
      <c r="BD182" s="553"/>
      <c r="BE182" s="1429">
        <v>11</v>
      </c>
    </row>
    <row r="183" spans="1:57" s="1429" customFormat="1" ht="11.45" customHeight="1">
      <c r="A183" s="839"/>
      <c r="B183" s="839"/>
      <c r="C183" s="839"/>
      <c r="D183" s="839"/>
      <c r="E183" s="839"/>
      <c r="F183" s="1424"/>
      <c r="G183" s="1424"/>
      <c r="H183" s="284"/>
      <c r="AH183" s="1154"/>
      <c r="AJ183" s="1154"/>
      <c r="AK183" s="1424"/>
      <c r="AL183" s="1424"/>
      <c r="AM183" s="1154"/>
      <c r="AN183" s="1154"/>
      <c r="AO183" s="1154"/>
      <c r="AP183" s="1154"/>
      <c r="AQ183" s="1424"/>
      <c r="AR183" s="1154"/>
      <c r="AS183" s="1154"/>
      <c r="AT183" s="476"/>
      <c r="AU183" s="1154"/>
      <c r="AV183" s="1154"/>
      <c r="AW183" s="1154"/>
      <c r="AX183" s="1154"/>
      <c r="AY183" s="1154"/>
      <c r="AZ183" s="1420"/>
      <c r="BA183" s="553"/>
      <c r="BB183" s="553"/>
      <c r="BC183" s="553"/>
      <c r="BD183" s="553"/>
      <c r="BE183" s="1429">
        <v>11</v>
      </c>
    </row>
    <row r="184" spans="1:57" s="1429" customFormat="1" ht="11.45" customHeight="1">
      <c r="A184" s="839"/>
      <c r="B184" s="839"/>
      <c r="C184" s="839"/>
      <c r="D184" s="839"/>
      <c r="E184" s="839"/>
      <c r="F184" s="1424"/>
      <c r="G184" s="1424"/>
      <c r="H184" s="284"/>
      <c r="AH184" s="1154"/>
      <c r="AJ184" s="1154"/>
      <c r="AK184" s="1424"/>
      <c r="AL184" s="1424"/>
      <c r="AM184" s="1154"/>
      <c r="AN184" s="1154"/>
      <c r="AO184" s="1154"/>
      <c r="AP184" s="1154"/>
      <c r="AQ184" s="1424"/>
      <c r="AR184" s="1154"/>
      <c r="AS184" s="1154"/>
      <c r="AT184" s="476"/>
      <c r="AU184" s="1154"/>
      <c r="AV184" s="1154"/>
      <c r="AW184" s="1154"/>
      <c r="AX184" s="1154"/>
      <c r="AY184" s="1154"/>
      <c r="AZ184" s="1420"/>
      <c r="BA184" s="553"/>
      <c r="BB184" s="553"/>
      <c r="BC184" s="553"/>
      <c r="BD184" s="553"/>
      <c r="BE184" s="1429">
        <v>11</v>
      </c>
    </row>
    <row r="185" spans="1:57" s="1429" customFormat="1" ht="11.45" customHeight="1">
      <c r="A185" s="839"/>
      <c r="B185" s="839"/>
      <c r="C185" s="839"/>
      <c r="D185" s="839"/>
      <c r="E185" s="839"/>
      <c r="F185" s="1424"/>
      <c r="G185" s="1424"/>
      <c r="H185" s="284"/>
      <c r="AH185" s="1154"/>
      <c r="AJ185" s="1154"/>
      <c r="AK185" s="1424"/>
      <c r="AL185" s="1424"/>
      <c r="AM185" s="1154"/>
      <c r="AN185" s="1154"/>
      <c r="AO185" s="1154"/>
      <c r="AP185" s="1154"/>
      <c r="AQ185" s="1424"/>
      <c r="AR185" s="1154"/>
      <c r="AS185" s="1154"/>
      <c r="AT185" s="476"/>
      <c r="AU185" s="1154"/>
      <c r="AV185" s="1154"/>
      <c r="AW185" s="1154"/>
      <c r="AX185" s="1154"/>
      <c r="AY185" s="1154"/>
      <c r="AZ185" s="1420"/>
      <c r="BA185" s="553"/>
      <c r="BB185" s="553"/>
      <c r="BC185" s="553"/>
      <c r="BD185" s="553"/>
      <c r="BE185" s="1429">
        <v>11</v>
      </c>
    </row>
    <row r="186" spans="1:57" s="1429" customFormat="1" ht="11.45" customHeight="1">
      <c r="A186" s="839"/>
      <c r="B186" s="839"/>
      <c r="C186" s="839"/>
      <c r="D186" s="839"/>
      <c r="E186" s="839"/>
      <c r="F186" s="1424"/>
      <c r="G186" s="1424"/>
      <c r="H186" s="284"/>
      <c r="AH186" s="1154"/>
      <c r="AJ186" s="1154"/>
      <c r="AK186" s="1424"/>
      <c r="AL186" s="1424"/>
      <c r="AM186" s="1154"/>
      <c r="AN186" s="1154"/>
      <c r="AO186" s="1154"/>
      <c r="AP186" s="1154"/>
      <c r="AQ186" s="1424"/>
      <c r="AR186" s="1154"/>
      <c r="AS186" s="1154"/>
      <c r="AT186" s="476"/>
      <c r="AU186" s="1154"/>
      <c r="AV186" s="1154"/>
      <c r="AW186" s="1154"/>
      <c r="AX186" s="1154"/>
      <c r="AY186" s="1154"/>
      <c r="AZ186" s="1420"/>
      <c r="BA186" s="553"/>
      <c r="BB186" s="553"/>
      <c r="BC186" s="553"/>
      <c r="BD186" s="553"/>
      <c r="BE186" s="1429">
        <v>11</v>
      </c>
    </row>
    <row r="187" spans="1:57" s="1429" customFormat="1" ht="11.45" customHeight="1">
      <c r="A187" s="839"/>
      <c r="B187" s="839"/>
      <c r="C187" s="839"/>
      <c r="D187" s="839"/>
      <c r="E187" s="839"/>
      <c r="F187" s="1424"/>
      <c r="G187" s="1424"/>
      <c r="H187" s="284"/>
      <c r="AH187" s="1154"/>
      <c r="AJ187" s="1154"/>
      <c r="AK187" s="1424"/>
      <c r="AL187" s="1424"/>
      <c r="AM187" s="1154"/>
      <c r="AN187" s="1154"/>
      <c r="AO187" s="1154"/>
      <c r="AP187" s="1154"/>
      <c r="AQ187" s="1424"/>
      <c r="AR187" s="1154"/>
      <c r="AS187" s="1154"/>
      <c r="AT187" s="476"/>
      <c r="AU187" s="1154"/>
      <c r="AV187" s="1154"/>
      <c r="AW187" s="1154"/>
      <c r="AX187" s="1154"/>
      <c r="AY187" s="1154"/>
      <c r="AZ187" s="1420"/>
      <c r="BA187" s="553"/>
      <c r="BB187" s="553"/>
      <c r="BC187" s="553"/>
      <c r="BD187" s="553"/>
      <c r="BE187" s="1429">
        <v>11</v>
      </c>
    </row>
    <row r="188" spans="1:57" s="1429" customFormat="1" ht="11.45" customHeight="1">
      <c r="A188" s="839"/>
      <c r="B188" s="839"/>
      <c r="C188" s="839"/>
      <c r="D188" s="839"/>
      <c r="E188" s="839"/>
      <c r="F188" s="1424"/>
      <c r="G188" s="1424"/>
      <c r="H188" s="284"/>
      <c r="AH188" s="1154"/>
      <c r="AJ188" s="1154"/>
      <c r="AK188" s="1424"/>
      <c r="AL188" s="1424"/>
      <c r="AM188" s="1154"/>
      <c r="AN188" s="1154"/>
      <c r="AO188" s="1154"/>
      <c r="AP188" s="1154"/>
      <c r="AQ188" s="1424"/>
      <c r="AR188" s="1154"/>
      <c r="AS188" s="1154"/>
      <c r="AT188" s="476"/>
      <c r="AU188" s="1154"/>
      <c r="AV188" s="1154"/>
      <c r="AW188" s="1154"/>
      <c r="AX188" s="1154"/>
      <c r="AY188" s="1154"/>
      <c r="AZ188" s="1420"/>
      <c r="BA188" s="553"/>
      <c r="BB188" s="553"/>
      <c r="BC188" s="553"/>
      <c r="BD188" s="553"/>
      <c r="BE188" s="1429">
        <v>11</v>
      </c>
    </row>
    <row r="189" spans="1:57" s="1429" customFormat="1" ht="11.45" customHeight="1">
      <c r="A189" s="839"/>
      <c r="B189" s="839"/>
      <c r="C189" s="839"/>
      <c r="D189" s="839"/>
      <c r="E189" s="839"/>
      <c r="F189" s="1424"/>
      <c r="G189" s="1424"/>
      <c r="H189" s="284"/>
      <c r="AH189" s="1154"/>
      <c r="AJ189" s="1154"/>
      <c r="AK189" s="1424"/>
      <c r="AL189" s="1424"/>
      <c r="AM189" s="1154"/>
      <c r="AN189" s="1154"/>
      <c r="AO189" s="1154"/>
      <c r="AP189" s="1154"/>
      <c r="AQ189" s="1424"/>
      <c r="AR189" s="1154"/>
      <c r="AS189" s="1154"/>
      <c r="AT189" s="476"/>
      <c r="AU189" s="1154"/>
      <c r="AV189" s="1154"/>
      <c r="AW189" s="1154"/>
      <c r="AX189" s="1154"/>
      <c r="AY189" s="1154"/>
      <c r="AZ189" s="1420"/>
      <c r="BA189" s="553"/>
      <c r="BB189" s="553"/>
      <c r="BC189" s="553"/>
      <c r="BD189" s="553"/>
      <c r="BE189" s="1429">
        <v>11</v>
      </c>
    </row>
    <row r="190" spans="1:57" ht="11.45" customHeight="1">
      <c r="BE190" s="1419">
        <v>11</v>
      </c>
    </row>
    <row r="191" spans="1:57" ht="11.45" customHeight="1">
      <c r="BE191" s="1419">
        <v>11</v>
      </c>
    </row>
    <row r="192" spans="1:57" ht="11.45" customHeight="1">
      <c r="BE192" s="1419">
        <v>11</v>
      </c>
    </row>
    <row r="193" spans="1:57" ht="11.45" customHeight="1">
      <c r="A193" s="842"/>
      <c r="B193" s="842"/>
      <c r="C193" s="842"/>
      <c r="D193" s="842"/>
      <c r="E193" s="842"/>
      <c r="F193" s="1419"/>
      <c r="H193" s="1419"/>
      <c r="AH193" s="1419"/>
      <c r="AJ193" s="1419"/>
      <c r="AM193" s="1419"/>
      <c r="AN193" s="1419"/>
      <c r="AO193" s="1419"/>
      <c r="AP193" s="1419"/>
      <c r="AR193" s="1419"/>
      <c r="AS193" s="1419"/>
      <c r="AT193" s="1419"/>
      <c r="AU193" s="1419"/>
      <c r="AV193" s="1419"/>
      <c r="AW193" s="1419"/>
      <c r="AX193" s="1419"/>
      <c r="AY193" s="1419"/>
      <c r="AZ193" s="1419"/>
      <c r="BA193" s="1419"/>
      <c r="BB193" s="1419"/>
      <c r="BC193" s="1419"/>
      <c r="BD193" s="1419"/>
      <c r="BE193" s="1419">
        <v>11</v>
      </c>
    </row>
    <row r="194" spans="1:57" ht="11.45" customHeight="1">
      <c r="A194" s="842"/>
      <c r="B194" s="842"/>
      <c r="C194" s="842"/>
      <c r="D194" s="842"/>
      <c r="E194" s="842"/>
      <c r="F194" s="1419"/>
      <c r="H194" s="1419"/>
      <c r="AH194" s="1419"/>
      <c r="AJ194" s="1419"/>
      <c r="AM194" s="1419"/>
      <c r="AN194" s="1419"/>
      <c r="AO194" s="1419"/>
      <c r="AP194" s="1419"/>
      <c r="AR194" s="1419"/>
      <c r="AS194" s="1419"/>
      <c r="AT194" s="1419"/>
      <c r="AU194" s="1419"/>
      <c r="AV194" s="1419"/>
      <c r="AW194" s="1419"/>
      <c r="AX194" s="1419"/>
      <c r="AY194" s="1419"/>
      <c r="AZ194" s="1419"/>
      <c r="BA194" s="1419"/>
      <c r="BB194" s="1419"/>
      <c r="BC194" s="1419"/>
      <c r="BD194" s="1419"/>
      <c r="BE194" s="1419">
        <v>11</v>
      </c>
    </row>
    <row r="195" spans="1:57" ht="11.45" customHeight="1">
      <c r="A195" s="842"/>
      <c r="B195" s="842"/>
      <c r="C195" s="842"/>
      <c r="D195" s="842"/>
      <c r="E195" s="842"/>
      <c r="F195" s="1419"/>
      <c r="H195" s="1419"/>
      <c r="AH195" s="1419"/>
      <c r="AJ195" s="1419"/>
      <c r="AM195" s="1419"/>
      <c r="AN195" s="1419"/>
      <c r="AO195" s="1419"/>
      <c r="AP195" s="1419"/>
      <c r="AR195" s="1419"/>
      <c r="AS195" s="1419"/>
      <c r="AT195" s="1419"/>
      <c r="AU195" s="1419"/>
      <c r="AV195" s="1419"/>
      <c r="AW195" s="1419"/>
      <c r="AX195" s="1419"/>
      <c r="AY195" s="1419"/>
      <c r="AZ195" s="1419"/>
      <c r="BA195" s="1419"/>
      <c r="BB195" s="1419"/>
      <c r="BC195" s="1419"/>
      <c r="BD195" s="1419"/>
      <c r="BE195" s="1419">
        <v>11</v>
      </c>
    </row>
    <row r="196" spans="1:57" ht="11.45" customHeight="1">
      <c r="A196" s="842"/>
      <c r="B196" s="842"/>
      <c r="C196" s="842"/>
      <c r="D196" s="842"/>
      <c r="E196" s="842"/>
      <c r="F196" s="1419"/>
      <c r="H196" s="1419"/>
      <c r="AH196" s="1419"/>
      <c r="AJ196" s="1419"/>
      <c r="AM196" s="1419"/>
      <c r="AN196" s="1419"/>
      <c r="AO196" s="1419"/>
      <c r="AP196" s="1419"/>
      <c r="AR196" s="1419"/>
      <c r="AS196" s="1419"/>
      <c r="AT196" s="1419"/>
      <c r="AU196" s="1419"/>
      <c r="AV196" s="1419"/>
      <c r="AW196" s="1419"/>
      <c r="AX196" s="1419"/>
      <c r="AY196" s="1419"/>
      <c r="AZ196" s="1419"/>
      <c r="BA196" s="1419"/>
      <c r="BB196" s="1419"/>
      <c r="BC196" s="1419"/>
      <c r="BD196" s="1419"/>
      <c r="BE196" s="1419">
        <v>11</v>
      </c>
    </row>
    <row r="197" spans="1:57" ht="11.45" customHeight="1">
      <c r="A197" s="842"/>
      <c r="B197" s="842"/>
      <c r="C197" s="842"/>
      <c r="D197" s="842"/>
      <c r="E197" s="842"/>
      <c r="F197" s="1419"/>
      <c r="H197" s="1419"/>
      <c r="AH197" s="1419"/>
      <c r="AJ197" s="1419"/>
      <c r="AM197" s="1419"/>
      <c r="AN197" s="1419"/>
      <c r="AO197" s="1419"/>
      <c r="AP197" s="1419"/>
      <c r="AR197" s="1419"/>
      <c r="AS197" s="1419"/>
      <c r="AT197" s="1419"/>
      <c r="AU197" s="1419"/>
      <c r="AV197" s="1419"/>
      <c r="AW197" s="1419"/>
      <c r="AX197" s="1419"/>
      <c r="AY197" s="1419"/>
      <c r="AZ197" s="1419"/>
      <c r="BA197" s="1419"/>
      <c r="BB197" s="1419"/>
      <c r="BC197" s="1419"/>
      <c r="BD197" s="1419"/>
      <c r="BE197" s="1419">
        <v>11</v>
      </c>
    </row>
    <row r="198" spans="1:57" ht="11.45" customHeight="1">
      <c r="A198" s="842"/>
      <c r="B198" s="842"/>
      <c r="C198" s="842"/>
      <c r="D198" s="842"/>
      <c r="E198" s="842"/>
      <c r="F198" s="1419"/>
      <c r="H198" s="1419"/>
      <c r="AH198" s="1419"/>
      <c r="AJ198" s="1419"/>
      <c r="AM198" s="1419"/>
      <c r="AN198" s="1419"/>
      <c r="AO198" s="1419"/>
      <c r="AP198" s="1419"/>
      <c r="AR198" s="1419"/>
      <c r="AS198" s="1419"/>
      <c r="AT198" s="1419"/>
      <c r="AU198" s="1419"/>
      <c r="AV198" s="1419"/>
      <c r="AW198" s="1419"/>
      <c r="AX198" s="1419"/>
      <c r="AY198" s="1419"/>
      <c r="AZ198" s="1419"/>
      <c r="BA198" s="1419"/>
      <c r="BB198" s="1419"/>
      <c r="BC198" s="1419"/>
      <c r="BD198" s="1419"/>
      <c r="BE198" s="1419">
        <v>11</v>
      </c>
    </row>
    <row r="199" spans="1:57" ht="11.45" customHeight="1">
      <c r="A199" s="842"/>
      <c r="B199" s="842"/>
      <c r="C199" s="842"/>
      <c r="D199" s="842"/>
      <c r="E199" s="842"/>
      <c r="F199" s="1419"/>
      <c r="H199" s="1419"/>
      <c r="AH199" s="1419"/>
      <c r="AJ199" s="1419"/>
      <c r="AM199" s="1419"/>
      <c r="AN199" s="1419"/>
      <c r="AO199" s="1419"/>
      <c r="AP199" s="1419"/>
      <c r="AR199" s="1419"/>
      <c r="AS199" s="1419"/>
      <c r="AT199" s="1419"/>
      <c r="AU199" s="1419"/>
      <c r="AV199" s="1419"/>
      <c r="AW199" s="1419"/>
      <c r="AX199" s="1419"/>
      <c r="AY199" s="1419"/>
      <c r="AZ199" s="1419"/>
      <c r="BA199" s="1419"/>
      <c r="BB199" s="1419"/>
      <c r="BC199" s="1419"/>
      <c r="BD199" s="1419"/>
      <c r="BE199" s="1419">
        <v>11</v>
      </c>
    </row>
    <row r="200" spans="1:57" ht="11.45" customHeight="1">
      <c r="A200" s="842"/>
      <c r="B200" s="842"/>
      <c r="C200" s="842"/>
      <c r="D200" s="842"/>
      <c r="E200" s="842"/>
      <c r="F200" s="1419"/>
      <c r="H200" s="1419"/>
      <c r="AH200" s="1419"/>
      <c r="AJ200" s="1419"/>
      <c r="AM200" s="1419"/>
      <c r="AN200" s="1419"/>
      <c r="AO200" s="1419"/>
      <c r="AP200" s="1419"/>
      <c r="AR200" s="1419"/>
      <c r="AS200" s="1419"/>
      <c r="AT200" s="1419"/>
      <c r="AU200" s="1419"/>
      <c r="AV200" s="1419"/>
      <c r="AW200" s="1419"/>
      <c r="AX200" s="1419"/>
      <c r="AY200" s="1419"/>
      <c r="AZ200" s="1419"/>
      <c r="BA200" s="1419"/>
      <c r="BB200" s="1419"/>
      <c r="BC200" s="1419"/>
      <c r="BD200" s="1419"/>
      <c r="BE200" s="1419">
        <v>11</v>
      </c>
    </row>
    <row r="201" spans="1:57" ht="11.45" customHeight="1">
      <c r="A201" s="842"/>
      <c r="B201" s="842"/>
      <c r="C201" s="842"/>
      <c r="D201" s="842"/>
      <c r="E201" s="842"/>
      <c r="F201" s="1419"/>
      <c r="H201" s="1419"/>
      <c r="AH201" s="1419"/>
      <c r="AJ201" s="1419"/>
      <c r="AM201" s="1419"/>
      <c r="AN201" s="1419"/>
      <c r="AO201" s="1419"/>
      <c r="AP201" s="1419"/>
      <c r="AR201" s="1419"/>
      <c r="AS201" s="1419"/>
      <c r="AT201" s="1419"/>
      <c r="AU201" s="1419"/>
      <c r="AV201" s="1419"/>
      <c r="AW201" s="1419"/>
      <c r="AX201" s="1419"/>
      <c r="AY201" s="1419"/>
      <c r="AZ201" s="1419"/>
      <c r="BA201" s="1419"/>
      <c r="BB201" s="1419"/>
      <c r="BC201" s="1419"/>
      <c r="BD201" s="1419"/>
      <c r="BE201" s="1419">
        <v>11</v>
      </c>
    </row>
    <row r="202" spans="1:57" ht="11.45" customHeight="1">
      <c r="A202" s="842"/>
      <c r="B202" s="842"/>
      <c r="C202" s="842"/>
      <c r="D202" s="842"/>
      <c r="E202" s="842"/>
      <c r="F202" s="1419"/>
      <c r="H202" s="1419"/>
      <c r="AH202" s="1419"/>
      <c r="AJ202" s="1419"/>
      <c r="AM202" s="1419"/>
      <c r="AN202" s="1419"/>
      <c r="AO202" s="1419"/>
      <c r="AP202" s="1419"/>
      <c r="AR202" s="1419"/>
      <c r="AS202" s="1419"/>
      <c r="AT202" s="1419"/>
      <c r="AU202" s="1419"/>
      <c r="AV202" s="1419"/>
      <c r="AW202" s="1419"/>
      <c r="AX202" s="1419"/>
      <c r="AY202" s="1419"/>
      <c r="AZ202" s="1419"/>
      <c r="BA202" s="1419"/>
      <c r="BB202" s="1419"/>
      <c r="BC202" s="1419"/>
      <c r="BD202" s="1419"/>
      <c r="BE202" s="1419">
        <v>11</v>
      </c>
    </row>
    <row r="203" spans="1:57" ht="11.45" customHeight="1">
      <c r="A203" s="842"/>
      <c r="B203" s="842"/>
      <c r="C203" s="842"/>
      <c r="D203" s="842"/>
      <c r="E203" s="842"/>
      <c r="F203" s="1419"/>
      <c r="H203" s="1419"/>
      <c r="AH203" s="1419"/>
      <c r="AJ203" s="1419"/>
      <c r="AM203" s="1419"/>
      <c r="AN203" s="1419"/>
      <c r="AO203" s="1419"/>
      <c r="AP203" s="1419"/>
      <c r="AR203" s="1419"/>
      <c r="AS203" s="1419"/>
      <c r="AT203" s="1419"/>
      <c r="AU203" s="1419"/>
      <c r="AV203" s="1419"/>
      <c r="AW203" s="1419"/>
      <c r="AX203" s="1419"/>
      <c r="AY203" s="1419"/>
      <c r="AZ203" s="1419"/>
      <c r="BA203" s="1419"/>
      <c r="BB203" s="1419"/>
      <c r="BC203" s="1419"/>
      <c r="BD203" s="1419"/>
      <c r="BE203" s="1419">
        <v>11</v>
      </c>
    </row>
    <row r="204" spans="1:57" ht="12.75" hidden="1" customHeight="1">
      <c r="A204" s="839" t="s">
        <v>69</v>
      </c>
      <c r="B204" s="839" t="s">
        <v>138</v>
      </c>
      <c r="C204" s="839" t="s">
        <v>138</v>
      </c>
      <c r="D204" s="839" t="s">
        <v>138</v>
      </c>
      <c r="E204" s="839" t="s">
        <v>138</v>
      </c>
      <c r="F204" s="1423">
        <v>16</v>
      </c>
      <c r="G204" s="1424">
        <v>0</v>
      </c>
      <c r="H204" s="1423">
        <v>3</v>
      </c>
      <c r="I204" s="1419">
        <v>7</v>
      </c>
      <c r="J204" s="1419">
        <v>56</v>
      </c>
      <c r="K204" s="1419">
        <v>10</v>
      </c>
      <c r="L204" s="1419">
        <v>40</v>
      </c>
      <c r="M204" s="1419">
        <v>40</v>
      </c>
      <c r="N204" s="1423">
        <v>40</v>
      </c>
      <c r="O204" s="1423">
        <v>40</v>
      </c>
      <c r="P204" s="1423">
        <v>40</v>
      </c>
      <c r="Q204" s="1423">
        <v>40</v>
      </c>
      <c r="R204" s="1423">
        <v>40</v>
      </c>
      <c r="S204" s="1423">
        <v>40</v>
      </c>
      <c r="T204" s="1423">
        <v>40</v>
      </c>
      <c r="U204" s="1423">
        <v>40</v>
      </c>
      <c r="V204" s="1423">
        <v>40</v>
      </c>
      <c r="W204" s="1423">
        <v>40</v>
      </c>
      <c r="X204" s="1423">
        <v>40</v>
      </c>
      <c r="Y204" s="1423">
        <v>40</v>
      </c>
      <c r="Z204" s="1423">
        <v>40</v>
      </c>
      <c r="AA204" s="1423">
        <v>40</v>
      </c>
      <c r="AB204" s="1423">
        <v>40</v>
      </c>
      <c r="AC204" s="1423">
        <v>40</v>
      </c>
      <c r="AD204" s="1423">
        <v>40</v>
      </c>
      <c r="AE204" s="1423">
        <v>40</v>
      </c>
      <c r="AF204" s="1423">
        <v>40</v>
      </c>
      <c r="AG204" s="1423">
        <v>40</v>
      </c>
      <c r="AH204" s="1154">
        <v>9</v>
      </c>
      <c r="AI204" s="1419">
        <v>102</v>
      </c>
      <c r="AJ204" s="1154">
        <v>9</v>
      </c>
      <c r="AK204" s="1424">
        <v>5</v>
      </c>
      <c r="AL204" s="1424">
        <v>3</v>
      </c>
      <c r="AM204" s="1154">
        <v>3</v>
      </c>
      <c r="AN204" s="1154">
        <v>3</v>
      </c>
      <c r="AO204" s="1154">
        <v>3</v>
      </c>
      <c r="AP204" s="1154">
        <v>3</v>
      </c>
      <c r="AQ204" s="1424">
        <v>10</v>
      </c>
      <c r="AR204" s="1154">
        <v>34</v>
      </c>
      <c r="AS204" s="1154">
        <v>9</v>
      </c>
      <c r="AT204" s="476">
        <v>8</v>
      </c>
      <c r="AU204" s="1154">
        <v>8</v>
      </c>
      <c r="AV204" s="1154">
        <v>8</v>
      </c>
      <c r="AW204" s="1154">
        <v>8</v>
      </c>
      <c r="AX204" s="1154">
        <v>8</v>
      </c>
      <c r="AY204" s="1154">
        <v>8</v>
      </c>
      <c r="AZ204" s="1420">
        <v>8</v>
      </c>
      <c r="BA204" s="1420">
        <v>8</v>
      </c>
      <c r="BB204" s="1420">
        <v>8</v>
      </c>
      <c r="BC204" s="1420">
        <v>8</v>
      </c>
      <c r="BD204" s="1420">
        <v>8</v>
      </c>
      <c r="BE204" s="1419">
        <v>11</v>
      </c>
    </row>
  </sheetData>
  <sheetProtection insertRows="0" deleteColumns="0" deleteRows="0" sort="0" autoFilter="0"/>
  <mergeCells count="7">
    <mergeCell ref="I6:M6"/>
    <mergeCell ref="I7:M7"/>
    <mergeCell ref="J10:K10"/>
    <mergeCell ref="AI10:AI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AG15 L34:AG34">
      <formula1>900</formula1>
    </dataValidation>
    <dataValidation type="whole" allowBlank="1" showErrorMessage="1" errorTitle="Ошибка" error="Допускается ввод только неотрицательных целых чисел!" sqref="L30:AG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AG17">
      <formula1>900</formula1>
    </dataValidation>
    <dataValidation type="decimal" allowBlank="1" showErrorMessage="1" errorTitle="Ошибка" error="Допускается ввод только неотрицательных чисел!" sqref="L32:AG33 L19:AG29 L16:AG16 L2:AG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423" hidden="1"/>
    <col min="5" max="5" width="9.140625" style="1857" hidden="1" customWidth="1"/>
    <col min="6" max="7" width="9.140625" style="1154" hidden="1" customWidth="1"/>
    <col min="8" max="8" width="3" style="278" customWidth="1"/>
    <col min="9" max="9" width="6" style="1423" customWidth="1"/>
    <col min="10" max="10" width="63" style="1423" customWidth="1"/>
    <col min="11" max="11" width="9" style="1423" customWidth="1"/>
    <col min="12" max="12" width="39" style="1423" customWidth="1"/>
    <col min="13" max="13" width="89" style="1423" customWidth="1"/>
    <col min="14" max="14" width="10" style="1423" customWidth="1"/>
    <col min="15" max="16" width="10" style="1412" customWidth="1"/>
    <col min="17" max="22" width="10" style="1423" customWidth="1"/>
    <col min="23" max="23" width="10.5703125" style="1423" hidden="1"/>
  </cols>
  <sheetData>
    <row r="1" spans="1:23" ht="22.5" hidden="1" customHeight="1">
      <c r="S1" s="189"/>
      <c r="T1" s="189"/>
      <c r="V1" s="189"/>
      <c r="W1" s="1419" t="s">
        <v>1</v>
      </c>
    </row>
    <row r="2" spans="1:23" ht="22.5" hidden="1" customHeight="1">
      <c r="B2" s="1803" t="s">
        <v>802</v>
      </c>
      <c r="C2" s="1803" t="s">
        <v>803</v>
      </c>
      <c r="D2" s="1802" t="s">
        <v>742</v>
      </c>
      <c r="E2" s="1808">
        <f>I2-3</f>
        <v>-3</v>
      </c>
      <c r="F2" s="1808">
        <f>J2</f>
        <v>0</v>
      </c>
      <c r="H2" s="1489" t="s">
        <v>90</v>
      </c>
      <c r="I2" s="1774"/>
      <c r="J2" s="1469"/>
      <c r="K2" s="1768" t="s">
        <v>390</v>
      </c>
      <c r="L2" s="965"/>
      <c r="M2" s="231"/>
      <c r="N2" s="1412"/>
      <c r="P2" s="1419"/>
      <c r="W2" s="1419">
        <v>0</v>
      </c>
    </row>
    <row r="3" spans="1:23" ht="14.25" hidden="1" customHeight="1">
      <c r="W3" s="1419">
        <v>0</v>
      </c>
    </row>
    <row r="4" spans="1:23" ht="6.4" customHeight="1">
      <c r="H4" s="309"/>
      <c r="I4" s="390"/>
      <c r="J4" s="390"/>
      <c r="K4" s="390"/>
      <c r="L4" s="23"/>
      <c r="M4" s="23"/>
      <c r="W4" s="1419">
        <v>6</v>
      </c>
    </row>
    <row r="5" spans="1:23" ht="50.25" customHeight="1">
      <c r="H5" s="309"/>
      <c r="I5" s="2376" t="s">
        <v>804</v>
      </c>
      <c r="J5" s="2376"/>
      <c r="K5" s="2376"/>
      <c r="L5" s="2376"/>
      <c r="M5" s="200"/>
      <c r="W5" s="1419">
        <v>48</v>
      </c>
    </row>
    <row r="6" spans="1:23" ht="18" customHeight="1">
      <c r="H6" s="309"/>
      <c r="I6" s="2349" t="str">
        <f>IF(org=0,"Не определено",org)</f>
        <v>ООО "Смоленскрегионтеплоэнерго"</v>
      </c>
      <c r="J6" s="2349"/>
      <c r="K6" s="2349"/>
      <c r="L6" s="2349"/>
      <c r="M6" s="200"/>
      <c r="W6" s="1419">
        <v>17</v>
      </c>
    </row>
    <row r="7" spans="1:23" ht="14.65" customHeight="1">
      <c r="H7" s="309"/>
      <c r="I7" s="390"/>
      <c r="J7" s="396"/>
      <c r="K7" s="396"/>
      <c r="L7" s="659"/>
      <c r="M7" s="127"/>
      <c r="W7" s="1419">
        <v>14</v>
      </c>
    </row>
    <row r="8" spans="1:23" ht="14.65" customHeight="1">
      <c r="H8" s="309"/>
      <c r="I8" s="2501" t="s">
        <v>384</v>
      </c>
      <c r="J8" s="2502"/>
      <c r="K8" s="2502"/>
      <c r="L8" s="2503"/>
      <c r="M8" s="2504" t="s">
        <v>385</v>
      </c>
      <c r="W8" s="1419">
        <v>14</v>
      </c>
    </row>
    <row r="9" spans="1:23" ht="35.65" customHeight="1">
      <c r="E9" s="1801" t="s">
        <v>733</v>
      </c>
      <c r="F9" s="1801" t="s">
        <v>739</v>
      </c>
      <c r="H9" s="309"/>
      <c r="I9" s="1775" t="s">
        <v>75</v>
      </c>
      <c r="J9" s="1776" t="s">
        <v>386</v>
      </c>
      <c r="K9" s="1814" t="s">
        <v>650</v>
      </c>
      <c r="L9" s="1815" t="s">
        <v>387</v>
      </c>
      <c r="M9" s="2504"/>
      <c r="W9" s="1419">
        <v>34</v>
      </c>
    </row>
    <row r="10" spans="1:23" ht="35.65" customHeight="1">
      <c r="B10" s="1803" t="s">
        <v>805</v>
      </c>
      <c r="C10" s="1803" t="s">
        <v>806</v>
      </c>
      <c r="D10" s="1802" t="s">
        <v>742</v>
      </c>
      <c r="E10" s="1806" t="s">
        <v>743</v>
      </c>
      <c r="F10" s="1806" t="s">
        <v>743</v>
      </c>
      <c r="H10" s="309"/>
      <c r="I10" s="1774" t="s">
        <v>161</v>
      </c>
      <c r="J10" s="1639" t="s">
        <v>807</v>
      </c>
      <c r="K10" s="1768" t="s">
        <v>390</v>
      </c>
      <c r="L10" s="717"/>
      <c r="M10" s="231" t="s">
        <v>808</v>
      </c>
      <c r="W10" s="1419">
        <v>34</v>
      </c>
    </row>
    <row r="11" spans="1:23" ht="50.25" customHeight="1">
      <c r="B11" s="1803" t="s">
        <v>809</v>
      </c>
      <c r="C11" s="1803" t="s">
        <v>810</v>
      </c>
      <c r="D11" s="1802" t="s">
        <v>742</v>
      </c>
      <c r="E11" s="1806" t="s">
        <v>743</v>
      </c>
      <c r="F11" s="1806" t="s">
        <v>743</v>
      </c>
      <c r="H11" s="309"/>
      <c r="I11" s="1774" t="s">
        <v>89</v>
      </c>
      <c r="J11" s="1639" t="s">
        <v>811</v>
      </c>
      <c r="K11" s="1768" t="s">
        <v>390</v>
      </c>
      <c r="L11" s="717"/>
      <c r="M11" s="231" t="s">
        <v>808</v>
      </c>
      <c r="W11" s="1419">
        <v>48</v>
      </c>
    </row>
    <row r="12" spans="1:23" ht="48.2" customHeight="1">
      <c r="B12" s="1803" t="s">
        <v>812</v>
      </c>
      <c r="C12" s="1803" t="s">
        <v>813</v>
      </c>
      <c r="D12" s="1802" t="s">
        <v>742</v>
      </c>
      <c r="E12" s="1806" t="s">
        <v>743</v>
      </c>
      <c r="F12" s="1806" t="s">
        <v>743</v>
      </c>
      <c r="H12" s="1475"/>
      <c r="I12" s="1774" t="s">
        <v>77</v>
      </c>
      <c r="J12" s="1781" t="s">
        <v>814</v>
      </c>
      <c r="K12" s="1768" t="s">
        <v>390</v>
      </c>
      <c r="L12" s="717"/>
      <c r="M12" s="231" t="s">
        <v>815</v>
      </c>
      <c r="N12" s="1412"/>
      <c r="P12" s="1419"/>
      <c r="W12" s="1419">
        <v>46</v>
      </c>
    </row>
    <row r="13" spans="1:23" ht="14.65" customHeight="1">
      <c r="E13" s="277"/>
      <c r="H13" s="309"/>
      <c r="I13" s="281"/>
      <c r="J13" s="582" t="s">
        <v>816</v>
      </c>
      <c r="K13" s="503"/>
      <c r="L13" s="148"/>
      <c r="M13" s="231"/>
      <c r="W13" s="1419">
        <v>14</v>
      </c>
    </row>
    <row r="14" spans="1:23" ht="14.65" customHeight="1">
      <c r="E14" s="277"/>
      <c r="H14" s="309"/>
      <c r="I14" s="892"/>
      <c r="J14" s="1464"/>
      <c r="K14" s="1465"/>
      <c r="L14" s="1466"/>
      <c r="M14" s="1778"/>
      <c r="W14" s="1419">
        <v>14</v>
      </c>
    </row>
    <row r="15" spans="1:23" ht="14.65" customHeight="1">
      <c r="I15" s="1468"/>
      <c r="J15" s="2394"/>
      <c r="K15" s="2394"/>
      <c r="L15" s="2394"/>
      <c r="M15" s="2394"/>
      <c r="W15" s="1419">
        <v>14</v>
      </c>
    </row>
    <row r="16" spans="1:23" ht="21" hidden="1" customHeight="1">
      <c r="A16" s="1780" t="s">
        <v>69</v>
      </c>
      <c r="B16" s="1419">
        <v>9</v>
      </c>
      <c r="C16" s="1419">
        <v>9</v>
      </c>
      <c r="D16" s="1419">
        <v>9</v>
      </c>
      <c r="E16" s="1780" t="s">
        <v>133</v>
      </c>
      <c r="F16" s="1805" t="s">
        <v>133</v>
      </c>
      <c r="G16" s="1807"/>
      <c r="H16" s="278">
        <v>3</v>
      </c>
      <c r="I16" s="1419">
        <v>6</v>
      </c>
      <c r="J16" s="1419">
        <v>63</v>
      </c>
      <c r="K16" s="1419">
        <v>9</v>
      </c>
      <c r="L16" s="1419">
        <v>39</v>
      </c>
      <c r="M16" s="1419">
        <v>89</v>
      </c>
      <c r="N16" s="1419">
        <v>10</v>
      </c>
      <c r="O16" s="1412">
        <v>10</v>
      </c>
      <c r="P16" s="1412">
        <v>10</v>
      </c>
      <c r="Q16" s="1419">
        <v>10</v>
      </c>
      <c r="R16" s="1419">
        <v>10</v>
      </c>
      <c r="S16" s="1419">
        <v>10</v>
      </c>
      <c r="T16" s="1419">
        <v>10</v>
      </c>
      <c r="U16" s="1419">
        <v>10</v>
      </c>
      <c r="V16" s="1419">
        <v>10</v>
      </c>
      <c r="W16" s="141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Z219"/>
  <sheetViews>
    <sheetView showGridLines="0" zoomScale="90" workbookViewId="0">
      <pane xSplit="8" ySplit="14" topLeftCell="AC15" activePane="bottomRight" state="frozen"/>
      <selection pane="topRight" activeCell="I1" sqref="I1"/>
      <selection pane="bottomLeft" activeCell="A15" sqref="A15"/>
      <selection pane="bottomRight" activeCell="AC9" sqref="AC9"/>
    </sheetView>
  </sheetViews>
  <sheetFormatPr defaultColWidth="9.140625" defaultRowHeight="11.25" customHeight="1"/>
  <cols>
    <col min="1" max="1" width="10.7109375" style="839" hidden="1" customWidth="1"/>
    <col min="2" max="2" width="16.85546875" style="1154" hidden="1" customWidth="1"/>
    <col min="3" max="3" width="5.5703125" style="1430" hidden="1" customWidth="1"/>
    <col min="4" max="4" width="3" style="1423" customWidth="1"/>
    <col min="5" max="5" width="7" style="1423" customWidth="1"/>
    <col min="6" max="6" width="56" style="1423" customWidth="1"/>
    <col min="7" max="7" width="10" style="1423" customWidth="1"/>
    <col min="8" max="8" width="40.7109375" style="1423" hidden="1" customWidth="1"/>
    <col min="9" max="9" width="40" style="1423" customWidth="1"/>
    <col min="10" max="29" width="40.7109375" style="1423" customWidth="1"/>
    <col min="30" max="30" width="102" style="1423" customWidth="1"/>
    <col min="31" max="31" width="9" style="1154" customWidth="1"/>
    <col min="32" max="32" width="5" style="1430" customWidth="1"/>
    <col min="33" max="33" width="3" style="1430" customWidth="1"/>
    <col min="34" max="37" width="3" style="1154" customWidth="1"/>
    <col min="38" max="38" width="10" style="1430" customWidth="1"/>
    <col min="39" max="39" width="34" style="1154" customWidth="1"/>
    <col min="40" max="40" width="9" style="1154" customWidth="1"/>
    <col min="41" max="41" width="8" style="647" customWidth="1"/>
    <col min="42" max="46" width="8" style="1154" customWidth="1"/>
    <col min="47" max="51" width="8" style="1420" customWidth="1"/>
    <col min="52" max="52" width="10.42578125" style="1423" hidden="1" customWidth="1"/>
  </cols>
  <sheetData>
    <row r="1" spans="1:52" s="1154" customFormat="1" ht="22.5" hidden="1" customHeight="1">
      <c r="A1" s="839"/>
      <c r="C1" s="1424"/>
      <c r="D1" s="469"/>
      <c r="H1" s="961">
        <v>4</v>
      </c>
      <c r="I1" s="961">
        <v>4</v>
      </c>
      <c r="J1" s="1154">
        <v>4</v>
      </c>
      <c r="K1" s="1154">
        <v>4</v>
      </c>
      <c r="L1" s="1154">
        <v>4</v>
      </c>
      <c r="M1" s="1154">
        <v>4</v>
      </c>
      <c r="N1" s="1154">
        <v>4</v>
      </c>
      <c r="O1" s="1154">
        <v>4</v>
      </c>
      <c r="P1" s="1154">
        <v>4</v>
      </c>
      <c r="Q1" s="1154">
        <v>4</v>
      </c>
      <c r="R1" s="1154">
        <v>4</v>
      </c>
      <c r="S1" s="1154">
        <v>4</v>
      </c>
      <c r="T1" s="1154">
        <v>4</v>
      </c>
      <c r="U1" s="1154">
        <v>4</v>
      </c>
      <c r="V1" s="1154">
        <v>4</v>
      </c>
      <c r="W1" s="1154">
        <v>4</v>
      </c>
      <c r="X1" s="1154">
        <v>4</v>
      </c>
      <c r="Y1" s="1154">
        <v>4</v>
      </c>
      <c r="Z1" s="1154">
        <v>4</v>
      </c>
      <c r="AA1" s="1154">
        <v>4</v>
      </c>
      <c r="AB1" s="1154">
        <v>4</v>
      </c>
      <c r="AC1" s="1154">
        <v>4</v>
      </c>
      <c r="AF1" s="1424"/>
      <c r="AG1" s="1424"/>
      <c r="AL1" s="1424"/>
      <c r="AZ1" s="961" t="s">
        <v>1</v>
      </c>
    </row>
    <row r="2" spans="1:52" s="1154" customFormat="1" ht="22.5" hidden="1" customHeight="1">
      <c r="A2" s="839"/>
      <c r="C2" s="1424"/>
      <c r="D2" s="470"/>
      <c r="E2" s="1425"/>
      <c r="F2" s="472"/>
      <c r="G2" s="1427" t="s">
        <v>636</v>
      </c>
      <c r="H2" s="473"/>
      <c r="I2" s="473"/>
      <c r="J2" s="658"/>
      <c r="K2" s="658"/>
      <c r="L2" s="658"/>
      <c r="M2" s="658"/>
      <c r="N2" s="658"/>
      <c r="O2" s="658"/>
      <c r="P2" s="658"/>
      <c r="Q2" s="658"/>
      <c r="R2" s="658"/>
      <c r="S2" s="658"/>
      <c r="T2" s="658"/>
      <c r="U2" s="658"/>
      <c r="V2" s="658"/>
      <c r="W2" s="658"/>
      <c r="X2" s="658"/>
      <c r="Y2" s="658"/>
      <c r="Z2" s="658"/>
      <c r="AA2" s="658"/>
      <c r="AB2" s="658"/>
      <c r="AC2" s="658"/>
      <c r="AD2" s="474" t="s">
        <v>817</v>
      </c>
      <c r="AE2" s="475"/>
      <c r="AF2" s="1424"/>
      <c r="AG2" s="1424"/>
      <c r="AL2" s="1424"/>
      <c r="AO2" s="476"/>
      <c r="AU2" s="1420"/>
      <c r="AV2" s="1420"/>
      <c r="AW2" s="1420"/>
      <c r="AX2" s="1420"/>
      <c r="AY2" s="1420"/>
      <c r="AZ2" s="961">
        <v>0</v>
      </c>
    </row>
    <row r="3" spans="1:52" ht="11.25" hidden="1" customHeight="1">
      <c r="AZ3" s="1419">
        <v>0</v>
      </c>
    </row>
    <row r="4" spans="1:52" s="1420" customFormat="1" ht="11.25" hidden="1" customHeight="1">
      <c r="A4" s="839"/>
      <c r="B4" s="961"/>
      <c r="C4" s="1424"/>
      <c r="D4" s="295"/>
      <c r="AD4" s="1420">
        <v>4</v>
      </c>
      <c r="AE4" s="961"/>
      <c r="AF4" s="1424"/>
      <c r="AG4" s="1424"/>
      <c r="AH4" s="961"/>
      <c r="AI4" s="961"/>
      <c r="AJ4" s="961"/>
      <c r="AK4" s="961"/>
      <c r="AL4" s="1424"/>
      <c r="AM4" s="961"/>
      <c r="AN4" s="961"/>
      <c r="AO4" s="476"/>
      <c r="AP4" s="961"/>
      <c r="AQ4" s="961"/>
      <c r="AR4" s="961"/>
      <c r="AS4" s="961"/>
      <c r="AT4" s="961"/>
      <c r="AZ4" s="1420">
        <v>0</v>
      </c>
    </row>
    <row r="5" spans="1:52" ht="11.45" customHeight="1">
      <c r="AZ5" s="1419">
        <v>11</v>
      </c>
    </row>
    <row r="6" spans="1:52" ht="31.5" customHeight="1">
      <c r="E6" s="2326" t="s">
        <v>818</v>
      </c>
      <c r="F6" s="2326"/>
      <c r="G6" s="2326"/>
      <c r="H6" s="2326"/>
      <c r="I6" s="2326"/>
      <c r="J6" s="1851"/>
      <c r="K6" s="1851"/>
      <c r="L6" s="1851"/>
      <c r="M6" s="1851"/>
      <c r="N6" s="1851"/>
      <c r="O6" s="1851"/>
      <c r="P6" s="1851"/>
      <c r="Q6" s="1851"/>
      <c r="R6" s="1851"/>
      <c r="S6" s="1851"/>
      <c r="T6" s="1851"/>
      <c r="U6" s="1851"/>
      <c r="V6" s="1851"/>
      <c r="W6" s="1851"/>
      <c r="X6" s="1851"/>
      <c r="Y6" s="1851"/>
      <c r="Z6" s="1851"/>
      <c r="AA6" s="1851"/>
      <c r="AB6" s="1851"/>
      <c r="AC6" s="1851"/>
      <c r="AD6" s="488"/>
      <c r="AZ6" s="1419">
        <v>30</v>
      </c>
    </row>
    <row r="7" spans="1:52" ht="11.45" customHeight="1">
      <c r="E7" s="2349" t="str">
        <f>IF(org=0,"Не определено",org)</f>
        <v>ООО "Смоленскрегионтеплоэнерго"</v>
      </c>
      <c r="F7" s="2349"/>
      <c r="G7" s="2349"/>
      <c r="H7" s="2349"/>
      <c r="I7" s="2349"/>
      <c r="J7" s="1847"/>
      <c r="K7" s="1847"/>
      <c r="L7" s="1847"/>
      <c r="M7" s="1847"/>
      <c r="N7" s="1847"/>
      <c r="O7" s="1847"/>
      <c r="P7" s="1847"/>
      <c r="Q7" s="1847"/>
      <c r="R7" s="1847"/>
      <c r="S7" s="1847"/>
      <c r="T7" s="1847"/>
      <c r="U7" s="1847"/>
      <c r="V7" s="1847"/>
      <c r="W7" s="1847"/>
      <c r="X7" s="1847"/>
      <c r="Y7" s="1847"/>
      <c r="Z7" s="1847"/>
      <c r="AA7" s="1847"/>
      <c r="AB7" s="1847"/>
      <c r="AC7" s="1847"/>
      <c r="AZ7" s="1419">
        <v>11</v>
      </c>
    </row>
    <row r="8" spans="1:52" ht="11.45" customHeight="1">
      <c r="E8" s="953"/>
      <c r="F8" s="953"/>
      <c r="G8" s="953"/>
      <c r="H8" s="953"/>
      <c r="I8" s="953"/>
      <c r="J8" s="954" t="s">
        <v>9</v>
      </c>
      <c r="K8" s="954" t="s">
        <v>9</v>
      </c>
      <c r="L8" s="954" t="s">
        <v>9</v>
      </c>
      <c r="M8" s="954" t="s">
        <v>9</v>
      </c>
      <c r="N8" s="954" t="s">
        <v>9</v>
      </c>
      <c r="O8" s="954" t="s">
        <v>9</v>
      </c>
      <c r="P8" s="954" t="s">
        <v>9</v>
      </c>
      <c r="Q8" s="954" t="s">
        <v>9</v>
      </c>
      <c r="R8" s="954" t="s">
        <v>9</v>
      </c>
      <c r="S8" s="954" t="s">
        <v>9</v>
      </c>
      <c r="T8" s="954" t="s">
        <v>9</v>
      </c>
      <c r="U8" s="954" t="s">
        <v>9</v>
      </c>
      <c r="V8" s="954" t="s">
        <v>9</v>
      </c>
      <c r="W8" s="954" t="s">
        <v>9</v>
      </c>
      <c r="X8" s="954" t="s">
        <v>9</v>
      </c>
      <c r="Y8" s="954" t="s">
        <v>9</v>
      </c>
      <c r="Z8" s="954" t="s">
        <v>9</v>
      </c>
      <c r="AA8" s="954" t="s">
        <v>9</v>
      </c>
      <c r="AB8" s="954" t="s">
        <v>9</v>
      </c>
      <c r="AC8" s="954" t="s">
        <v>9</v>
      </c>
      <c r="AZ8" s="1419">
        <v>11</v>
      </c>
    </row>
    <row r="9" spans="1:52" s="1430" customFormat="1" ht="4.1500000000000004" customHeight="1">
      <c r="A9" s="968"/>
      <c r="H9" s="787"/>
      <c r="I9" s="787" t="s">
        <v>167</v>
      </c>
      <c r="J9" s="787" t="s">
        <v>172</v>
      </c>
      <c r="K9" s="787" t="s">
        <v>174</v>
      </c>
      <c r="L9" s="787" t="s">
        <v>176</v>
      </c>
      <c r="M9" s="787" t="s">
        <v>178</v>
      </c>
      <c r="N9" s="787" t="s">
        <v>180</v>
      </c>
      <c r="O9" s="787" t="s">
        <v>182</v>
      </c>
      <c r="P9" s="787" t="s">
        <v>184</v>
      </c>
      <c r="Q9" s="787" t="s">
        <v>186</v>
      </c>
      <c r="R9" s="787" t="s">
        <v>188</v>
      </c>
      <c r="S9" s="787" t="s">
        <v>190</v>
      </c>
      <c r="T9" s="787" t="s">
        <v>192</v>
      </c>
      <c r="U9" s="787" t="s">
        <v>194</v>
      </c>
      <c r="V9" s="787" t="s">
        <v>196</v>
      </c>
      <c r="W9" s="787" t="s">
        <v>198</v>
      </c>
      <c r="X9" s="787" t="s">
        <v>200</v>
      </c>
      <c r="Y9" s="787" t="s">
        <v>202</v>
      </c>
      <c r="Z9" s="787" t="s">
        <v>204</v>
      </c>
      <c r="AA9" s="787" t="s">
        <v>206</v>
      </c>
      <c r="AB9" s="787" t="s">
        <v>208</v>
      </c>
      <c r="AC9" s="787" t="s">
        <v>210</v>
      </c>
      <c r="AZ9" s="1424">
        <v>4</v>
      </c>
    </row>
    <row r="10" spans="1:52" ht="11.45" customHeight="1">
      <c r="E10" s="629"/>
      <c r="F10" s="2484" t="s">
        <v>157</v>
      </c>
      <c r="G10" s="2485"/>
      <c r="H10" s="1340" t="str">
        <f t="shared" ref="H10:AC10" si="0">IF(H9="","",INDEX(DIFFERENTIATION_UNMERGE_VD,MATCH(H9,DIFFERENTIATION_ID_DIFF,0)))</f>
        <v/>
      </c>
      <c r="I10" s="1340" t="str">
        <f t="shared" si="0"/>
        <v>Производство тепловой энергии. Некомбинированная выработка; Передача. Тепловая энергия; Сбыт. Тепловая энергия</v>
      </c>
      <c r="J10" s="1855" t="str">
        <f t="shared" si="0"/>
        <v>Производство тепловой энергии. Некомбинированная выработка; Передача. Тепловая энергия; Сбыт. Тепловая энергия</v>
      </c>
      <c r="K10" s="1855" t="str">
        <f t="shared" si="0"/>
        <v>Производство тепловой энергии. Некомбинированная выработка; Передача. Тепловая энергия; Сбыт. Тепловая энергия</v>
      </c>
      <c r="L10" s="1855" t="str">
        <f t="shared" si="0"/>
        <v>Производство тепловой энергии. Некомбинированная выработка; Передача. Тепловая энергия; Сбыт. Тепловая энергия</v>
      </c>
      <c r="M10" s="1855" t="str">
        <f t="shared" si="0"/>
        <v>Производство тепловой энергии. Некомбинированная выработка; Передача. Тепловая энергия; Сбыт. Тепловая энергия</v>
      </c>
      <c r="N10" s="1855" t="str">
        <f t="shared" si="0"/>
        <v>Производство тепловой энергии. Некомбинированная выработка; Передача. Тепловая энергия; Сбыт. Тепловая энергия</v>
      </c>
      <c r="O10" s="1855" t="str">
        <f t="shared" si="0"/>
        <v>Производство тепловой энергии. Некомбинированная выработка; Передача. Тепловая энергия; Сбыт. Тепловая энергия</v>
      </c>
      <c r="P10" s="1855" t="str">
        <f t="shared" si="0"/>
        <v>Производство тепловой энергии. Некомбинированная выработка; Передача. Тепловая энергия; Сбыт. Тепловая энергия</v>
      </c>
      <c r="Q10" s="1855" t="str">
        <f t="shared" si="0"/>
        <v>Производство тепловой энергии. Некомбинированная выработка; Передача. Тепловая энергия; Сбыт. Тепловая энергия</v>
      </c>
      <c r="R10" s="1855" t="str">
        <f t="shared" si="0"/>
        <v>Производство тепловой энергии. Некомбинированная выработка; Передача. Тепловая энергия; Сбыт. Тепловая энергия</v>
      </c>
      <c r="S10" s="1855" t="str">
        <f t="shared" si="0"/>
        <v>Производство тепловой энергии. Некомбинированная выработка; Передача. Тепловая энергия; Сбыт. Тепловая энергия</v>
      </c>
      <c r="T10" s="1855" t="str">
        <f t="shared" si="0"/>
        <v>Производство тепловой энергии. Некомбинированная выработка; Передача. Тепловая энергия; Сбыт. Тепловая энергия</v>
      </c>
      <c r="U10" s="1855" t="str">
        <f t="shared" si="0"/>
        <v>Производство тепловой энергии. Некомбинированная выработка; Передача. Тепловая энергия; Сбыт. Тепловая энергия</v>
      </c>
      <c r="V10" s="1855" t="str">
        <f t="shared" si="0"/>
        <v>Производство тепловой энергии. Некомбинированная выработка; Передача. Тепловая энергия; Сбыт. Тепловая энергия</v>
      </c>
      <c r="W10" s="1855" t="str">
        <f t="shared" si="0"/>
        <v>Производство тепловой энергии. Некомбинированная выработка; Передача. Тепловая энергия; Сбыт. Тепловая энергия</v>
      </c>
      <c r="X10" s="1855" t="str">
        <f t="shared" si="0"/>
        <v>Производство тепловой энергии. Некомбинированная выработка; Передача. Тепловая энергия; Сбыт. Тепловая энергия</v>
      </c>
      <c r="Y10" s="1855" t="str">
        <f t="shared" si="0"/>
        <v>Производство тепловой энергии. Некомбинированная выработка; Передача. Тепловая энергия; Сбыт. Тепловая энергия</v>
      </c>
      <c r="Z10" s="1855" t="str">
        <f t="shared" si="0"/>
        <v>Производство тепловой энергии. Некомбинированная выработка; Передача. Тепловая энергия; Сбыт. Тепловая энергия</v>
      </c>
      <c r="AA10" s="1855" t="str">
        <f t="shared" si="0"/>
        <v>Производство тепловой энергии. Некомбинированная выработка; Передача. Тепловая энергия; Сбыт. Тепловая энергия</v>
      </c>
      <c r="AB10" s="1855" t="str">
        <f t="shared" si="0"/>
        <v>Производство тепловой энергии. Некомбинированная выработка; Передача. Тепловая энергия; Сбыт. Тепловая энергия</v>
      </c>
      <c r="AC10" s="1855" t="str">
        <f t="shared" si="0"/>
        <v>Производство тепловой энергии. Некомбинированная выработка; Передача. Тепловая энергия; Сбыт. Тепловая энергия</v>
      </c>
      <c r="AD10" s="2266" t="s">
        <v>385</v>
      </c>
      <c r="AZ10" s="1419">
        <v>11</v>
      </c>
    </row>
    <row r="11" spans="1:52" ht="11.45" customHeight="1">
      <c r="E11" s="629"/>
      <c r="F11" s="2484" t="s">
        <v>648</v>
      </c>
      <c r="G11" s="2485"/>
      <c r="H11" s="1340" t="str">
        <f t="shared" ref="H11:AC11" si="1">IF(H9="","",INDEX(DIFFERENTIATION_UNMERGE_AREA,MATCH(H9,DIFFERENTIATION_ID_DIFF,0)))</f>
        <v/>
      </c>
      <c r="I11" s="1340" t="str">
        <f t="shared" si="1"/>
        <v>Территория 1</v>
      </c>
      <c r="J11" s="1855" t="str">
        <f t="shared" si="1"/>
        <v>Территория 2</v>
      </c>
      <c r="K11" s="1855" t="str">
        <f t="shared" si="1"/>
        <v>Территория 3</v>
      </c>
      <c r="L11" s="1855" t="str">
        <f t="shared" si="1"/>
        <v>Территория 4</v>
      </c>
      <c r="M11" s="1855" t="str">
        <f t="shared" si="1"/>
        <v>Территория 5</v>
      </c>
      <c r="N11" s="1855" t="str">
        <f t="shared" si="1"/>
        <v>Территория 6</v>
      </c>
      <c r="O11" s="1855" t="str">
        <f t="shared" si="1"/>
        <v>Территория 6</v>
      </c>
      <c r="P11" s="1855" t="str">
        <f t="shared" si="1"/>
        <v>Территория 6</v>
      </c>
      <c r="Q11" s="1855" t="str">
        <f t="shared" si="1"/>
        <v>Территория 7</v>
      </c>
      <c r="R11" s="1855" t="str">
        <f t="shared" si="1"/>
        <v>Территория 8</v>
      </c>
      <c r="S11" s="1855" t="str">
        <f t="shared" si="1"/>
        <v>Территория 8</v>
      </c>
      <c r="T11" s="1855" t="str">
        <f t="shared" si="1"/>
        <v>Территория 8</v>
      </c>
      <c r="U11" s="1855" t="str">
        <f t="shared" si="1"/>
        <v>Территория 9</v>
      </c>
      <c r="V11" s="1855" t="str">
        <f t="shared" si="1"/>
        <v>Территория 10</v>
      </c>
      <c r="W11" s="1855" t="str">
        <f t="shared" si="1"/>
        <v>Территория 10</v>
      </c>
      <c r="X11" s="1855" t="str">
        <f t="shared" si="1"/>
        <v>Территория 11</v>
      </c>
      <c r="Y11" s="1855" t="str">
        <f t="shared" si="1"/>
        <v>Территория 12</v>
      </c>
      <c r="Z11" s="1855" t="str">
        <f t="shared" si="1"/>
        <v>Территория 13</v>
      </c>
      <c r="AA11" s="1855" t="str">
        <f t="shared" si="1"/>
        <v>Территория 13</v>
      </c>
      <c r="AB11" s="1855" t="str">
        <f t="shared" si="1"/>
        <v>Территория 13</v>
      </c>
      <c r="AC11" s="1855" t="str">
        <f t="shared" si="1"/>
        <v>Территория 13</v>
      </c>
      <c r="AD11" s="2266"/>
      <c r="AZ11" s="1419">
        <v>11</v>
      </c>
    </row>
    <row r="12" spans="1:52" ht="1.1499999999999999" customHeight="1">
      <c r="E12" s="1450"/>
      <c r="F12" s="2505" t="s">
        <v>649</v>
      </c>
      <c r="G12" s="2506"/>
      <c r="H12" s="1451" t="str">
        <f t="shared" ref="H12:AC12" si="2">IF(H9="","",INDEX(DIFFERENTIATION_UNMERGE_SYSTEM,MATCH(H9,DIFFERENTIATION_ID_DIFF,0)))</f>
        <v/>
      </c>
      <c r="I12" s="1451" t="str">
        <f t="shared" si="2"/>
        <v>котельная г. Вязьма ул. Московская</v>
      </c>
      <c r="J12" s="1451" t="str">
        <f t="shared" si="2"/>
        <v>Вяземский филиал</v>
      </c>
      <c r="K12" s="1451" t="str">
        <f t="shared" si="2"/>
        <v>котельная с. Карманово, ул. Набережная, д. 18, стр. 3</v>
      </c>
      <c r="L12" s="1451" t="str">
        <f t="shared" si="2"/>
        <v>Рославльский филиал</v>
      </c>
      <c r="M12" s="1451" t="str">
        <f t="shared" si="2"/>
        <v>котельная г. Рославль, ул. Мичурина</v>
      </c>
      <c r="N12" s="1451" t="str">
        <f t="shared" si="2"/>
        <v>котельная д. Даньково</v>
      </c>
      <c r="O12" s="1451" t="str">
        <f t="shared" si="2"/>
        <v>котельная д. Пересна</v>
      </c>
      <c r="P12" s="1451" t="str">
        <f t="shared" si="2"/>
        <v>котельная г. Починок, ул. Садовая</v>
      </c>
      <c r="Q12" s="1451" t="str">
        <f t="shared" si="2"/>
        <v>Сафоновский филиал</v>
      </c>
      <c r="R12" s="1451" t="str">
        <f t="shared" si="2"/>
        <v>котельная г. Сафоново, ул. Советская</v>
      </c>
      <c r="S12" s="1451" t="str">
        <f t="shared" si="2"/>
        <v>котельная г. Сафоново, ул. Первомайская</v>
      </c>
      <c r="T12" s="1451" t="str">
        <f t="shared" si="2"/>
        <v>котельная с. Издешково</v>
      </c>
      <c r="U12" s="1451" t="str">
        <f t="shared" si="2"/>
        <v>котельная БМК Михайловское</v>
      </c>
      <c r="V12" s="1451" t="str">
        <f t="shared" si="2"/>
        <v>котельные пгт. Холм-Жирковское, ул. Кирова,ул. Советская</v>
      </c>
      <c r="W12" s="1451" t="str">
        <f t="shared" si="2"/>
        <v>котельная ст. Игоревская</v>
      </c>
      <c r="X12" s="1451" t="str">
        <f t="shared" si="2"/>
        <v>Ярцевский филиал</v>
      </c>
      <c r="Y12" s="1451" t="str">
        <f t="shared" si="2"/>
        <v>п. Красный</v>
      </c>
      <c r="Z12" s="1451" t="str">
        <f t="shared" si="2"/>
        <v>котельная д. Богородицкое</v>
      </c>
      <c r="AA12" s="1451" t="str">
        <f t="shared" si="2"/>
        <v>котельная д. Сметанино</v>
      </c>
      <c r="AB12" s="1451" t="str">
        <f t="shared" si="2"/>
        <v>котельная с. Талашкино</v>
      </c>
      <c r="AC12" s="1451" t="str">
        <f t="shared" si="2"/>
        <v>котельная д. Митино</v>
      </c>
      <c r="AD12" s="2266"/>
      <c r="AZ12" s="1419">
        <v>1</v>
      </c>
    </row>
    <row r="13" spans="1:52" ht="11.45" customHeight="1">
      <c r="E13" s="2486" t="s">
        <v>384</v>
      </c>
      <c r="F13" s="2487"/>
      <c r="G13" s="2487"/>
      <c r="H13" s="1339"/>
      <c r="I13" s="1339"/>
      <c r="J13" s="1854"/>
      <c r="K13" s="1854"/>
      <c r="L13" s="1854"/>
      <c r="M13" s="1854"/>
      <c r="N13" s="1854"/>
      <c r="O13" s="1854"/>
      <c r="P13" s="1854"/>
      <c r="Q13" s="1854"/>
      <c r="R13" s="1854"/>
      <c r="S13" s="1854"/>
      <c r="T13" s="1854"/>
      <c r="U13" s="1854"/>
      <c r="V13" s="1854"/>
      <c r="W13" s="1854"/>
      <c r="X13" s="1854"/>
      <c r="Y13" s="1854"/>
      <c r="Z13" s="1854"/>
      <c r="AA13" s="1854"/>
      <c r="AB13" s="1854"/>
      <c r="AC13" s="1854"/>
      <c r="AD13" s="2266"/>
      <c r="AZ13" s="1419">
        <v>11</v>
      </c>
    </row>
    <row r="14" spans="1:52" ht="24" customHeight="1">
      <c r="E14" s="1427" t="s">
        <v>75</v>
      </c>
      <c r="F14" s="1422" t="s">
        <v>386</v>
      </c>
      <c r="G14" s="1422" t="s">
        <v>650</v>
      </c>
      <c r="H14" s="1422" t="s">
        <v>387</v>
      </c>
      <c r="I14" s="1422" t="s">
        <v>387</v>
      </c>
      <c r="J14" s="1853" t="s">
        <v>387</v>
      </c>
      <c r="K14" s="1853" t="s">
        <v>387</v>
      </c>
      <c r="L14" s="1853" t="s">
        <v>387</v>
      </c>
      <c r="M14" s="1853" t="s">
        <v>387</v>
      </c>
      <c r="N14" s="1853" t="s">
        <v>387</v>
      </c>
      <c r="O14" s="1853" t="s">
        <v>387</v>
      </c>
      <c r="P14" s="1853" t="s">
        <v>387</v>
      </c>
      <c r="Q14" s="1853" t="s">
        <v>387</v>
      </c>
      <c r="R14" s="1853" t="s">
        <v>387</v>
      </c>
      <c r="S14" s="1853" t="s">
        <v>387</v>
      </c>
      <c r="T14" s="1853" t="s">
        <v>387</v>
      </c>
      <c r="U14" s="1853" t="s">
        <v>387</v>
      </c>
      <c r="V14" s="1853" t="s">
        <v>387</v>
      </c>
      <c r="W14" s="1853" t="s">
        <v>387</v>
      </c>
      <c r="X14" s="1853" t="s">
        <v>387</v>
      </c>
      <c r="Y14" s="1853" t="s">
        <v>387</v>
      </c>
      <c r="Z14" s="1853" t="s">
        <v>387</v>
      </c>
      <c r="AA14" s="1853" t="s">
        <v>387</v>
      </c>
      <c r="AB14" s="1853" t="s">
        <v>387</v>
      </c>
      <c r="AC14" s="1853" t="s">
        <v>387</v>
      </c>
      <c r="AD14" s="2266"/>
      <c r="AZ14" s="1419">
        <v>23</v>
      </c>
    </row>
    <row r="15" spans="1:52" ht="19.899999999999999" customHeight="1">
      <c r="D15" s="1426"/>
      <c r="E15" s="1418" t="s">
        <v>161</v>
      </c>
      <c r="F15" s="625" t="s">
        <v>819</v>
      </c>
      <c r="G15" s="1434" t="s">
        <v>636</v>
      </c>
      <c r="H15" s="489"/>
      <c r="I15" s="489"/>
      <c r="J15" s="489"/>
      <c r="K15" s="489"/>
      <c r="L15" s="489"/>
      <c r="M15" s="489"/>
      <c r="N15" s="489"/>
      <c r="O15" s="489"/>
      <c r="P15" s="489"/>
      <c r="Q15" s="489"/>
      <c r="R15" s="489"/>
      <c r="S15" s="489"/>
      <c r="T15" s="489"/>
      <c r="U15" s="489"/>
      <c r="V15" s="489"/>
      <c r="W15" s="489"/>
      <c r="X15" s="489"/>
      <c r="Y15" s="489"/>
      <c r="Z15" s="489"/>
      <c r="AA15" s="489"/>
      <c r="AB15" s="489"/>
      <c r="AC15" s="489"/>
      <c r="AD15" s="223" t="s">
        <v>820</v>
      </c>
      <c r="AE15" s="475" t="s">
        <v>745</v>
      </c>
      <c r="AZ15" s="1419">
        <v>19</v>
      </c>
    </row>
    <row r="16" spans="1:52" ht="35.65" customHeight="1">
      <c r="D16" s="1426"/>
      <c r="E16" s="1418" t="s">
        <v>89</v>
      </c>
      <c r="F16" s="625" t="s">
        <v>821</v>
      </c>
      <c r="G16" s="1434" t="s">
        <v>636</v>
      </c>
      <c r="H16" s="490">
        <f t="shared" ref="H16:AC16" si="3">SUM(H17,H20,H23,H26,H29:H32,H35)</f>
        <v>0</v>
      </c>
      <c r="I16" s="490">
        <f t="shared" si="3"/>
        <v>0</v>
      </c>
      <c r="J16" s="490">
        <f t="shared" si="3"/>
        <v>0</v>
      </c>
      <c r="K16" s="490">
        <f t="shared" si="3"/>
        <v>0</v>
      </c>
      <c r="L16" s="490">
        <f t="shared" si="3"/>
        <v>0</v>
      </c>
      <c r="M16" s="490">
        <f t="shared" si="3"/>
        <v>0</v>
      </c>
      <c r="N16" s="490">
        <f t="shared" si="3"/>
        <v>0</v>
      </c>
      <c r="O16" s="490">
        <f t="shared" si="3"/>
        <v>0</v>
      </c>
      <c r="P16" s="490">
        <f t="shared" si="3"/>
        <v>0</v>
      </c>
      <c r="Q16" s="490">
        <f t="shared" si="3"/>
        <v>0</v>
      </c>
      <c r="R16" s="490">
        <f t="shared" si="3"/>
        <v>0</v>
      </c>
      <c r="S16" s="490">
        <f t="shared" si="3"/>
        <v>0</v>
      </c>
      <c r="T16" s="490">
        <f t="shared" si="3"/>
        <v>0</v>
      </c>
      <c r="U16" s="490">
        <f t="shared" si="3"/>
        <v>0</v>
      </c>
      <c r="V16" s="490">
        <f t="shared" si="3"/>
        <v>0</v>
      </c>
      <c r="W16" s="490">
        <f t="shared" si="3"/>
        <v>0</v>
      </c>
      <c r="X16" s="490">
        <f t="shared" si="3"/>
        <v>0</v>
      </c>
      <c r="Y16" s="490">
        <f t="shared" si="3"/>
        <v>0</v>
      </c>
      <c r="Z16" s="490">
        <f t="shared" si="3"/>
        <v>0</v>
      </c>
      <c r="AA16" s="490">
        <f t="shared" si="3"/>
        <v>0</v>
      </c>
      <c r="AB16" s="490">
        <f t="shared" si="3"/>
        <v>0</v>
      </c>
      <c r="AC16" s="490">
        <f t="shared" si="3"/>
        <v>0</v>
      </c>
      <c r="AD16" s="223" t="s">
        <v>822</v>
      </c>
      <c r="AE16" s="475" t="s">
        <v>745</v>
      </c>
      <c r="AZ16" s="1419">
        <v>34</v>
      </c>
    </row>
    <row r="17" spans="1:52" ht="19.899999999999999" customHeight="1">
      <c r="D17" s="1426"/>
      <c r="E17" s="1452" t="s">
        <v>823</v>
      </c>
      <c r="F17" s="808" t="s">
        <v>824</v>
      </c>
      <c r="G17" s="1431" t="s">
        <v>636</v>
      </c>
      <c r="H17" s="489"/>
      <c r="I17" s="489"/>
      <c r="J17" s="489"/>
      <c r="K17" s="489"/>
      <c r="L17" s="489"/>
      <c r="M17" s="489"/>
      <c r="N17" s="489"/>
      <c r="O17" s="489"/>
      <c r="P17" s="489"/>
      <c r="Q17" s="489"/>
      <c r="R17" s="489"/>
      <c r="S17" s="489"/>
      <c r="T17" s="489"/>
      <c r="U17" s="489"/>
      <c r="V17" s="489"/>
      <c r="W17" s="489"/>
      <c r="X17" s="489"/>
      <c r="Y17" s="489"/>
      <c r="Z17" s="489"/>
      <c r="AA17" s="489"/>
      <c r="AB17" s="489"/>
      <c r="AC17" s="489"/>
      <c r="AD17" s="223" t="s">
        <v>825</v>
      </c>
      <c r="AE17" s="475"/>
      <c r="AZ17" s="1419">
        <v>19</v>
      </c>
    </row>
    <row r="18" spans="1:52" ht="24" customHeight="1">
      <c r="D18" s="1426"/>
      <c r="E18" s="1452" t="s">
        <v>826</v>
      </c>
      <c r="F18" s="1438" t="s">
        <v>827</v>
      </c>
      <c r="G18" s="1431" t="s">
        <v>636</v>
      </c>
      <c r="H18" s="489"/>
      <c r="I18" s="489"/>
      <c r="J18" s="489"/>
      <c r="K18" s="489"/>
      <c r="L18" s="489"/>
      <c r="M18" s="489"/>
      <c r="N18" s="489"/>
      <c r="O18" s="489"/>
      <c r="P18" s="489"/>
      <c r="Q18" s="489"/>
      <c r="R18" s="489"/>
      <c r="S18" s="489"/>
      <c r="T18" s="489"/>
      <c r="U18" s="489"/>
      <c r="V18" s="489"/>
      <c r="W18" s="489"/>
      <c r="X18" s="489"/>
      <c r="Y18" s="489"/>
      <c r="Z18" s="489"/>
      <c r="AA18" s="489"/>
      <c r="AB18" s="489"/>
      <c r="AC18" s="489"/>
      <c r="AD18" s="223" t="s">
        <v>828</v>
      </c>
      <c r="AE18" s="475"/>
      <c r="AZ18" s="1419">
        <v>23</v>
      </c>
    </row>
    <row r="19" spans="1:52" ht="35.65" customHeight="1">
      <c r="D19" s="1426"/>
      <c r="E19" s="1452" t="s">
        <v>829</v>
      </c>
      <c r="F19" s="1438" t="s">
        <v>830</v>
      </c>
      <c r="G19" s="1431" t="s">
        <v>636</v>
      </c>
      <c r="H19" s="489"/>
      <c r="I19" s="489"/>
      <c r="J19" s="489"/>
      <c r="K19" s="489"/>
      <c r="L19" s="489"/>
      <c r="M19" s="489"/>
      <c r="N19" s="489"/>
      <c r="O19" s="489"/>
      <c r="P19" s="489"/>
      <c r="Q19" s="489"/>
      <c r="R19" s="489"/>
      <c r="S19" s="489"/>
      <c r="T19" s="489"/>
      <c r="U19" s="489"/>
      <c r="V19" s="489"/>
      <c r="W19" s="489"/>
      <c r="X19" s="489"/>
      <c r="Y19" s="489"/>
      <c r="Z19" s="489"/>
      <c r="AA19" s="489"/>
      <c r="AB19" s="489"/>
      <c r="AC19" s="489"/>
      <c r="AD19" s="223"/>
      <c r="AE19" s="475"/>
      <c r="AZ19" s="1419">
        <v>34</v>
      </c>
    </row>
    <row r="20" spans="1:52" ht="19.899999999999999" customHeight="1">
      <c r="D20" s="1426"/>
      <c r="E20" s="1452" t="s">
        <v>391</v>
      </c>
      <c r="F20" s="808" t="s">
        <v>831</v>
      </c>
      <c r="G20" s="1431" t="s">
        <v>636</v>
      </c>
      <c r="H20" s="489"/>
      <c r="I20" s="489"/>
      <c r="J20" s="489"/>
      <c r="K20" s="489"/>
      <c r="L20" s="489"/>
      <c r="M20" s="489"/>
      <c r="N20" s="489"/>
      <c r="O20" s="489"/>
      <c r="P20" s="489"/>
      <c r="Q20" s="489"/>
      <c r="R20" s="489"/>
      <c r="S20" s="489"/>
      <c r="T20" s="489"/>
      <c r="U20" s="489"/>
      <c r="V20" s="489"/>
      <c r="W20" s="489"/>
      <c r="X20" s="489"/>
      <c r="Y20" s="489"/>
      <c r="Z20" s="489"/>
      <c r="AA20" s="489"/>
      <c r="AB20" s="489"/>
      <c r="AC20" s="489"/>
      <c r="AD20" s="223" t="s">
        <v>832</v>
      </c>
      <c r="AE20" s="475"/>
      <c r="AZ20" s="1419">
        <v>19</v>
      </c>
    </row>
    <row r="21" spans="1:52" ht="19.899999999999999" customHeight="1">
      <c r="D21" s="1426"/>
      <c r="E21" s="1452" t="s">
        <v>833</v>
      </c>
      <c r="F21" s="1438" t="s">
        <v>834</v>
      </c>
      <c r="G21" s="1431" t="s">
        <v>636</v>
      </c>
      <c r="H21" s="489"/>
      <c r="I21" s="489"/>
      <c r="J21" s="489"/>
      <c r="K21" s="489"/>
      <c r="L21" s="489"/>
      <c r="M21" s="489"/>
      <c r="N21" s="489"/>
      <c r="O21" s="489"/>
      <c r="P21" s="489"/>
      <c r="Q21" s="489"/>
      <c r="R21" s="489"/>
      <c r="S21" s="489"/>
      <c r="T21" s="489"/>
      <c r="U21" s="489"/>
      <c r="V21" s="489"/>
      <c r="W21" s="489"/>
      <c r="X21" s="489"/>
      <c r="Y21" s="489"/>
      <c r="Z21" s="489"/>
      <c r="AA21" s="489"/>
      <c r="AB21" s="489"/>
      <c r="AC21" s="489"/>
      <c r="AD21" s="223"/>
      <c r="AE21" s="475"/>
      <c r="AZ21" s="1419">
        <v>19</v>
      </c>
    </row>
    <row r="22" spans="1:52" ht="19.899999999999999" customHeight="1">
      <c r="D22" s="1426"/>
      <c r="E22" s="1452" t="s">
        <v>835</v>
      </c>
      <c r="F22" s="1438" t="s">
        <v>836</v>
      </c>
      <c r="G22" s="1431" t="s">
        <v>636</v>
      </c>
      <c r="H22" s="489"/>
      <c r="I22" s="489"/>
      <c r="J22" s="489"/>
      <c r="K22" s="489"/>
      <c r="L22" s="489"/>
      <c r="M22" s="489"/>
      <c r="N22" s="489"/>
      <c r="O22" s="489"/>
      <c r="P22" s="489"/>
      <c r="Q22" s="489"/>
      <c r="R22" s="489"/>
      <c r="S22" s="489"/>
      <c r="T22" s="489"/>
      <c r="U22" s="489"/>
      <c r="V22" s="489"/>
      <c r="W22" s="489"/>
      <c r="X22" s="489"/>
      <c r="Y22" s="489"/>
      <c r="Z22" s="489"/>
      <c r="AA22" s="489"/>
      <c r="AB22" s="489"/>
      <c r="AC22" s="489"/>
      <c r="AD22" s="223"/>
      <c r="AE22" s="475"/>
      <c r="AZ22" s="1419">
        <v>19</v>
      </c>
    </row>
    <row r="23" spans="1:52" ht="24" customHeight="1">
      <c r="D23" s="1426"/>
      <c r="E23" s="1452" t="s">
        <v>394</v>
      </c>
      <c r="F23" s="808" t="s">
        <v>837</v>
      </c>
      <c r="G23" s="1431" t="s">
        <v>636</v>
      </c>
      <c r="H23" s="489"/>
      <c r="I23" s="489"/>
      <c r="J23" s="489"/>
      <c r="K23" s="489"/>
      <c r="L23" s="489"/>
      <c r="M23" s="489"/>
      <c r="N23" s="489"/>
      <c r="O23" s="489"/>
      <c r="P23" s="489"/>
      <c r="Q23" s="489"/>
      <c r="R23" s="489"/>
      <c r="S23" s="489"/>
      <c r="T23" s="489"/>
      <c r="U23" s="489"/>
      <c r="V23" s="489"/>
      <c r="W23" s="489"/>
      <c r="X23" s="489"/>
      <c r="Y23" s="489"/>
      <c r="Z23" s="489"/>
      <c r="AA23" s="489"/>
      <c r="AB23" s="489"/>
      <c r="AC23" s="489"/>
      <c r="AD23" s="223" t="s">
        <v>838</v>
      </c>
      <c r="AE23" s="475"/>
      <c r="AZ23" s="1419">
        <v>23</v>
      </c>
    </row>
    <row r="24" spans="1:52" ht="19.899999999999999" customHeight="1">
      <c r="D24" s="1426"/>
      <c r="E24" s="1452" t="s">
        <v>839</v>
      </c>
      <c r="F24" s="1438" t="s">
        <v>840</v>
      </c>
      <c r="G24" s="1431" t="s">
        <v>636</v>
      </c>
      <c r="H24" s="489"/>
      <c r="I24" s="489"/>
      <c r="J24" s="489"/>
      <c r="K24" s="489"/>
      <c r="L24" s="489"/>
      <c r="M24" s="489"/>
      <c r="N24" s="489"/>
      <c r="O24" s="489"/>
      <c r="P24" s="489"/>
      <c r="Q24" s="489"/>
      <c r="R24" s="489"/>
      <c r="S24" s="489"/>
      <c r="T24" s="489"/>
      <c r="U24" s="489"/>
      <c r="V24" s="489"/>
      <c r="W24" s="489"/>
      <c r="X24" s="489"/>
      <c r="Y24" s="489"/>
      <c r="Z24" s="489"/>
      <c r="AA24" s="489"/>
      <c r="AB24" s="489"/>
      <c r="AC24" s="489"/>
      <c r="AD24" s="223"/>
      <c r="AE24" s="475"/>
      <c r="AZ24" s="1419">
        <v>19</v>
      </c>
    </row>
    <row r="25" spans="1:52" ht="35.65" customHeight="1">
      <c r="D25" s="1426"/>
      <c r="E25" s="1452" t="s">
        <v>841</v>
      </c>
      <c r="F25" s="1438" t="s">
        <v>842</v>
      </c>
      <c r="G25" s="1431" t="s">
        <v>636</v>
      </c>
      <c r="H25" s="489"/>
      <c r="I25" s="489"/>
      <c r="J25" s="489"/>
      <c r="K25" s="489"/>
      <c r="L25" s="489"/>
      <c r="M25" s="489"/>
      <c r="N25" s="489"/>
      <c r="O25" s="489"/>
      <c r="P25" s="489"/>
      <c r="Q25" s="489"/>
      <c r="R25" s="489"/>
      <c r="S25" s="489"/>
      <c r="T25" s="489"/>
      <c r="U25" s="489"/>
      <c r="V25" s="489"/>
      <c r="W25" s="489"/>
      <c r="X25" s="489"/>
      <c r="Y25" s="489"/>
      <c r="Z25" s="489"/>
      <c r="AA25" s="489"/>
      <c r="AB25" s="489"/>
      <c r="AC25" s="489"/>
      <c r="AD25" s="223"/>
      <c r="AE25" s="475"/>
      <c r="AZ25" s="1419">
        <v>34</v>
      </c>
    </row>
    <row r="26" spans="1:52" ht="24" customHeight="1">
      <c r="D26" s="1426"/>
      <c r="E26" s="1452" t="s">
        <v>843</v>
      </c>
      <c r="F26" s="808" t="s">
        <v>844</v>
      </c>
      <c r="G26" s="1431" t="s">
        <v>636</v>
      </c>
      <c r="H26" s="489"/>
      <c r="I26" s="489"/>
      <c r="J26" s="489"/>
      <c r="K26" s="489"/>
      <c r="L26" s="489"/>
      <c r="M26" s="489"/>
      <c r="N26" s="489"/>
      <c r="O26" s="489"/>
      <c r="P26" s="489"/>
      <c r="Q26" s="489"/>
      <c r="R26" s="489"/>
      <c r="S26" s="489"/>
      <c r="T26" s="489"/>
      <c r="U26" s="489"/>
      <c r="V26" s="489"/>
      <c r="W26" s="489"/>
      <c r="X26" s="489"/>
      <c r="Y26" s="489"/>
      <c r="Z26" s="489"/>
      <c r="AA26" s="489"/>
      <c r="AB26" s="489"/>
      <c r="AC26" s="489"/>
      <c r="AD26" s="223" t="s">
        <v>845</v>
      </c>
      <c r="AE26" s="475"/>
      <c r="AZ26" s="1419">
        <v>23</v>
      </c>
    </row>
    <row r="27" spans="1:52" ht="19.899999999999999" customHeight="1">
      <c r="D27" s="1426"/>
      <c r="E27" s="1462" t="s">
        <v>846</v>
      </c>
      <c r="F27" s="1438" t="s">
        <v>847</v>
      </c>
      <c r="G27" s="1442" t="s">
        <v>636</v>
      </c>
      <c r="H27" s="1463"/>
      <c r="I27" s="1463"/>
      <c r="J27" s="1463"/>
      <c r="K27" s="1463"/>
      <c r="L27" s="1463"/>
      <c r="M27" s="1463"/>
      <c r="N27" s="1463"/>
      <c r="O27" s="1463"/>
      <c r="P27" s="1463"/>
      <c r="Q27" s="1463"/>
      <c r="R27" s="1463"/>
      <c r="S27" s="1463"/>
      <c r="T27" s="1463"/>
      <c r="U27" s="1463"/>
      <c r="V27" s="1463"/>
      <c r="W27" s="1463"/>
      <c r="X27" s="1463"/>
      <c r="Y27" s="1463"/>
      <c r="Z27" s="1463"/>
      <c r="AA27" s="1463"/>
      <c r="AB27" s="1463"/>
      <c r="AC27" s="1463"/>
      <c r="AD27" s="223"/>
      <c r="AE27" s="475"/>
      <c r="AZ27" s="1419">
        <v>19</v>
      </c>
    </row>
    <row r="28" spans="1:52" ht="19.899999999999999" customHeight="1">
      <c r="D28" s="1426"/>
      <c r="E28" s="1462" t="s">
        <v>848</v>
      </c>
      <c r="F28" s="1438" t="s">
        <v>849</v>
      </c>
      <c r="G28" s="1442" t="s">
        <v>636</v>
      </c>
      <c r="H28" s="1463"/>
      <c r="I28" s="1463"/>
      <c r="J28" s="1463"/>
      <c r="K28" s="1463"/>
      <c r="L28" s="1463"/>
      <c r="M28" s="1463"/>
      <c r="N28" s="1463"/>
      <c r="O28" s="1463"/>
      <c r="P28" s="1463"/>
      <c r="Q28" s="1463"/>
      <c r="R28" s="1463"/>
      <c r="S28" s="1463"/>
      <c r="T28" s="1463"/>
      <c r="U28" s="1463"/>
      <c r="V28" s="1463"/>
      <c r="W28" s="1463"/>
      <c r="X28" s="1463"/>
      <c r="Y28" s="1463"/>
      <c r="Z28" s="1463"/>
      <c r="AA28" s="1463"/>
      <c r="AB28" s="1463"/>
      <c r="AC28" s="1463"/>
      <c r="AD28" s="223"/>
      <c r="AE28" s="475"/>
      <c r="AZ28" s="1419">
        <v>19</v>
      </c>
    </row>
    <row r="29" spans="1:52" ht="19.899999999999999" customHeight="1">
      <c r="D29" s="1426"/>
      <c r="E29" s="1462" t="s">
        <v>850</v>
      </c>
      <c r="F29" s="808" t="s">
        <v>851</v>
      </c>
      <c r="G29" s="1442" t="s">
        <v>636</v>
      </c>
      <c r="H29" s="1463"/>
      <c r="I29" s="1463"/>
      <c r="J29" s="1463"/>
      <c r="K29" s="1463"/>
      <c r="L29" s="1463"/>
      <c r="M29" s="1463"/>
      <c r="N29" s="1463"/>
      <c r="O29" s="1463"/>
      <c r="P29" s="1463"/>
      <c r="Q29" s="1463"/>
      <c r="R29" s="1463"/>
      <c r="S29" s="1463"/>
      <c r="T29" s="1463"/>
      <c r="U29" s="1463"/>
      <c r="V29" s="1463"/>
      <c r="W29" s="1463"/>
      <c r="X29" s="1463"/>
      <c r="Y29" s="1463"/>
      <c r="Z29" s="1463"/>
      <c r="AA29" s="1463"/>
      <c r="AB29" s="1463"/>
      <c r="AC29" s="1463"/>
      <c r="AD29" s="223"/>
      <c r="AE29" s="475"/>
      <c r="AZ29" s="1419">
        <v>19</v>
      </c>
    </row>
    <row r="30" spans="1:52" ht="19.899999999999999" customHeight="1">
      <c r="D30" s="1426"/>
      <c r="E30" s="1462" t="s">
        <v>852</v>
      </c>
      <c r="F30" s="808" t="s">
        <v>853</v>
      </c>
      <c r="G30" s="1442" t="s">
        <v>636</v>
      </c>
      <c r="H30" s="1463"/>
      <c r="I30" s="1463"/>
      <c r="J30" s="1463"/>
      <c r="K30" s="1463"/>
      <c r="L30" s="1463"/>
      <c r="M30" s="1463"/>
      <c r="N30" s="1463"/>
      <c r="O30" s="1463"/>
      <c r="P30" s="1463"/>
      <c r="Q30" s="1463"/>
      <c r="R30" s="1463"/>
      <c r="S30" s="1463"/>
      <c r="T30" s="1463"/>
      <c r="U30" s="1463"/>
      <c r="V30" s="1463"/>
      <c r="W30" s="1463"/>
      <c r="X30" s="1463"/>
      <c r="Y30" s="1463"/>
      <c r="Z30" s="1463"/>
      <c r="AA30" s="1463"/>
      <c r="AB30" s="1463"/>
      <c r="AC30" s="1463"/>
      <c r="AD30" s="223"/>
      <c r="AE30" s="475"/>
      <c r="AZ30" s="1419">
        <v>19</v>
      </c>
    </row>
    <row r="31" spans="1:52" ht="19.899999999999999" customHeight="1">
      <c r="D31" s="1426"/>
      <c r="E31" s="1462" t="s">
        <v>854</v>
      </c>
      <c r="F31" s="808" t="s">
        <v>855</v>
      </c>
      <c r="G31" s="1442" t="s">
        <v>636</v>
      </c>
      <c r="H31" s="1463"/>
      <c r="I31" s="1463"/>
      <c r="J31" s="1463"/>
      <c r="K31" s="1463"/>
      <c r="L31" s="1463"/>
      <c r="M31" s="1463"/>
      <c r="N31" s="1463"/>
      <c r="O31" s="1463"/>
      <c r="P31" s="1463"/>
      <c r="Q31" s="1463"/>
      <c r="R31" s="1463"/>
      <c r="S31" s="1463"/>
      <c r="T31" s="1463"/>
      <c r="U31" s="1463"/>
      <c r="V31" s="1463"/>
      <c r="W31" s="1463"/>
      <c r="X31" s="1463"/>
      <c r="Y31" s="1463"/>
      <c r="Z31" s="1463"/>
      <c r="AA31" s="1463"/>
      <c r="AB31" s="1463"/>
      <c r="AC31" s="1463"/>
      <c r="AD31" s="223"/>
      <c r="AE31" s="475"/>
      <c r="AZ31" s="1419">
        <v>19</v>
      </c>
    </row>
    <row r="32" spans="1:52" s="1154" customFormat="1" ht="35.65" customHeight="1">
      <c r="A32" s="839"/>
      <c r="C32" s="1424"/>
      <c r="D32" s="1426"/>
      <c r="E32" s="1462" t="s">
        <v>856</v>
      </c>
      <c r="F32" s="808" t="s">
        <v>857</v>
      </c>
      <c r="G32" s="1432" t="s">
        <v>636</v>
      </c>
      <c r="H32" s="510">
        <f t="shared" ref="H32:AC32" si="4">SUM(H33:H34)</f>
        <v>0</v>
      </c>
      <c r="I32" s="510">
        <f t="shared" si="4"/>
        <v>0</v>
      </c>
      <c r="J32" s="510">
        <f t="shared" si="4"/>
        <v>0</v>
      </c>
      <c r="K32" s="510">
        <f t="shared" si="4"/>
        <v>0</v>
      </c>
      <c r="L32" s="510">
        <f t="shared" si="4"/>
        <v>0</v>
      </c>
      <c r="M32" s="510">
        <f t="shared" si="4"/>
        <v>0</v>
      </c>
      <c r="N32" s="510">
        <f t="shared" si="4"/>
        <v>0</v>
      </c>
      <c r="O32" s="510">
        <f t="shared" si="4"/>
        <v>0</v>
      </c>
      <c r="P32" s="510">
        <f t="shared" si="4"/>
        <v>0</v>
      </c>
      <c r="Q32" s="510">
        <f t="shared" si="4"/>
        <v>0</v>
      </c>
      <c r="R32" s="510">
        <f t="shared" si="4"/>
        <v>0</v>
      </c>
      <c r="S32" s="510">
        <f t="shared" si="4"/>
        <v>0</v>
      </c>
      <c r="T32" s="510">
        <f t="shared" si="4"/>
        <v>0</v>
      </c>
      <c r="U32" s="510">
        <f t="shared" si="4"/>
        <v>0</v>
      </c>
      <c r="V32" s="510">
        <f t="shared" si="4"/>
        <v>0</v>
      </c>
      <c r="W32" s="510">
        <f t="shared" si="4"/>
        <v>0</v>
      </c>
      <c r="X32" s="510">
        <f t="shared" si="4"/>
        <v>0</v>
      </c>
      <c r="Y32" s="510">
        <f t="shared" si="4"/>
        <v>0</v>
      </c>
      <c r="Z32" s="510">
        <f t="shared" si="4"/>
        <v>0</v>
      </c>
      <c r="AA32" s="510">
        <f t="shared" si="4"/>
        <v>0</v>
      </c>
      <c r="AB32" s="510">
        <f t="shared" si="4"/>
        <v>0</v>
      </c>
      <c r="AC32" s="510">
        <f t="shared" si="4"/>
        <v>0</v>
      </c>
      <c r="AD32" s="223" t="s">
        <v>858</v>
      </c>
      <c r="AE32" s="475"/>
      <c r="AF32" s="1424"/>
      <c r="AG32" s="1424"/>
      <c r="AL32" s="1424"/>
      <c r="AO32" s="476"/>
      <c r="AU32" s="1420"/>
      <c r="AV32" s="1420"/>
      <c r="AW32" s="1420"/>
      <c r="AX32" s="1420"/>
      <c r="AY32" s="1420"/>
      <c r="AZ32" s="961">
        <v>34</v>
      </c>
    </row>
    <row r="33" spans="1:52" s="1430" customFormat="1" ht="1.1499999999999999" customHeight="1">
      <c r="A33" s="968"/>
      <c r="D33" s="480"/>
      <c r="E33" s="701" t="str">
        <f>E32&amp;".0"</f>
        <v>2.8.0</v>
      </c>
      <c r="F33" s="843"/>
      <c r="G33" s="483"/>
      <c r="H33" s="844"/>
      <c r="I33" s="844"/>
      <c r="J33" s="844"/>
      <c r="K33" s="844"/>
      <c r="L33" s="844"/>
      <c r="M33" s="844"/>
      <c r="N33" s="844"/>
      <c r="O33" s="844"/>
      <c r="P33" s="844"/>
      <c r="Q33" s="844"/>
      <c r="R33" s="844"/>
      <c r="S33" s="844"/>
      <c r="T33" s="844"/>
      <c r="U33" s="844"/>
      <c r="V33" s="844"/>
      <c r="W33" s="844"/>
      <c r="X33" s="844"/>
      <c r="Y33" s="844"/>
      <c r="Z33" s="844"/>
      <c r="AA33" s="844"/>
      <c r="AB33" s="844"/>
      <c r="AC33" s="844"/>
      <c r="AD33" s="845"/>
      <c r="AZ33" s="1424">
        <v>1</v>
      </c>
    </row>
    <row r="34" spans="1:52" s="1154" customFormat="1" ht="19.899999999999999" customHeight="1">
      <c r="A34" s="839"/>
      <c r="C34" s="1424"/>
      <c r="D34" s="1421"/>
      <c r="E34" s="502"/>
      <c r="F34" s="1453" t="s">
        <v>671</v>
      </c>
      <c r="G34" s="504"/>
      <c r="H34" s="505"/>
      <c r="I34" s="505"/>
      <c r="J34" s="2016"/>
      <c r="K34" s="2017"/>
      <c r="L34" s="2018"/>
      <c r="M34" s="2019"/>
      <c r="N34" s="2020"/>
      <c r="O34" s="2021"/>
      <c r="P34" s="2022"/>
      <c r="Q34" s="2023"/>
      <c r="R34" s="2024"/>
      <c r="S34" s="2025"/>
      <c r="T34" s="2026"/>
      <c r="U34" s="2027"/>
      <c r="V34" s="2028"/>
      <c r="W34" s="2029"/>
      <c r="X34" s="2030"/>
      <c r="Y34" s="2031"/>
      <c r="Z34" s="2032"/>
      <c r="AA34" s="2033"/>
      <c r="AB34" s="2034"/>
      <c r="AC34" s="2232"/>
      <c r="AD34" s="235" t="s">
        <v>859</v>
      </c>
      <c r="AE34" s="475"/>
      <c r="AF34" s="1424"/>
      <c r="AG34" s="1424"/>
      <c r="AL34" s="1424"/>
      <c r="AO34" s="476"/>
      <c r="AU34" s="1420"/>
      <c r="AV34" s="1420"/>
      <c r="AW34" s="1420"/>
      <c r="AX34" s="1420"/>
      <c r="AY34" s="1420"/>
      <c r="AZ34" s="961">
        <v>19</v>
      </c>
    </row>
    <row r="35" spans="1:52" ht="60" customHeight="1">
      <c r="D35" s="1426"/>
      <c r="E35" s="1462" t="s">
        <v>860</v>
      </c>
      <c r="F35" s="808" t="s">
        <v>861</v>
      </c>
      <c r="G35" s="1442" t="s">
        <v>636</v>
      </c>
      <c r="H35" s="1463"/>
      <c r="I35" s="1463"/>
      <c r="J35" s="1463"/>
      <c r="K35" s="1463"/>
      <c r="L35" s="1463"/>
      <c r="M35" s="1463"/>
      <c r="N35" s="1463"/>
      <c r="O35" s="1463"/>
      <c r="P35" s="1463"/>
      <c r="Q35" s="1463"/>
      <c r="R35" s="1463"/>
      <c r="S35" s="1463"/>
      <c r="T35" s="1463"/>
      <c r="U35" s="1463"/>
      <c r="V35" s="1463"/>
      <c r="W35" s="1463"/>
      <c r="X35" s="1463"/>
      <c r="Y35" s="1463"/>
      <c r="Z35" s="1463"/>
      <c r="AA35" s="1463"/>
      <c r="AB35" s="1463"/>
      <c r="AC35" s="1463"/>
      <c r="AD35" s="223" t="s">
        <v>862</v>
      </c>
      <c r="AE35" s="475"/>
      <c r="AZ35" s="1419">
        <v>57</v>
      </c>
    </row>
    <row r="36" spans="1:52" ht="19.899999999999999" customHeight="1">
      <c r="D36" s="1828"/>
      <c r="E36" s="1462" t="s">
        <v>863</v>
      </c>
      <c r="F36" s="1832" t="s">
        <v>864</v>
      </c>
      <c r="G36" s="1827" t="s">
        <v>636</v>
      </c>
      <c r="H36" s="1833"/>
      <c r="I36" s="1833"/>
      <c r="J36" s="1833"/>
      <c r="K36" s="1833"/>
      <c r="L36" s="1833"/>
      <c r="M36" s="1833"/>
      <c r="N36" s="1833"/>
      <c r="O36" s="1833"/>
      <c r="P36" s="1833"/>
      <c r="Q36" s="1833"/>
      <c r="R36" s="1833"/>
      <c r="S36" s="1833"/>
      <c r="T36" s="1833"/>
      <c r="U36" s="1833"/>
      <c r="V36" s="1833"/>
      <c r="W36" s="1833"/>
      <c r="X36" s="1833"/>
      <c r="Y36" s="1833"/>
      <c r="Z36" s="1833"/>
      <c r="AA36" s="1833"/>
      <c r="AB36" s="1833"/>
      <c r="AC36" s="1833"/>
      <c r="AD36" s="1834" t="s">
        <v>865</v>
      </c>
      <c r="AE36" s="475"/>
      <c r="AZ36" s="1419">
        <v>19</v>
      </c>
    </row>
    <row r="37" spans="1:52" ht="19.899999999999999" customHeight="1">
      <c r="D37" s="1828"/>
      <c r="E37" s="1462" t="s">
        <v>866</v>
      </c>
      <c r="F37" s="1832" t="s">
        <v>867</v>
      </c>
      <c r="G37" s="1827" t="s">
        <v>636</v>
      </c>
      <c r="H37" s="1833"/>
      <c r="I37" s="1833"/>
      <c r="J37" s="1833"/>
      <c r="K37" s="1833"/>
      <c r="L37" s="1833"/>
      <c r="M37" s="1833"/>
      <c r="N37" s="1833"/>
      <c r="O37" s="1833"/>
      <c r="P37" s="1833"/>
      <c r="Q37" s="1833"/>
      <c r="R37" s="1833"/>
      <c r="S37" s="1833"/>
      <c r="T37" s="1833"/>
      <c r="U37" s="1833"/>
      <c r="V37" s="1833"/>
      <c r="W37" s="1833"/>
      <c r="X37" s="1833"/>
      <c r="Y37" s="1833"/>
      <c r="Z37" s="1833"/>
      <c r="AA37" s="1833"/>
      <c r="AB37" s="1833"/>
      <c r="AC37" s="1833"/>
      <c r="AD37" s="1834" t="s">
        <v>868</v>
      </c>
      <c r="AE37" s="475"/>
      <c r="AZ37" s="1419">
        <v>19</v>
      </c>
    </row>
    <row r="38" spans="1:52" s="1154" customFormat="1" ht="24" customHeight="1">
      <c r="A38" s="841" t="s">
        <v>672</v>
      </c>
      <c r="C38" s="1424"/>
      <c r="D38" s="1426"/>
      <c r="E38" s="1452" t="s">
        <v>77</v>
      </c>
      <c r="F38" s="625" t="s">
        <v>869</v>
      </c>
      <c r="G38" s="1431" t="s">
        <v>636</v>
      </c>
      <c r="H38" s="489"/>
      <c r="I38" s="489"/>
      <c r="J38" s="489"/>
      <c r="K38" s="489"/>
      <c r="L38" s="489"/>
      <c r="M38" s="489"/>
      <c r="N38" s="489"/>
      <c r="O38" s="489"/>
      <c r="P38" s="489"/>
      <c r="Q38" s="489"/>
      <c r="R38" s="489"/>
      <c r="S38" s="489"/>
      <c r="T38" s="489"/>
      <c r="U38" s="489"/>
      <c r="V38" s="489"/>
      <c r="W38" s="489"/>
      <c r="X38" s="489"/>
      <c r="Y38" s="489"/>
      <c r="Z38" s="489"/>
      <c r="AA38" s="489"/>
      <c r="AB38" s="489"/>
      <c r="AC38" s="489"/>
      <c r="AD38" s="223" t="s">
        <v>870</v>
      </c>
      <c r="AE38" s="475"/>
      <c r="AF38" s="1424"/>
      <c r="AG38" s="1424"/>
      <c r="AL38" s="1424"/>
      <c r="AO38" s="476"/>
      <c r="AU38" s="1420"/>
      <c r="AV38" s="1420"/>
      <c r="AW38" s="1420"/>
      <c r="AX38" s="1420"/>
      <c r="AY38" s="1420"/>
      <c r="AZ38" s="961">
        <v>23</v>
      </c>
    </row>
    <row r="39" spans="1:52" s="1154" customFormat="1" ht="35.65" customHeight="1">
      <c r="A39" s="841"/>
      <c r="C39" s="1424"/>
      <c r="D39" s="1426"/>
      <c r="E39" s="1452" t="s">
        <v>408</v>
      </c>
      <c r="F39" s="808" t="s">
        <v>871</v>
      </c>
      <c r="G39" s="1442"/>
      <c r="H39" s="489"/>
      <c r="I39" s="489"/>
      <c r="J39" s="489"/>
      <c r="K39" s="489"/>
      <c r="L39" s="489"/>
      <c r="M39" s="489"/>
      <c r="N39" s="489"/>
      <c r="O39" s="489"/>
      <c r="P39" s="489"/>
      <c r="Q39" s="489"/>
      <c r="R39" s="489"/>
      <c r="S39" s="489"/>
      <c r="T39" s="489"/>
      <c r="U39" s="489"/>
      <c r="V39" s="489"/>
      <c r="W39" s="489"/>
      <c r="X39" s="489"/>
      <c r="Y39" s="489"/>
      <c r="Z39" s="489"/>
      <c r="AA39" s="489"/>
      <c r="AB39" s="489"/>
      <c r="AC39" s="489"/>
      <c r="AD39" s="223"/>
      <c r="AE39" s="475"/>
      <c r="AF39" s="1424"/>
      <c r="AG39" s="1424"/>
      <c r="AL39" s="1424"/>
      <c r="AO39" s="476"/>
      <c r="AU39" s="1420"/>
      <c r="AV39" s="1420"/>
      <c r="AW39" s="1420"/>
      <c r="AX39" s="1420"/>
      <c r="AY39" s="1420"/>
      <c r="AZ39" s="961">
        <v>34</v>
      </c>
    </row>
    <row r="40" spans="1:52" s="1154" customFormat="1" ht="19.899999999999999" customHeight="1">
      <c r="A40" s="839"/>
      <c r="C40" s="1424"/>
      <c r="D40" s="507"/>
      <c r="E40" s="1452" t="s">
        <v>78</v>
      </c>
      <c r="F40" s="625" t="s">
        <v>872</v>
      </c>
      <c r="G40" s="1431" t="s">
        <v>636</v>
      </c>
      <c r="H40" s="489"/>
      <c r="I40" s="489"/>
      <c r="J40" s="489"/>
      <c r="K40" s="489"/>
      <c r="L40" s="489"/>
      <c r="M40" s="489"/>
      <c r="N40" s="489"/>
      <c r="O40" s="489"/>
      <c r="P40" s="489"/>
      <c r="Q40" s="489"/>
      <c r="R40" s="489"/>
      <c r="S40" s="489"/>
      <c r="T40" s="489"/>
      <c r="U40" s="489"/>
      <c r="V40" s="489"/>
      <c r="W40" s="489"/>
      <c r="X40" s="489"/>
      <c r="Y40" s="489"/>
      <c r="Z40" s="489"/>
      <c r="AA40" s="489"/>
      <c r="AB40" s="489"/>
      <c r="AC40" s="489"/>
      <c r="AD40" s="223" t="s">
        <v>873</v>
      </c>
      <c r="AE40" s="475"/>
      <c r="AF40" s="1424"/>
      <c r="AG40" s="1424"/>
      <c r="AL40" s="1424"/>
      <c r="AO40" s="476"/>
      <c r="AU40" s="1420"/>
      <c r="AV40" s="1420"/>
      <c r="AW40" s="1420"/>
      <c r="AX40" s="1420"/>
      <c r="AY40" s="1420"/>
      <c r="AZ40" s="961">
        <v>19</v>
      </c>
    </row>
    <row r="41" spans="1:52" s="1154" customFormat="1" ht="24" customHeight="1">
      <c r="A41" s="839"/>
      <c r="C41" s="1424"/>
      <c r="D41" s="507"/>
      <c r="E41" s="1452" t="s">
        <v>874</v>
      </c>
      <c r="F41" s="808" t="s">
        <v>875</v>
      </c>
      <c r="G41" s="1442" t="s">
        <v>636</v>
      </c>
      <c r="H41" s="489"/>
      <c r="I41" s="489"/>
      <c r="J41" s="489"/>
      <c r="K41" s="489"/>
      <c r="L41" s="489"/>
      <c r="M41" s="489"/>
      <c r="N41" s="489"/>
      <c r="O41" s="489"/>
      <c r="P41" s="489"/>
      <c r="Q41" s="489"/>
      <c r="R41" s="489"/>
      <c r="S41" s="489"/>
      <c r="T41" s="489"/>
      <c r="U41" s="489"/>
      <c r="V41" s="489"/>
      <c r="W41" s="489"/>
      <c r="X41" s="489"/>
      <c r="Y41" s="489"/>
      <c r="Z41" s="489"/>
      <c r="AA41" s="489"/>
      <c r="AB41" s="489"/>
      <c r="AC41" s="489"/>
      <c r="AD41" s="223" t="s">
        <v>876</v>
      </c>
      <c r="AE41" s="475"/>
      <c r="AF41" s="1424"/>
      <c r="AG41" s="1424"/>
      <c r="AL41" s="1424"/>
      <c r="AO41" s="476"/>
      <c r="AU41" s="1420"/>
      <c r="AV41" s="1420"/>
      <c r="AW41" s="1420"/>
      <c r="AX41" s="1420"/>
      <c r="AY41" s="1420"/>
      <c r="AZ41" s="961">
        <v>23</v>
      </c>
    </row>
    <row r="42" spans="1:52" s="1154" customFormat="1" ht="24" customHeight="1">
      <c r="A42" s="839"/>
      <c r="C42" s="1424"/>
      <c r="D42" s="1426"/>
      <c r="E42" s="1452" t="s">
        <v>877</v>
      </c>
      <c r="F42" s="1438" t="s">
        <v>878</v>
      </c>
      <c r="G42" s="1431" t="s">
        <v>636</v>
      </c>
      <c r="H42" s="489"/>
      <c r="I42" s="489"/>
      <c r="J42" s="489"/>
      <c r="K42" s="489"/>
      <c r="L42" s="489"/>
      <c r="M42" s="489"/>
      <c r="N42" s="489"/>
      <c r="O42" s="489"/>
      <c r="P42" s="489"/>
      <c r="Q42" s="489"/>
      <c r="R42" s="489"/>
      <c r="S42" s="489"/>
      <c r="T42" s="489"/>
      <c r="U42" s="489"/>
      <c r="V42" s="489"/>
      <c r="W42" s="489"/>
      <c r="X42" s="489"/>
      <c r="Y42" s="489"/>
      <c r="Z42" s="489"/>
      <c r="AA42" s="489"/>
      <c r="AB42" s="489"/>
      <c r="AC42" s="489"/>
      <c r="AD42" s="223" t="s">
        <v>879</v>
      </c>
      <c r="AE42" s="475"/>
      <c r="AF42" s="1424"/>
      <c r="AG42" s="1424"/>
      <c r="AL42" s="1424"/>
      <c r="AO42" s="476"/>
      <c r="AU42" s="1420"/>
      <c r="AV42" s="1420"/>
      <c r="AW42" s="1420"/>
      <c r="AX42" s="1420"/>
      <c r="AY42" s="1420"/>
      <c r="AZ42" s="961">
        <v>23</v>
      </c>
    </row>
    <row r="43" spans="1:52" s="1154" customFormat="1" ht="24" customHeight="1">
      <c r="A43" s="839"/>
      <c r="C43" s="1424"/>
      <c r="D43" s="1426"/>
      <c r="E43" s="1452" t="s">
        <v>880</v>
      </c>
      <c r="F43" s="1438" t="s">
        <v>881</v>
      </c>
      <c r="G43" s="1431" t="s">
        <v>636</v>
      </c>
      <c r="H43" s="489"/>
      <c r="I43" s="489"/>
      <c r="J43" s="489"/>
      <c r="K43" s="489"/>
      <c r="L43" s="489"/>
      <c r="M43" s="489"/>
      <c r="N43" s="489"/>
      <c r="O43" s="489"/>
      <c r="P43" s="489"/>
      <c r="Q43" s="489"/>
      <c r="R43" s="489"/>
      <c r="S43" s="489"/>
      <c r="T43" s="489"/>
      <c r="U43" s="489"/>
      <c r="V43" s="489"/>
      <c r="W43" s="489"/>
      <c r="X43" s="489"/>
      <c r="Y43" s="489"/>
      <c r="Z43" s="489"/>
      <c r="AA43" s="489"/>
      <c r="AB43" s="489"/>
      <c r="AC43" s="489"/>
      <c r="AD43" s="223" t="s">
        <v>882</v>
      </c>
      <c r="AE43" s="475"/>
      <c r="AF43" s="1424"/>
      <c r="AG43" s="1424"/>
      <c r="AL43" s="1424"/>
      <c r="AO43" s="476"/>
      <c r="AU43" s="1420"/>
      <c r="AV43" s="1420"/>
      <c r="AW43" s="1420"/>
      <c r="AX43" s="1420"/>
      <c r="AY43" s="1420"/>
      <c r="AZ43" s="961">
        <v>23</v>
      </c>
    </row>
    <row r="44" spans="1:52" s="1154" customFormat="1" ht="24" customHeight="1">
      <c r="A44" s="839"/>
      <c r="C44" s="1424"/>
      <c r="D44" s="1426"/>
      <c r="E44" s="1452" t="s">
        <v>883</v>
      </c>
      <c r="F44" s="1438" t="s">
        <v>884</v>
      </c>
      <c r="G44" s="1431" t="s">
        <v>636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223" t="s">
        <v>885</v>
      </c>
      <c r="AE44" s="475"/>
      <c r="AF44" s="1424"/>
      <c r="AG44" s="1424"/>
      <c r="AL44" s="1424"/>
      <c r="AO44" s="476"/>
      <c r="AU44" s="1420"/>
      <c r="AV44" s="1420"/>
      <c r="AW44" s="1420"/>
      <c r="AX44" s="1420"/>
      <c r="AY44" s="1420"/>
      <c r="AZ44" s="961">
        <v>23</v>
      </c>
    </row>
    <row r="45" spans="1:52" s="1154" customFormat="1" ht="35.65" customHeight="1">
      <c r="A45" s="839"/>
      <c r="C45" s="1424" t="s">
        <v>674</v>
      </c>
      <c r="D45" s="1426"/>
      <c r="E45" s="1452" t="s">
        <v>115</v>
      </c>
      <c r="F45" s="625" t="s">
        <v>744</v>
      </c>
      <c r="G45" s="1434" t="s">
        <v>886</v>
      </c>
      <c r="H45" s="334"/>
      <c r="I45" s="334"/>
      <c r="J45" s="717"/>
      <c r="K45" s="717"/>
      <c r="L45" s="717"/>
      <c r="M45" s="717"/>
      <c r="N45" s="717"/>
      <c r="O45" s="717"/>
      <c r="P45" s="717"/>
      <c r="Q45" s="717"/>
      <c r="R45" s="717"/>
      <c r="S45" s="717"/>
      <c r="T45" s="717"/>
      <c r="U45" s="717"/>
      <c r="V45" s="717"/>
      <c r="W45" s="717"/>
      <c r="X45" s="717"/>
      <c r="Y45" s="717"/>
      <c r="Z45" s="717"/>
      <c r="AA45" s="717"/>
      <c r="AB45" s="717"/>
      <c r="AC45" s="717"/>
      <c r="AD45" s="223" t="s">
        <v>887</v>
      </c>
      <c r="AE45" s="475"/>
      <c r="AF45" s="1424"/>
      <c r="AG45" s="1424"/>
      <c r="AL45" s="1424"/>
      <c r="AO45" s="476"/>
      <c r="AU45" s="1420"/>
      <c r="AV45" s="1420"/>
      <c r="AW45" s="1420"/>
      <c r="AX45" s="1420"/>
      <c r="AY45" s="1420"/>
      <c r="AZ45" s="961">
        <v>34</v>
      </c>
    </row>
    <row r="46" spans="1:52" s="1154" customFormat="1" ht="35.65" customHeight="1">
      <c r="A46" s="839"/>
      <c r="C46" s="1424"/>
      <c r="D46" s="1426"/>
      <c r="E46" s="1452" t="s">
        <v>79</v>
      </c>
      <c r="F46" s="625" t="s">
        <v>888</v>
      </c>
      <c r="G46" s="1431" t="s">
        <v>889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223" t="s">
        <v>890</v>
      </c>
      <c r="AE46" s="475"/>
      <c r="AF46" s="1424"/>
      <c r="AG46" s="1424"/>
      <c r="AL46" s="1424"/>
      <c r="AO46" s="476"/>
      <c r="AU46" s="1420"/>
      <c r="AV46" s="1420"/>
      <c r="AW46" s="1420"/>
      <c r="AX46" s="1420"/>
      <c r="AY46" s="1420"/>
      <c r="AZ46" s="961">
        <v>34</v>
      </c>
    </row>
    <row r="47" spans="1:52" s="1154" customFormat="1" ht="24" customHeight="1">
      <c r="A47" s="839"/>
      <c r="C47" s="1424"/>
      <c r="D47" s="1426"/>
      <c r="E47" s="1452" t="s">
        <v>80</v>
      </c>
      <c r="F47" s="625" t="s">
        <v>891</v>
      </c>
      <c r="G47" s="1442" t="s">
        <v>892</v>
      </c>
      <c r="H47" s="477"/>
      <c r="I47" s="477"/>
      <c r="J47" s="477"/>
      <c r="K47" s="477"/>
      <c r="L47" s="477"/>
      <c r="M47" s="477"/>
      <c r="N47" s="477"/>
      <c r="O47" s="477"/>
      <c r="P47" s="477"/>
      <c r="Q47" s="477"/>
      <c r="R47" s="477"/>
      <c r="S47" s="477"/>
      <c r="T47" s="477"/>
      <c r="U47" s="477"/>
      <c r="V47" s="477"/>
      <c r="W47" s="477"/>
      <c r="X47" s="477"/>
      <c r="Y47" s="477"/>
      <c r="Z47" s="477"/>
      <c r="AA47" s="477"/>
      <c r="AB47" s="477"/>
      <c r="AC47" s="477"/>
      <c r="AD47" s="223" t="s">
        <v>893</v>
      </c>
      <c r="AE47" s="475"/>
      <c r="AF47" s="1424"/>
      <c r="AG47" s="1424"/>
      <c r="AL47" s="1424"/>
      <c r="AO47" s="476"/>
      <c r="AU47" s="1420"/>
      <c r="AV47" s="1420"/>
      <c r="AW47" s="1420"/>
      <c r="AX47" s="1420"/>
      <c r="AY47" s="1420"/>
      <c r="AZ47" s="961">
        <v>23</v>
      </c>
    </row>
    <row r="48" spans="1:52" s="1154" customFormat="1" ht="19.899999999999999" customHeight="1">
      <c r="A48" s="839"/>
      <c r="C48" s="1424"/>
      <c r="D48" s="1426"/>
      <c r="E48" s="1452" t="s">
        <v>131</v>
      </c>
      <c r="F48" s="625" t="s">
        <v>894</v>
      </c>
      <c r="G48" s="1431" t="s">
        <v>685</v>
      </c>
      <c r="H48" s="508"/>
      <c r="I48" s="508"/>
      <c r="J48" s="508"/>
      <c r="K48" s="508"/>
      <c r="L48" s="508"/>
      <c r="M48" s="508"/>
      <c r="N48" s="508"/>
      <c r="O48" s="508"/>
      <c r="P48" s="508"/>
      <c r="Q48" s="508"/>
      <c r="R48" s="508"/>
      <c r="S48" s="508"/>
      <c r="T48" s="508"/>
      <c r="U48" s="508"/>
      <c r="V48" s="508"/>
      <c r="W48" s="508"/>
      <c r="X48" s="508"/>
      <c r="Y48" s="508"/>
      <c r="Z48" s="508"/>
      <c r="AA48" s="508"/>
      <c r="AB48" s="508"/>
      <c r="AC48" s="508"/>
      <c r="AD48" s="223"/>
      <c r="AE48" s="475"/>
      <c r="AF48" s="1424"/>
      <c r="AG48" s="1424"/>
      <c r="AL48" s="1424"/>
      <c r="AO48" s="476"/>
      <c r="AU48" s="1420"/>
      <c r="AV48" s="1420"/>
      <c r="AW48" s="1420"/>
      <c r="AX48" s="1420"/>
      <c r="AY48" s="1420"/>
      <c r="AZ48" s="961">
        <v>19</v>
      </c>
    </row>
    <row r="49" spans="1:52" ht="11.45" customHeight="1">
      <c r="D49" s="1426"/>
      <c r="AZ49" s="1419">
        <v>11</v>
      </c>
    </row>
    <row r="50" spans="1:52" s="1429" customFormat="1" ht="11.45" customHeight="1">
      <c r="A50" s="839"/>
      <c r="B50" s="1424"/>
      <c r="C50" s="1424"/>
      <c r="D50" s="284"/>
      <c r="AE50" s="961"/>
      <c r="AF50" s="1424"/>
      <c r="AG50" s="1424"/>
      <c r="AH50" s="961"/>
      <c r="AI50" s="961"/>
      <c r="AJ50" s="961"/>
      <c r="AK50" s="961"/>
      <c r="AL50" s="1424"/>
      <c r="AM50" s="961"/>
      <c r="AN50" s="961"/>
      <c r="AO50" s="476"/>
      <c r="AP50" s="961"/>
      <c r="AQ50" s="961"/>
      <c r="AR50" s="961"/>
      <c r="AS50" s="961"/>
      <c r="AT50" s="961"/>
      <c r="AU50" s="1420"/>
      <c r="AV50" s="498"/>
      <c r="AW50" s="498"/>
      <c r="AX50" s="498"/>
      <c r="AY50" s="498"/>
      <c r="AZ50" s="1429">
        <v>11</v>
      </c>
    </row>
    <row r="51" spans="1:52" s="1429" customFormat="1" ht="11.45" customHeight="1">
      <c r="A51" s="839"/>
      <c r="B51" s="1424"/>
      <c r="C51" s="1424"/>
      <c r="D51" s="284"/>
      <c r="AE51" s="961"/>
      <c r="AF51" s="1424"/>
      <c r="AG51" s="1424"/>
      <c r="AH51" s="961"/>
      <c r="AI51" s="961"/>
      <c r="AJ51" s="961"/>
      <c r="AK51" s="961"/>
      <c r="AL51" s="1424"/>
      <c r="AM51" s="961"/>
      <c r="AN51" s="961"/>
      <c r="AO51" s="476"/>
      <c r="AP51" s="961"/>
      <c r="AQ51" s="961"/>
      <c r="AR51" s="961"/>
      <c r="AS51" s="961"/>
      <c r="AT51" s="961"/>
      <c r="AU51" s="1420"/>
      <c r="AV51" s="498"/>
      <c r="AW51" s="498"/>
      <c r="AX51" s="498"/>
      <c r="AY51" s="498"/>
      <c r="AZ51" s="1429">
        <v>11</v>
      </c>
    </row>
    <row r="52" spans="1:52" s="1429" customFormat="1" ht="11.45" customHeight="1">
      <c r="A52" s="839"/>
      <c r="B52" s="1424"/>
      <c r="C52" s="1424"/>
      <c r="D52" s="284"/>
      <c r="H52" s="498"/>
      <c r="I52" s="498"/>
      <c r="J52" s="553"/>
      <c r="K52" s="553"/>
      <c r="L52" s="553"/>
      <c r="M52" s="553"/>
      <c r="N52" s="553"/>
      <c r="O52" s="553"/>
      <c r="P52" s="553"/>
      <c r="Q52" s="553"/>
      <c r="R52" s="553"/>
      <c r="S52" s="553"/>
      <c r="T52" s="553"/>
      <c r="U52" s="553"/>
      <c r="V52" s="553"/>
      <c r="W52" s="553"/>
      <c r="X52" s="553"/>
      <c r="Y52" s="553"/>
      <c r="Z52" s="553"/>
      <c r="AA52" s="553"/>
      <c r="AB52" s="553"/>
      <c r="AC52" s="553"/>
      <c r="AE52" s="961"/>
      <c r="AF52" s="1424"/>
      <c r="AG52" s="1424"/>
      <c r="AH52" s="961"/>
      <c r="AI52" s="961"/>
      <c r="AJ52" s="961"/>
      <c r="AK52" s="961"/>
      <c r="AL52" s="1424"/>
      <c r="AM52" s="961"/>
      <c r="AN52" s="961"/>
      <c r="AO52" s="476"/>
      <c r="AP52" s="961"/>
      <c r="AQ52" s="961"/>
      <c r="AR52" s="961"/>
      <c r="AS52" s="961"/>
      <c r="AT52" s="961"/>
      <c r="AU52" s="1420"/>
      <c r="AV52" s="498"/>
      <c r="AW52" s="498"/>
      <c r="AX52" s="498"/>
      <c r="AY52" s="498"/>
      <c r="AZ52" s="1429">
        <v>11</v>
      </c>
    </row>
    <row r="53" spans="1:52" s="1429" customFormat="1" ht="11.45" customHeight="1">
      <c r="A53" s="839"/>
      <c r="B53" s="1424"/>
      <c r="C53" s="1424"/>
      <c r="D53" s="284"/>
      <c r="AE53" s="961"/>
      <c r="AF53" s="1424"/>
      <c r="AG53" s="1424"/>
      <c r="AH53" s="961"/>
      <c r="AI53" s="961"/>
      <c r="AJ53" s="961"/>
      <c r="AK53" s="961"/>
      <c r="AL53" s="1424"/>
      <c r="AM53" s="961"/>
      <c r="AN53" s="961"/>
      <c r="AO53" s="476"/>
      <c r="AP53" s="961"/>
      <c r="AQ53" s="961"/>
      <c r="AR53" s="961"/>
      <c r="AS53" s="961"/>
      <c r="AT53" s="961"/>
      <c r="AU53" s="1420"/>
      <c r="AV53" s="498"/>
      <c r="AW53" s="498"/>
      <c r="AX53" s="498"/>
      <c r="AY53" s="498"/>
      <c r="AZ53" s="1429">
        <v>11</v>
      </c>
    </row>
    <row r="54" spans="1:52" s="1429" customFormat="1" ht="11.45" customHeight="1">
      <c r="A54" s="839"/>
      <c r="B54" s="1424"/>
      <c r="C54" s="1424"/>
      <c r="D54" s="284"/>
      <c r="AE54" s="961"/>
      <c r="AF54" s="1424"/>
      <c r="AG54" s="1424"/>
      <c r="AH54" s="961"/>
      <c r="AI54" s="961"/>
      <c r="AJ54" s="961"/>
      <c r="AK54" s="961"/>
      <c r="AL54" s="1424"/>
      <c r="AM54" s="961"/>
      <c r="AN54" s="961"/>
      <c r="AO54" s="476"/>
      <c r="AP54" s="961"/>
      <c r="AQ54" s="961"/>
      <c r="AR54" s="961"/>
      <c r="AS54" s="961"/>
      <c r="AT54" s="961"/>
      <c r="AU54" s="1420"/>
      <c r="AV54" s="498"/>
      <c r="AW54" s="498"/>
      <c r="AX54" s="498"/>
      <c r="AY54" s="498"/>
      <c r="AZ54" s="1429">
        <v>11</v>
      </c>
    </row>
    <row r="55" spans="1:52" s="1429" customFormat="1" ht="11.45" customHeight="1">
      <c r="A55" s="839"/>
      <c r="B55" s="1424"/>
      <c r="C55" s="1424"/>
      <c r="D55" s="284"/>
      <c r="AE55" s="961"/>
      <c r="AF55" s="1424"/>
      <c r="AG55" s="1424"/>
      <c r="AH55" s="961"/>
      <c r="AI55" s="961"/>
      <c r="AJ55" s="961"/>
      <c r="AK55" s="961"/>
      <c r="AL55" s="1424"/>
      <c r="AM55" s="961"/>
      <c r="AN55" s="961"/>
      <c r="AO55" s="476"/>
      <c r="AP55" s="961"/>
      <c r="AQ55" s="961"/>
      <c r="AR55" s="961"/>
      <c r="AS55" s="961"/>
      <c r="AT55" s="961"/>
      <c r="AU55" s="1420"/>
      <c r="AV55" s="498"/>
      <c r="AW55" s="498"/>
      <c r="AX55" s="498"/>
      <c r="AY55" s="498"/>
      <c r="AZ55" s="1429">
        <v>11</v>
      </c>
    </row>
    <row r="56" spans="1:52" s="1429" customFormat="1" ht="11.45" customHeight="1">
      <c r="A56" s="839"/>
      <c r="B56" s="1424"/>
      <c r="C56" s="1424"/>
      <c r="D56" s="284"/>
      <c r="AE56" s="961"/>
      <c r="AF56" s="1424"/>
      <c r="AG56" s="1424"/>
      <c r="AH56" s="961"/>
      <c r="AI56" s="961"/>
      <c r="AJ56" s="961"/>
      <c r="AK56" s="961"/>
      <c r="AL56" s="1424"/>
      <c r="AM56" s="961"/>
      <c r="AN56" s="961"/>
      <c r="AO56" s="476"/>
      <c r="AP56" s="961"/>
      <c r="AQ56" s="961"/>
      <c r="AR56" s="961"/>
      <c r="AS56" s="961"/>
      <c r="AT56" s="961"/>
      <c r="AU56" s="1420"/>
      <c r="AV56" s="498"/>
      <c r="AW56" s="498"/>
      <c r="AX56" s="498"/>
      <c r="AY56" s="498"/>
      <c r="AZ56" s="1429">
        <v>11</v>
      </c>
    </row>
    <row r="57" spans="1:52" s="1429" customFormat="1" ht="11.45" customHeight="1">
      <c r="A57" s="839"/>
      <c r="B57" s="1424"/>
      <c r="C57" s="1424"/>
      <c r="D57" s="284"/>
      <c r="AE57" s="961"/>
      <c r="AF57" s="1424"/>
      <c r="AG57" s="1424"/>
      <c r="AH57" s="961"/>
      <c r="AI57" s="961"/>
      <c r="AJ57" s="961"/>
      <c r="AK57" s="961"/>
      <c r="AL57" s="1424"/>
      <c r="AM57" s="961"/>
      <c r="AN57" s="961"/>
      <c r="AO57" s="476"/>
      <c r="AP57" s="961"/>
      <c r="AQ57" s="961"/>
      <c r="AR57" s="961"/>
      <c r="AS57" s="961"/>
      <c r="AT57" s="961"/>
      <c r="AU57" s="1420"/>
      <c r="AV57" s="498"/>
      <c r="AW57" s="498"/>
      <c r="AX57" s="498"/>
      <c r="AY57" s="498"/>
      <c r="AZ57" s="1429">
        <v>11</v>
      </c>
    </row>
    <row r="58" spans="1:52" s="1429" customFormat="1" ht="11.45" customHeight="1">
      <c r="A58" s="839"/>
      <c r="B58" s="1424"/>
      <c r="C58" s="1424"/>
      <c r="D58" s="284"/>
      <c r="AE58" s="961"/>
      <c r="AF58" s="1424"/>
      <c r="AG58" s="1424"/>
      <c r="AH58" s="961"/>
      <c r="AI58" s="961"/>
      <c r="AJ58" s="961"/>
      <c r="AK58" s="961"/>
      <c r="AL58" s="1424"/>
      <c r="AM58" s="961"/>
      <c r="AN58" s="961"/>
      <c r="AO58" s="476"/>
      <c r="AP58" s="961"/>
      <c r="AQ58" s="961"/>
      <c r="AR58" s="961"/>
      <c r="AS58" s="961"/>
      <c r="AT58" s="961"/>
      <c r="AU58" s="1420"/>
      <c r="AV58" s="498"/>
      <c r="AW58" s="498"/>
      <c r="AX58" s="498"/>
      <c r="AY58" s="498"/>
      <c r="AZ58" s="1429">
        <v>11</v>
      </c>
    </row>
    <row r="59" spans="1:52" s="1429" customFormat="1" ht="11.45" customHeight="1">
      <c r="A59" s="839"/>
      <c r="B59" s="1424"/>
      <c r="C59" s="1424"/>
      <c r="D59" s="284"/>
      <c r="AE59" s="961"/>
      <c r="AF59" s="1424"/>
      <c r="AG59" s="1424"/>
      <c r="AH59" s="961"/>
      <c r="AI59" s="961"/>
      <c r="AJ59" s="961"/>
      <c r="AK59" s="961"/>
      <c r="AL59" s="1424"/>
      <c r="AM59" s="961"/>
      <c r="AN59" s="961"/>
      <c r="AO59" s="476"/>
      <c r="AP59" s="961"/>
      <c r="AQ59" s="961"/>
      <c r="AR59" s="961"/>
      <c r="AS59" s="961"/>
      <c r="AT59" s="961"/>
      <c r="AU59" s="1420"/>
      <c r="AV59" s="498"/>
      <c r="AW59" s="498"/>
      <c r="AX59" s="498"/>
      <c r="AY59" s="498"/>
      <c r="AZ59" s="1429">
        <v>11</v>
      </c>
    </row>
    <row r="60" spans="1:52" s="1429" customFormat="1" ht="11.45" customHeight="1">
      <c r="A60" s="839"/>
      <c r="B60" s="1424"/>
      <c r="C60" s="1424"/>
      <c r="D60" s="284"/>
      <c r="AE60" s="961"/>
      <c r="AF60" s="1424"/>
      <c r="AG60" s="1424"/>
      <c r="AH60" s="961"/>
      <c r="AI60" s="961"/>
      <c r="AJ60" s="961"/>
      <c r="AK60" s="961"/>
      <c r="AL60" s="1424"/>
      <c r="AM60" s="961"/>
      <c r="AN60" s="961"/>
      <c r="AO60" s="476"/>
      <c r="AP60" s="961"/>
      <c r="AQ60" s="961"/>
      <c r="AR60" s="961"/>
      <c r="AS60" s="961"/>
      <c r="AT60" s="961"/>
      <c r="AU60" s="1420"/>
      <c r="AV60" s="498"/>
      <c r="AW60" s="498"/>
      <c r="AX60" s="498"/>
      <c r="AY60" s="498"/>
      <c r="AZ60" s="1429">
        <v>11</v>
      </c>
    </row>
    <row r="61" spans="1:52" s="1429" customFormat="1" ht="11.45" customHeight="1">
      <c r="A61" s="839"/>
      <c r="B61" s="1424"/>
      <c r="C61" s="1424"/>
      <c r="D61" s="284"/>
      <c r="AE61" s="961"/>
      <c r="AF61" s="1424"/>
      <c r="AG61" s="1424"/>
      <c r="AH61" s="961"/>
      <c r="AI61" s="961"/>
      <c r="AJ61" s="961"/>
      <c r="AK61" s="961"/>
      <c r="AL61" s="1424"/>
      <c r="AM61" s="961"/>
      <c r="AN61" s="961"/>
      <c r="AO61" s="476"/>
      <c r="AP61" s="961"/>
      <c r="AQ61" s="961"/>
      <c r="AR61" s="961"/>
      <c r="AS61" s="961"/>
      <c r="AT61" s="961"/>
      <c r="AU61" s="1420"/>
      <c r="AV61" s="498"/>
      <c r="AW61" s="498"/>
      <c r="AX61" s="498"/>
      <c r="AY61" s="498"/>
      <c r="AZ61" s="1429">
        <v>11</v>
      </c>
    </row>
    <row r="62" spans="1:52" s="1429" customFormat="1" ht="11.45" customHeight="1">
      <c r="A62" s="839"/>
      <c r="B62" s="1424"/>
      <c r="C62" s="1424"/>
      <c r="D62" s="284"/>
      <c r="AE62" s="961"/>
      <c r="AF62" s="1424"/>
      <c r="AG62" s="1424"/>
      <c r="AH62" s="961"/>
      <c r="AI62" s="961"/>
      <c r="AJ62" s="961"/>
      <c r="AK62" s="961"/>
      <c r="AL62" s="1424"/>
      <c r="AM62" s="961"/>
      <c r="AN62" s="961"/>
      <c r="AO62" s="476"/>
      <c r="AP62" s="961"/>
      <c r="AQ62" s="961"/>
      <c r="AR62" s="961"/>
      <c r="AS62" s="961"/>
      <c r="AT62" s="961"/>
      <c r="AU62" s="1420"/>
      <c r="AV62" s="498"/>
      <c r="AW62" s="498"/>
      <c r="AX62" s="498"/>
      <c r="AY62" s="498"/>
      <c r="AZ62" s="1429">
        <v>11</v>
      </c>
    </row>
    <row r="63" spans="1:52" s="1429" customFormat="1" ht="11.45" customHeight="1">
      <c r="A63" s="839"/>
      <c r="B63" s="1424"/>
      <c r="C63" s="1424"/>
      <c r="D63" s="284"/>
      <c r="AE63" s="961"/>
      <c r="AF63" s="1424"/>
      <c r="AG63" s="1424"/>
      <c r="AH63" s="961"/>
      <c r="AI63" s="961"/>
      <c r="AJ63" s="961"/>
      <c r="AK63" s="961"/>
      <c r="AL63" s="1424"/>
      <c r="AM63" s="961"/>
      <c r="AN63" s="961"/>
      <c r="AO63" s="476"/>
      <c r="AP63" s="961"/>
      <c r="AQ63" s="961"/>
      <c r="AR63" s="961"/>
      <c r="AS63" s="961"/>
      <c r="AT63" s="961"/>
      <c r="AU63" s="1420"/>
      <c r="AV63" s="498"/>
      <c r="AW63" s="498"/>
      <c r="AX63" s="498"/>
      <c r="AY63" s="498"/>
      <c r="AZ63" s="1429">
        <v>11</v>
      </c>
    </row>
    <row r="64" spans="1:52" s="1429" customFormat="1" ht="11.45" customHeight="1">
      <c r="A64" s="839"/>
      <c r="B64" s="1424"/>
      <c r="C64" s="1424"/>
      <c r="D64" s="284"/>
      <c r="AE64" s="961"/>
      <c r="AF64" s="1424"/>
      <c r="AG64" s="1424"/>
      <c r="AH64" s="961"/>
      <c r="AI64" s="961"/>
      <c r="AJ64" s="961"/>
      <c r="AK64" s="961"/>
      <c r="AL64" s="1424"/>
      <c r="AM64" s="961"/>
      <c r="AN64" s="961"/>
      <c r="AO64" s="476"/>
      <c r="AP64" s="961"/>
      <c r="AQ64" s="961"/>
      <c r="AR64" s="961"/>
      <c r="AS64" s="961"/>
      <c r="AT64" s="961"/>
      <c r="AU64" s="1420"/>
      <c r="AV64" s="498"/>
      <c r="AW64" s="498"/>
      <c r="AX64" s="498"/>
      <c r="AY64" s="498"/>
      <c r="AZ64" s="1429">
        <v>11</v>
      </c>
    </row>
    <row r="65" spans="1:52" s="1429" customFormat="1" ht="11.45" customHeight="1">
      <c r="A65" s="839"/>
      <c r="B65" s="1424"/>
      <c r="C65" s="1424"/>
      <c r="D65" s="284"/>
      <c r="AE65" s="961"/>
      <c r="AF65" s="1424"/>
      <c r="AG65" s="1424"/>
      <c r="AH65" s="961"/>
      <c r="AI65" s="961"/>
      <c r="AJ65" s="961"/>
      <c r="AK65" s="961"/>
      <c r="AL65" s="1424"/>
      <c r="AM65" s="961"/>
      <c r="AN65" s="961"/>
      <c r="AO65" s="476"/>
      <c r="AP65" s="961"/>
      <c r="AQ65" s="961"/>
      <c r="AR65" s="961"/>
      <c r="AS65" s="961"/>
      <c r="AT65" s="961"/>
      <c r="AU65" s="1420"/>
      <c r="AV65" s="498"/>
      <c r="AW65" s="498"/>
      <c r="AX65" s="498"/>
      <c r="AY65" s="498"/>
      <c r="AZ65" s="1429">
        <v>11</v>
      </c>
    </row>
    <row r="66" spans="1:52" s="1429" customFormat="1" ht="11.45" customHeight="1">
      <c r="A66" s="839"/>
      <c r="B66" s="1424"/>
      <c r="C66" s="1424"/>
      <c r="D66" s="284"/>
      <c r="AE66" s="961"/>
      <c r="AF66" s="1424"/>
      <c r="AG66" s="1424"/>
      <c r="AH66" s="961"/>
      <c r="AI66" s="961"/>
      <c r="AJ66" s="961"/>
      <c r="AK66" s="961"/>
      <c r="AL66" s="1424"/>
      <c r="AM66" s="961"/>
      <c r="AN66" s="961"/>
      <c r="AO66" s="476"/>
      <c r="AP66" s="961"/>
      <c r="AQ66" s="961"/>
      <c r="AR66" s="961"/>
      <c r="AS66" s="961"/>
      <c r="AT66" s="961"/>
      <c r="AU66" s="1420"/>
      <c r="AV66" s="498"/>
      <c r="AW66" s="498"/>
      <c r="AX66" s="498"/>
      <c r="AY66" s="498"/>
      <c r="AZ66" s="1429">
        <v>11</v>
      </c>
    </row>
    <row r="67" spans="1:52" s="1429" customFormat="1" ht="11.45" customHeight="1">
      <c r="A67" s="839"/>
      <c r="B67" s="1424"/>
      <c r="C67" s="1424"/>
      <c r="D67" s="284"/>
      <c r="AE67" s="961"/>
      <c r="AF67" s="1424"/>
      <c r="AG67" s="1424"/>
      <c r="AH67" s="961"/>
      <c r="AI67" s="961"/>
      <c r="AJ67" s="961"/>
      <c r="AK67" s="961"/>
      <c r="AL67" s="1424"/>
      <c r="AM67" s="961"/>
      <c r="AN67" s="961"/>
      <c r="AO67" s="476"/>
      <c r="AP67" s="961"/>
      <c r="AQ67" s="961"/>
      <c r="AR67" s="961"/>
      <c r="AS67" s="961"/>
      <c r="AT67" s="961"/>
      <c r="AU67" s="1420"/>
      <c r="AV67" s="498"/>
      <c r="AW67" s="498"/>
      <c r="AX67" s="498"/>
      <c r="AY67" s="498"/>
      <c r="AZ67" s="1429">
        <v>11</v>
      </c>
    </row>
    <row r="68" spans="1:52" s="1429" customFormat="1" ht="11.45" customHeight="1">
      <c r="A68" s="839"/>
      <c r="B68" s="1424"/>
      <c r="C68" s="1424"/>
      <c r="D68" s="284"/>
      <c r="AE68" s="961"/>
      <c r="AF68" s="1424"/>
      <c r="AG68" s="1424"/>
      <c r="AH68" s="961"/>
      <c r="AI68" s="961"/>
      <c r="AJ68" s="961"/>
      <c r="AK68" s="961"/>
      <c r="AL68" s="1424"/>
      <c r="AM68" s="961"/>
      <c r="AN68" s="961"/>
      <c r="AO68" s="476"/>
      <c r="AP68" s="961"/>
      <c r="AQ68" s="961"/>
      <c r="AR68" s="961"/>
      <c r="AS68" s="961"/>
      <c r="AT68" s="961"/>
      <c r="AU68" s="1420"/>
      <c r="AV68" s="498"/>
      <c r="AW68" s="498"/>
      <c r="AX68" s="498"/>
      <c r="AY68" s="498"/>
      <c r="AZ68" s="1429">
        <v>11</v>
      </c>
    </row>
    <row r="69" spans="1:52" s="1429" customFormat="1" ht="11.45" customHeight="1">
      <c r="A69" s="839"/>
      <c r="B69" s="1424"/>
      <c r="C69" s="1424"/>
      <c r="D69" s="284"/>
      <c r="AE69" s="961"/>
      <c r="AF69" s="1424"/>
      <c r="AG69" s="1424"/>
      <c r="AH69" s="961"/>
      <c r="AI69" s="961"/>
      <c r="AJ69" s="961"/>
      <c r="AK69" s="961"/>
      <c r="AL69" s="1424"/>
      <c r="AM69" s="961"/>
      <c r="AN69" s="961"/>
      <c r="AO69" s="476"/>
      <c r="AP69" s="961"/>
      <c r="AQ69" s="961"/>
      <c r="AR69" s="961"/>
      <c r="AS69" s="961"/>
      <c r="AT69" s="961"/>
      <c r="AU69" s="1420"/>
      <c r="AV69" s="498"/>
      <c r="AW69" s="498"/>
      <c r="AX69" s="498"/>
      <c r="AY69" s="498"/>
      <c r="AZ69" s="1429">
        <v>11</v>
      </c>
    </row>
    <row r="70" spans="1:52" s="1429" customFormat="1" ht="11.45" customHeight="1">
      <c r="A70" s="839"/>
      <c r="B70" s="1424"/>
      <c r="C70" s="1424"/>
      <c r="D70" s="284"/>
      <c r="AE70" s="961"/>
      <c r="AF70" s="1424"/>
      <c r="AG70" s="1424"/>
      <c r="AH70" s="961"/>
      <c r="AI70" s="961"/>
      <c r="AJ70" s="961"/>
      <c r="AK70" s="961"/>
      <c r="AL70" s="1424"/>
      <c r="AM70" s="961"/>
      <c r="AN70" s="961"/>
      <c r="AO70" s="476"/>
      <c r="AP70" s="961"/>
      <c r="AQ70" s="961"/>
      <c r="AR70" s="961"/>
      <c r="AS70" s="961"/>
      <c r="AT70" s="961"/>
      <c r="AU70" s="1420"/>
      <c r="AV70" s="498"/>
      <c r="AW70" s="498"/>
      <c r="AX70" s="498"/>
      <c r="AY70" s="498"/>
      <c r="AZ70" s="1429">
        <v>11</v>
      </c>
    </row>
    <row r="71" spans="1:52" s="1429" customFormat="1" ht="11.45" customHeight="1">
      <c r="A71" s="839"/>
      <c r="B71" s="1424"/>
      <c r="C71" s="1424"/>
      <c r="D71" s="284"/>
      <c r="AE71" s="961"/>
      <c r="AF71" s="1424"/>
      <c r="AG71" s="1424"/>
      <c r="AH71" s="961"/>
      <c r="AI71" s="961"/>
      <c r="AJ71" s="961"/>
      <c r="AK71" s="961"/>
      <c r="AL71" s="1424"/>
      <c r="AM71" s="961"/>
      <c r="AN71" s="961"/>
      <c r="AO71" s="476"/>
      <c r="AP71" s="961"/>
      <c r="AQ71" s="961"/>
      <c r="AR71" s="961"/>
      <c r="AS71" s="961"/>
      <c r="AT71" s="961"/>
      <c r="AU71" s="1420"/>
      <c r="AV71" s="498"/>
      <c r="AW71" s="498"/>
      <c r="AX71" s="498"/>
      <c r="AY71" s="498"/>
      <c r="AZ71" s="1429">
        <v>11</v>
      </c>
    </row>
    <row r="72" spans="1:52" s="1429" customFormat="1" ht="11.45" customHeight="1">
      <c r="A72" s="839"/>
      <c r="B72" s="1424"/>
      <c r="C72" s="1424"/>
      <c r="D72" s="284"/>
      <c r="AE72" s="961"/>
      <c r="AF72" s="1424"/>
      <c r="AG72" s="1424"/>
      <c r="AH72" s="961"/>
      <c r="AI72" s="961"/>
      <c r="AJ72" s="961"/>
      <c r="AK72" s="961"/>
      <c r="AL72" s="1424"/>
      <c r="AM72" s="961"/>
      <c r="AN72" s="961"/>
      <c r="AO72" s="476"/>
      <c r="AP72" s="961"/>
      <c r="AQ72" s="961"/>
      <c r="AR72" s="961"/>
      <c r="AS72" s="961"/>
      <c r="AT72" s="961"/>
      <c r="AU72" s="1420"/>
      <c r="AV72" s="498"/>
      <c r="AW72" s="498"/>
      <c r="AX72" s="498"/>
      <c r="AY72" s="498"/>
      <c r="AZ72" s="1429">
        <v>11</v>
      </c>
    </row>
    <row r="73" spans="1:52" s="1429" customFormat="1" ht="11.45" customHeight="1">
      <c r="A73" s="839"/>
      <c r="B73" s="1424"/>
      <c r="C73" s="1424"/>
      <c r="D73" s="284"/>
      <c r="AE73" s="961"/>
      <c r="AF73" s="1424"/>
      <c r="AG73" s="1424"/>
      <c r="AH73" s="961"/>
      <c r="AI73" s="961"/>
      <c r="AJ73" s="961"/>
      <c r="AK73" s="961"/>
      <c r="AL73" s="1424"/>
      <c r="AM73" s="961"/>
      <c r="AN73" s="961"/>
      <c r="AO73" s="476"/>
      <c r="AP73" s="961"/>
      <c r="AQ73" s="961"/>
      <c r="AR73" s="961"/>
      <c r="AS73" s="961"/>
      <c r="AT73" s="961"/>
      <c r="AU73" s="1420"/>
      <c r="AV73" s="498"/>
      <c r="AW73" s="498"/>
      <c r="AX73" s="498"/>
      <c r="AY73" s="498"/>
      <c r="AZ73" s="1429">
        <v>11</v>
      </c>
    </row>
    <row r="74" spans="1:52" s="1429" customFormat="1" ht="11.45" customHeight="1">
      <c r="A74" s="839"/>
      <c r="B74" s="1424"/>
      <c r="C74" s="1424"/>
      <c r="D74" s="284"/>
      <c r="AE74" s="961"/>
      <c r="AF74" s="1424"/>
      <c r="AG74" s="1424"/>
      <c r="AH74" s="961"/>
      <c r="AI74" s="961"/>
      <c r="AJ74" s="961"/>
      <c r="AK74" s="961"/>
      <c r="AL74" s="1424"/>
      <c r="AM74" s="961"/>
      <c r="AN74" s="961"/>
      <c r="AO74" s="476"/>
      <c r="AP74" s="961"/>
      <c r="AQ74" s="961"/>
      <c r="AR74" s="961"/>
      <c r="AS74" s="961"/>
      <c r="AT74" s="961"/>
      <c r="AU74" s="1420"/>
      <c r="AV74" s="498"/>
      <c r="AW74" s="498"/>
      <c r="AX74" s="498"/>
      <c r="AY74" s="498"/>
      <c r="AZ74" s="1429">
        <v>11</v>
      </c>
    </row>
    <row r="75" spans="1:52" s="1429" customFormat="1" ht="11.45" customHeight="1">
      <c r="A75" s="839"/>
      <c r="B75" s="1424"/>
      <c r="C75" s="1424"/>
      <c r="D75" s="284"/>
      <c r="AE75" s="961"/>
      <c r="AF75" s="1424"/>
      <c r="AG75" s="1424"/>
      <c r="AH75" s="961"/>
      <c r="AI75" s="961"/>
      <c r="AJ75" s="961"/>
      <c r="AK75" s="961"/>
      <c r="AL75" s="1424"/>
      <c r="AM75" s="961"/>
      <c r="AN75" s="961"/>
      <c r="AO75" s="476"/>
      <c r="AP75" s="961"/>
      <c r="AQ75" s="961"/>
      <c r="AR75" s="961"/>
      <c r="AS75" s="961"/>
      <c r="AT75" s="961"/>
      <c r="AU75" s="1420"/>
      <c r="AV75" s="498"/>
      <c r="AW75" s="498"/>
      <c r="AX75" s="498"/>
      <c r="AY75" s="498"/>
      <c r="AZ75" s="1429">
        <v>11</v>
      </c>
    </row>
    <row r="76" spans="1:52" s="1429" customFormat="1" ht="11.45" customHeight="1">
      <c r="A76" s="839"/>
      <c r="B76" s="1424"/>
      <c r="C76" s="1424"/>
      <c r="D76" s="284"/>
      <c r="AE76" s="961"/>
      <c r="AF76" s="1424"/>
      <c r="AG76" s="1424"/>
      <c r="AH76" s="961"/>
      <c r="AI76" s="961"/>
      <c r="AJ76" s="961"/>
      <c r="AK76" s="961"/>
      <c r="AL76" s="1424"/>
      <c r="AM76" s="961"/>
      <c r="AN76" s="961"/>
      <c r="AO76" s="476"/>
      <c r="AP76" s="961"/>
      <c r="AQ76" s="961"/>
      <c r="AR76" s="961"/>
      <c r="AS76" s="961"/>
      <c r="AT76" s="961"/>
      <c r="AU76" s="1420"/>
      <c r="AV76" s="498"/>
      <c r="AW76" s="498"/>
      <c r="AX76" s="498"/>
      <c r="AY76" s="498"/>
      <c r="AZ76" s="1429">
        <v>11</v>
      </c>
    </row>
    <row r="77" spans="1:52" s="1429" customFormat="1" ht="11.45" customHeight="1">
      <c r="A77" s="839"/>
      <c r="B77" s="1424"/>
      <c r="C77" s="1424"/>
      <c r="D77" s="284"/>
      <c r="AE77" s="961"/>
      <c r="AF77" s="1424"/>
      <c r="AG77" s="1424"/>
      <c r="AH77" s="961"/>
      <c r="AI77" s="961"/>
      <c r="AJ77" s="961"/>
      <c r="AK77" s="961"/>
      <c r="AL77" s="1424"/>
      <c r="AM77" s="961"/>
      <c r="AN77" s="961"/>
      <c r="AO77" s="476"/>
      <c r="AP77" s="961"/>
      <c r="AQ77" s="961"/>
      <c r="AR77" s="961"/>
      <c r="AS77" s="961"/>
      <c r="AT77" s="961"/>
      <c r="AU77" s="1420"/>
      <c r="AV77" s="498"/>
      <c r="AW77" s="498"/>
      <c r="AX77" s="498"/>
      <c r="AY77" s="498"/>
      <c r="AZ77" s="1429">
        <v>11</v>
      </c>
    </row>
    <row r="78" spans="1:52" s="1429" customFormat="1" ht="11.45" customHeight="1">
      <c r="A78" s="839"/>
      <c r="B78" s="1424"/>
      <c r="C78" s="1424"/>
      <c r="D78" s="284"/>
      <c r="AE78" s="961"/>
      <c r="AF78" s="1424"/>
      <c r="AG78" s="1424"/>
      <c r="AH78" s="961"/>
      <c r="AI78" s="961"/>
      <c r="AJ78" s="961"/>
      <c r="AK78" s="961"/>
      <c r="AL78" s="1424"/>
      <c r="AM78" s="961"/>
      <c r="AN78" s="961"/>
      <c r="AO78" s="476"/>
      <c r="AP78" s="961"/>
      <c r="AQ78" s="961"/>
      <c r="AR78" s="961"/>
      <c r="AS78" s="961"/>
      <c r="AT78" s="961"/>
      <c r="AU78" s="1420"/>
      <c r="AV78" s="498"/>
      <c r="AW78" s="498"/>
      <c r="AX78" s="498"/>
      <c r="AY78" s="498"/>
      <c r="AZ78" s="1429">
        <v>11</v>
      </c>
    </row>
    <row r="79" spans="1:52" s="1429" customFormat="1" ht="11.45" customHeight="1">
      <c r="A79" s="839"/>
      <c r="B79" s="1424"/>
      <c r="C79" s="1424"/>
      <c r="D79" s="284"/>
      <c r="AE79" s="961"/>
      <c r="AF79" s="1424"/>
      <c r="AG79" s="1424"/>
      <c r="AH79" s="961"/>
      <c r="AI79" s="961"/>
      <c r="AJ79" s="961"/>
      <c r="AK79" s="961"/>
      <c r="AL79" s="1424"/>
      <c r="AM79" s="961"/>
      <c r="AN79" s="961"/>
      <c r="AO79" s="476"/>
      <c r="AP79" s="961"/>
      <c r="AQ79" s="961"/>
      <c r="AR79" s="961"/>
      <c r="AS79" s="961"/>
      <c r="AT79" s="961"/>
      <c r="AU79" s="1420"/>
      <c r="AV79" s="498"/>
      <c r="AW79" s="498"/>
      <c r="AX79" s="498"/>
      <c r="AY79" s="498"/>
      <c r="AZ79" s="1429">
        <v>11</v>
      </c>
    </row>
    <row r="80" spans="1:52" s="1429" customFormat="1" ht="11.45" customHeight="1">
      <c r="A80" s="839"/>
      <c r="B80" s="1424"/>
      <c r="C80" s="1424"/>
      <c r="D80" s="284"/>
      <c r="AE80" s="961"/>
      <c r="AF80" s="1424"/>
      <c r="AG80" s="1424"/>
      <c r="AH80" s="961"/>
      <c r="AI80" s="961"/>
      <c r="AJ80" s="961"/>
      <c r="AK80" s="961"/>
      <c r="AL80" s="1424"/>
      <c r="AM80" s="961"/>
      <c r="AN80" s="961"/>
      <c r="AO80" s="476"/>
      <c r="AP80" s="961"/>
      <c r="AQ80" s="961"/>
      <c r="AR80" s="961"/>
      <c r="AS80" s="961"/>
      <c r="AT80" s="961"/>
      <c r="AU80" s="1420"/>
      <c r="AV80" s="498"/>
      <c r="AW80" s="498"/>
      <c r="AX80" s="498"/>
      <c r="AY80" s="498"/>
      <c r="AZ80" s="1429">
        <v>11</v>
      </c>
    </row>
    <row r="81" spans="1:52" s="1429" customFormat="1" ht="11.45" customHeight="1">
      <c r="A81" s="839"/>
      <c r="B81" s="1424"/>
      <c r="C81" s="1424"/>
      <c r="D81" s="284"/>
      <c r="AE81" s="961"/>
      <c r="AF81" s="1424"/>
      <c r="AG81" s="1424"/>
      <c r="AH81" s="961"/>
      <c r="AI81" s="961"/>
      <c r="AJ81" s="961"/>
      <c r="AK81" s="961"/>
      <c r="AL81" s="1424"/>
      <c r="AM81" s="961"/>
      <c r="AN81" s="961"/>
      <c r="AO81" s="476"/>
      <c r="AP81" s="961"/>
      <c r="AQ81" s="961"/>
      <c r="AR81" s="961"/>
      <c r="AS81" s="961"/>
      <c r="AT81" s="961"/>
      <c r="AU81" s="1420"/>
      <c r="AV81" s="498"/>
      <c r="AW81" s="498"/>
      <c r="AX81" s="498"/>
      <c r="AY81" s="498"/>
      <c r="AZ81" s="1429">
        <v>11</v>
      </c>
    </row>
    <row r="82" spans="1:52" s="1429" customFormat="1" ht="11.45" customHeight="1">
      <c r="A82" s="839"/>
      <c r="B82" s="1424"/>
      <c r="C82" s="1424"/>
      <c r="D82" s="284"/>
      <c r="AE82" s="961"/>
      <c r="AF82" s="1424"/>
      <c r="AG82" s="1424"/>
      <c r="AH82" s="961"/>
      <c r="AI82" s="961"/>
      <c r="AJ82" s="961"/>
      <c r="AK82" s="961"/>
      <c r="AL82" s="1424"/>
      <c r="AM82" s="961"/>
      <c r="AN82" s="961"/>
      <c r="AO82" s="476"/>
      <c r="AP82" s="961"/>
      <c r="AQ82" s="961"/>
      <c r="AR82" s="961"/>
      <c r="AS82" s="961"/>
      <c r="AT82" s="961"/>
      <c r="AU82" s="1420"/>
      <c r="AV82" s="498"/>
      <c r="AW82" s="498"/>
      <c r="AX82" s="498"/>
      <c r="AY82" s="498"/>
      <c r="AZ82" s="1429">
        <v>11</v>
      </c>
    </row>
    <row r="83" spans="1:52" s="1429" customFormat="1" ht="11.45" customHeight="1">
      <c r="A83" s="839"/>
      <c r="B83" s="1424"/>
      <c r="C83" s="1424"/>
      <c r="D83" s="284"/>
      <c r="AE83" s="961"/>
      <c r="AF83" s="1424"/>
      <c r="AG83" s="1424"/>
      <c r="AH83" s="961"/>
      <c r="AI83" s="961"/>
      <c r="AJ83" s="961"/>
      <c r="AK83" s="961"/>
      <c r="AL83" s="1424"/>
      <c r="AM83" s="961"/>
      <c r="AN83" s="961"/>
      <c r="AO83" s="476"/>
      <c r="AP83" s="961"/>
      <c r="AQ83" s="961"/>
      <c r="AR83" s="961"/>
      <c r="AS83" s="961"/>
      <c r="AT83" s="961"/>
      <c r="AU83" s="1420"/>
      <c r="AV83" s="498"/>
      <c r="AW83" s="498"/>
      <c r="AX83" s="498"/>
      <c r="AY83" s="498"/>
      <c r="AZ83" s="1429">
        <v>11</v>
      </c>
    </row>
    <row r="84" spans="1:52" s="1429" customFormat="1" ht="11.45" customHeight="1">
      <c r="A84" s="839"/>
      <c r="B84" s="1424"/>
      <c r="C84" s="1424"/>
      <c r="D84" s="284"/>
      <c r="AE84" s="961"/>
      <c r="AF84" s="1424"/>
      <c r="AG84" s="1424"/>
      <c r="AH84" s="961"/>
      <c r="AI84" s="961"/>
      <c r="AJ84" s="961"/>
      <c r="AK84" s="961"/>
      <c r="AL84" s="1424"/>
      <c r="AM84" s="961"/>
      <c r="AN84" s="961"/>
      <c r="AO84" s="476"/>
      <c r="AP84" s="961"/>
      <c r="AQ84" s="961"/>
      <c r="AR84" s="961"/>
      <c r="AS84" s="961"/>
      <c r="AT84" s="961"/>
      <c r="AU84" s="1420"/>
      <c r="AV84" s="498"/>
      <c r="AW84" s="498"/>
      <c r="AX84" s="498"/>
      <c r="AY84" s="498"/>
      <c r="AZ84" s="1429">
        <v>11</v>
      </c>
    </row>
    <row r="85" spans="1:52" s="1429" customFormat="1" ht="11.45" customHeight="1">
      <c r="A85" s="839"/>
      <c r="B85" s="1424"/>
      <c r="C85" s="1424"/>
      <c r="D85" s="284"/>
      <c r="AE85" s="961"/>
      <c r="AF85" s="1424"/>
      <c r="AG85" s="1424"/>
      <c r="AH85" s="961"/>
      <c r="AI85" s="961"/>
      <c r="AJ85" s="961"/>
      <c r="AK85" s="961"/>
      <c r="AL85" s="1424"/>
      <c r="AM85" s="961"/>
      <c r="AN85" s="961"/>
      <c r="AO85" s="476"/>
      <c r="AP85" s="961"/>
      <c r="AQ85" s="961"/>
      <c r="AR85" s="961"/>
      <c r="AS85" s="961"/>
      <c r="AT85" s="961"/>
      <c r="AU85" s="1420"/>
      <c r="AV85" s="498"/>
      <c r="AW85" s="498"/>
      <c r="AX85" s="498"/>
      <c r="AY85" s="498"/>
      <c r="AZ85" s="1429">
        <v>11</v>
      </c>
    </row>
    <row r="86" spans="1:52" s="1429" customFormat="1" ht="11.45" customHeight="1">
      <c r="A86" s="839"/>
      <c r="B86" s="1424"/>
      <c r="C86" s="1424"/>
      <c r="D86" s="284"/>
      <c r="AE86" s="961"/>
      <c r="AF86" s="1424"/>
      <c r="AG86" s="1424"/>
      <c r="AH86" s="961"/>
      <c r="AI86" s="961"/>
      <c r="AJ86" s="961"/>
      <c r="AK86" s="961"/>
      <c r="AL86" s="1424"/>
      <c r="AM86" s="961"/>
      <c r="AN86" s="961"/>
      <c r="AO86" s="476"/>
      <c r="AP86" s="961"/>
      <c r="AQ86" s="961"/>
      <c r="AR86" s="961"/>
      <c r="AS86" s="961"/>
      <c r="AT86" s="961"/>
      <c r="AU86" s="1420"/>
      <c r="AV86" s="498"/>
      <c r="AW86" s="498"/>
      <c r="AX86" s="498"/>
      <c r="AY86" s="498"/>
      <c r="AZ86" s="1429">
        <v>11</v>
      </c>
    </row>
    <row r="87" spans="1:52" s="1429" customFormat="1" ht="11.45" customHeight="1">
      <c r="A87" s="839"/>
      <c r="B87" s="1424"/>
      <c r="C87" s="1424"/>
      <c r="D87" s="284"/>
      <c r="AE87" s="961"/>
      <c r="AF87" s="1424"/>
      <c r="AG87" s="1424"/>
      <c r="AH87" s="961"/>
      <c r="AI87" s="961"/>
      <c r="AJ87" s="961"/>
      <c r="AK87" s="961"/>
      <c r="AL87" s="1424"/>
      <c r="AM87" s="961"/>
      <c r="AN87" s="961"/>
      <c r="AO87" s="476"/>
      <c r="AP87" s="961"/>
      <c r="AQ87" s="961"/>
      <c r="AR87" s="961"/>
      <c r="AS87" s="961"/>
      <c r="AT87" s="961"/>
      <c r="AU87" s="1420"/>
      <c r="AV87" s="498"/>
      <c r="AW87" s="498"/>
      <c r="AX87" s="498"/>
      <c r="AY87" s="498"/>
      <c r="AZ87" s="1429">
        <v>11</v>
      </c>
    </row>
    <row r="88" spans="1:52" s="1429" customFormat="1" ht="11.45" customHeight="1">
      <c r="A88" s="839"/>
      <c r="B88" s="1424"/>
      <c r="C88" s="1424"/>
      <c r="D88" s="284"/>
      <c r="AE88" s="961"/>
      <c r="AF88" s="1424"/>
      <c r="AG88" s="1424"/>
      <c r="AH88" s="961"/>
      <c r="AI88" s="961"/>
      <c r="AJ88" s="961"/>
      <c r="AK88" s="961"/>
      <c r="AL88" s="1424"/>
      <c r="AM88" s="961"/>
      <c r="AN88" s="961"/>
      <c r="AO88" s="476"/>
      <c r="AP88" s="961"/>
      <c r="AQ88" s="961"/>
      <c r="AR88" s="961"/>
      <c r="AS88" s="961"/>
      <c r="AT88" s="961"/>
      <c r="AU88" s="1420"/>
      <c r="AV88" s="498"/>
      <c r="AW88" s="498"/>
      <c r="AX88" s="498"/>
      <c r="AY88" s="498"/>
      <c r="AZ88" s="1429">
        <v>11</v>
      </c>
    </row>
    <row r="89" spans="1:52" s="1429" customFormat="1" ht="11.45" customHeight="1">
      <c r="A89" s="839"/>
      <c r="B89" s="1424"/>
      <c r="C89" s="1424"/>
      <c r="D89" s="284"/>
      <c r="AE89" s="961"/>
      <c r="AF89" s="1424"/>
      <c r="AG89" s="1424"/>
      <c r="AH89" s="961"/>
      <c r="AI89" s="961"/>
      <c r="AJ89" s="961"/>
      <c r="AK89" s="961"/>
      <c r="AL89" s="1424"/>
      <c r="AM89" s="961"/>
      <c r="AN89" s="961"/>
      <c r="AO89" s="476"/>
      <c r="AP89" s="961"/>
      <c r="AQ89" s="961"/>
      <c r="AR89" s="961"/>
      <c r="AS89" s="961"/>
      <c r="AT89" s="961"/>
      <c r="AU89" s="1420"/>
      <c r="AV89" s="498"/>
      <c r="AW89" s="498"/>
      <c r="AX89" s="498"/>
      <c r="AY89" s="498"/>
      <c r="AZ89" s="1429">
        <v>11</v>
      </c>
    </row>
    <row r="90" spans="1:52" s="1429" customFormat="1" ht="11.45" customHeight="1">
      <c r="A90" s="839"/>
      <c r="B90" s="1424"/>
      <c r="C90" s="1424"/>
      <c r="D90" s="284"/>
      <c r="AE90" s="961"/>
      <c r="AF90" s="1424"/>
      <c r="AG90" s="1424"/>
      <c r="AH90" s="961"/>
      <c r="AI90" s="961"/>
      <c r="AJ90" s="961"/>
      <c r="AK90" s="961"/>
      <c r="AL90" s="1424"/>
      <c r="AM90" s="961"/>
      <c r="AN90" s="961"/>
      <c r="AO90" s="476"/>
      <c r="AP90" s="961"/>
      <c r="AQ90" s="961"/>
      <c r="AR90" s="961"/>
      <c r="AS90" s="961"/>
      <c r="AT90" s="961"/>
      <c r="AU90" s="1420"/>
      <c r="AV90" s="498"/>
      <c r="AW90" s="498"/>
      <c r="AX90" s="498"/>
      <c r="AY90" s="498"/>
      <c r="AZ90" s="1429">
        <v>11</v>
      </c>
    </row>
    <row r="91" spans="1:52" s="1429" customFormat="1" ht="11.45" customHeight="1">
      <c r="A91" s="839"/>
      <c r="B91" s="1424"/>
      <c r="C91" s="1424"/>
      <c r="D91" s="284"/>
      <c r="AE91" s="961"/>
      <c r="AF91" s="1424"/>
      <c r="AG91" s="1424"/>
      <c r="AH91" s="961"/>
      <c r="AI91" s="961"/>
      <c r="AJ91" s="961"/>
      <c r="AK91" s="961"/>
      <c r="AL91" s="1424"/>
      <c r="AM91" s="961"/>
      <c r="AN91" s="961"/>
      <c r="AO91" s="476"/>
      <c r="AP91" s="961"/>
      <c r="AQ91" s="961"/>
      <c r="AR91" s="961"/>
      <c r="AS91" s="961"/>
      <c r="AT91" s="961"/>
      <c r="AU91" s="1420"/>
      <c r="AV91" s="498"/>
      <c r="AW91" s="498"/>
      <c r="AX91" s="498"/>
      <c r="AY91" s="498"/>
      <c r="AZ91" s="1429">
        <v>11</v>
      </c>
    </row>
    <row r="92" spans="1:52" s="1429" customFormat="1" ht="11.45" customHeight="1">
      <c r="A92" s="839"/>
      <c r="B92" s="1424"/>
      <c r="C92" s="1424"/>
      <c r="D92" s="284"/>
      <c r="AE92" s="961"/>
      <c r="AF92" s="1424"/>
      <c r="AG92" s="1424"/>
      <c r="AH92" s="961"/>
      <c r="AI92" s="961"/>
      <c r="AJ92" s="961"/>
      <c r="AK92" s="961"/>
      <c r="AL92" s="1424"/>
      <c r="AM92" s="961"/>
      <c r="AN92" s="961"/>
      <c r="AO92" s="476"/>
      <c r="AP92" s="961"/>
      <c r="AQ92" s="961"/>
      <c r="AR92" s="961"/>
      <c r="AS92" s="961"/>
      <c r="AT92" s="961"/>
      <c r="AU92" s="1420"/>
      <c r="AV92" s="498"/>
      <c r="AW92" s="498"/>
      <c r="AX92" s="498"/>
      <c r="AY92" s="498"/>
      <c r="AZ92" s="1429">
        <v>11</v>
      </c>
    </row>
    <row r="93" spans="1:52" s="1429" customFormat="1" ht="11.45" customHeight="1">
      <c r="A93" s="839"/>
      <c r="B93" s="1424"/>
      <c r="C93" s="1424"/>
      <c r="D93" s="284"/>
      <c r="AE93" s="961"/>
      <c r="AF93" s="1424"/>
      <c r="AG93" s="1424"/>
      <c r="AH93" s="961"/>
      <c r="AI93" s="961"/>
      <c r="AJ93" s="961"/>
      <c r="AK93" s="961"/>
      <c r="AL93" s="1424"/>
      <c r="AM93" s="961"/>
      <c r="AN93" s="961"/>
      <c r="AO93" s="476"/>
      <c r="AP93" s="961"/>
      <c r="AQ93" s="961"/>
      <c r="AR93" s="961"/>
      <c r="AS93" s="961"/>
      <c r="AT93" s="961"/>
      <c r="AU93" s="1420"/>
      <c r="AV93" s="498"/>
      <c r="AW93" s="498"/>
      <c r="AX93" s="498"/>
      <c r="AY93" s="498"/>
      <c r="AZ93" s="1429">
        <v>11</v>
      </c>
    </row>
    <row r="94" spans="1:52" s="1429" customFormat="1" ht="11.45" customHeight="1">
      <c r="A94" s="839"/>
      <c r="B94" s="1424"/>
      <c r="C94" s="1424"/>
      <c r="D94" s="284"/>
      <c r="AE94" s="961"/>
      <c r="AF94" s="1424"/>
      <c r="AG94" s="1424"/>
      <c r="AH94" s="961"/>
      <c r="AI94" s="961"/>
      <c r="AJ94" s="961"/>
      <c r="AK94" s="961"/>
      <c r="AL94" s="1424"/>
      <c r="AM94" s="961"/>
      <c r="AN94" s="961"/>
      <c r="AO94" s="476"/>
      <c r="AP94" s="961"/>
      <c r="AQ94" s="961"/>
      <c r="AR94" s="961"/>
      <c r="AS94" s="961"/>
      <c r="AT94" s="961"/>
      <c r="AU94" s="1420"/>
      <c r="AV94" s="498"/>
      <c r="AW94" s="498"/>
      <c r="AX94" s="498"/>
      <c r="AY94" s="498"/>
      <c r="AZ94" s="1429">
        <v>11</v>
      </c>
    </row>
    <row r="95" spans="1:52" s="1429" customFormat="1" ht="11.45" customHeight="1">
      <c r="A95" s="839"/>
      <c r="B95" s="1424"/>
      <c r="C95" s="1424"/>
      <c r="D95" s="284"/>
      <c r="AE95" s="961"/>
      <c r="AF95" s="1424"/>
      <c r="AG95" s="1424"/>
      <c r="AH95" s="961"/>
      <c r="AI95" s="961"/>
      <c r="AJ95" s="961"/>
      <c r="AK95" s="961"/>
      <c r="AL95" s="1424"/>
      <c r="AM95" s="961"/>
      <c r="AN95" s="961"/>
      <c r="AO95" s="476"/>
      <c r="AP95" s="961"/>
      <c r="AQ95" s="961"/>
      <c r="AR95" s="961"/>
      <c r="AS95" s="961"/>
      <c r="AT95" s="961"/>
      <c r="AU95" s="1420"/>
      <c r="AV95" s="498"/>
      <c r="AW95" s="498"/>
      <c r="AX95" s="498"/>
      <c r="AY95" s="498"/>
      <c r="AZ95" s="1429">
        <v>11</v>
      </c>
    </row>
    <row r="96" spans="1:52" s="1429" customFormat="1" ht="11.45" customHeight="1">
      <c r="A96" s="839"/>
      <c r="B96" s="1424"/>
      <c r="C96" s="1424"/>
      <c r="D96" s="284"/>
      <c r="AE96" s="961"/>
      <c r="AF96" s="1424"/>
      <c r="AG96" s="1424"/>
      <c r="AH96" s="961"/>
      <c r="AI96" s="961"/>
      <c r="AJ96" s="961"/>
      <c r="AK96" s="961"/>
      <c r="AL96" s="1424"/>
      <c r="AM96" s="961"/>
      <c r="AN96" s="961"/>
      <c r="AO96" s="476"/>
      <c r="AP96" s="961"/>
      <c r="AQ96" s="961"/>
      <c r="AR96" s="961"/>
      <c r="AS96" s="961"/>
      <c r="AT96" s="961"/>
      <c r="AU96" s="1420"/>
      <c r="AV96" s="498"/>
      <c r="AW96" s="498"/>
      <c r="AX96" s="498"/>
      <c r="AY96" s="498"/>
      <c r="AZ96" s="1429">
        <v>11</v>
      </c>
    </row>
    <row r="97" spans="1:52" s="1429" customFormat="1" ht="11.45" customHeight="1">
      <c r="A97" s="839"/>
      <c r="B97" s="1424"/>
      <c r="C97" s="1424"/>
      <c r="D97" s="284"/>
      <c r="AE97" s="961"/>
      <c r="AF97" s="1424"/>
      <c r="AG97" s="1424"/>
      <c r="AH97" s="961"/>
      <c r="AI97" s="961"/>
      <c r="AJ97" s="961"/>
      <c r="AK97" s="961"/>
      <c r="AL97" s="1424"/>
      <c r="AM97" s="961"/>
      <c r="AN97" s="961"/>
      <c r="AO97" s="476"/>
      <c r="AP97" s="961"/>
      <c r="AQ97" s="961"/>
      <c r="AR97" s="961"/>
      <c r="AS97" s="961"/>
      <c r="AT97" s="961"/>
      <c r="AU97" s="1420"/>
      <c r="AV97" s="498"/>
      <c r="AW97" s="498"/>
      <c r="AX97" s="498"/>
      <c r="AY97" s="498"/>
      <c r="AZ97" s="1429">
        <v>11</v>
      </c>
    </row>
    <row r="98" spans="1:52" s="1429" customFormat="1" ht="11.45" customHeight="1">
      <c r="A98" s="839"/>
      <c r="B98" s="1424"/>
      <c r="C98" s="1424"/>
      <c r="D98" s="284"/>
      <c r="AE98" s="961"/>
      <c r="AF98" s="1424"/>
      <c r="AG98" s="1424"/>
      <c r="AH98" s="961"/>
      <c r="AI98" s="961"/>
      <c r="AJ98" s="961"/>
      <c r="AK98" s="961"/>
      <c r="AL98" s="1424"/>
      <c r="AM98" s="961"/>
      <c r="AN98" s="961"/>
      <c r="AO98" s="476"/>
      <c r="AP98" s="961"/>
      <c r="AQ98" s="961"/>
      <c r="AR98" s="961"/>
      <c r="AS98" s="961"/>
      <c r="AT98" s="961"/>
      <c r="AU98" s="1420"/>
      <c r="AV98" s="498"/>
      <c r="AW98" s="498"/>
      <c r="AX98" s="498"/>
      <c r="AY98" s="498"/>
      <c r="AZ98" s="1429">
        <v>11</v>
      </c>
    </row>
    <row r="99" spans="1:52" s="1429" customFormat="1" ht="11.45" customHeight="1">
      <c r="A99" s="839"/>
      <c r="B99" s="1424"/>
      <c r="C99" s="1424"/>
      <c r="D99" s="284"/>
      <c r="AE99" s="961"/>
      <c r="AF99" s="1424"/>
      <c r="AG99" s="1424"/>
      <c r="AH99" s="961"/>
      <c r="AI99" s="961"/>
      <c r="AJ99" s="961"/>
      <c r="AK99" s="961"/>
      <c r="AL99" s="1424"/>
      <c r="AM99" s="961"/>
      <c r="AN99" s="961"/>
      <c r="AO99" s="476"/>
      <c r="AP99" s="961"/>
      <c r="AQ99" s="961"/>
      <c r="AR99" s="961"/>
      <c r="AS99" s="961"/>
      <c r="AT99" s="961"/>
      <c r="AU99" s="1420"/>
      <c r="AV99" s="498"/>
      <c r="AW99" s="498"/>
      <c r="AX99" s="498"/>
      <c r="AY99" s="498"/>
      <c r="AZ99" s="1429">
        <v>11</v>
      </c>
    </row>
    <row r="100" spans="1:52" s="1429" customFormat="1" ht="11.45" customHeight="1">
      <c r="A100" s="839"/>
      <c r="B100" s="1424"/>
      <c r="C100" s="1424"/>
      <c r="D100" s="284"/>
      <c r="AE100" s="961"/>
      <c r="AF100" s="1424"/>
      <c r="AG100" s="1424"/>
      <c r="AH100" s="961"/>
      <c r="AI100" s="961"/>
      <c r="AJ100" s="961"/>
      <c r="AK100" s="961"/>
      <c r="AL100" s="1424"/>
      <c r="AM100" s="961"/>
      <c r="AN100" s="961"/>
      <c r="AO100" s="476"/>
      <c r="AP100" s="961"/>
      <c r="AQ100" s="961"/>
      <c r="AR100" s="961"/>
      <c r="AS100" s="961"/>
      <c r="AT100" s="961"/>
      <c r="AU100" s="1420"/>
      <c r="AV100" s="498"/>
      <c r="AW100" s="498"/>
      <c r="AX100" s="498"/>
      <c r="AY100" s="498"/>
      <c r="AZ100" s="1429">
        <v>11</v>
      </c>
    </row>
    <row r="101" spans="1:52" s="1429" customFormat="1" ht="11.45" customHeight="1">
      <c r="A101" s="839"/>
      <c r="B101" s="1424"/>
      <c r="C101" s="1424"/>
      <c r="D101" s="284"/>
      <c r="AE101" s="961"/>
      <c r="AF101" s="1424"/>
      <c r="AG101" s="1424"/>
      <c r="AH101" s="961"/>
      <c r="AI101" s="961"/>
      <c r="AJ101" s="961"/>
      <c r="AK101" s="961"/>
      <c r="AL101" s="1424"/>
      <c r="AM101" s="961"/>
      <c r="AN101" s="961"/>
      <c r="AO101" s="476"/>
      <c r="AP101" s="961"/>
      <c r="AQ101" s="961"/>
      <c r="AR101" s="961"/>
      <c r="AS101" s="961"/>
      <c r="AT101" s="961"/>
      <c r="AU101" s="1420"/>
      <c r="AV101" s="498"/>
      <c r="AW101" s="498"/>
      <c r="AX101" s="498"/>
      <c r="AY101" s="498"/>
      <c r="AZ101" s="1429">
        <v>11</v>
      </c>
    </row>
    <row r="102" spans="1:52" s="1429" customFormat="1" ht="11.45" customHeight="1">
      <c r="A102" s="839"/>
      <c r="B102" s="1424"/>
      <c r="C102" s="1424"/>
      <c r="D102" s="284"/>
      <c r="AE102" s="961"/>
      <c r="AF102" s="1424"/>
      <c r="AG102" s="1424"/>
      <c r="AH102" s="961"/>
      <c r="AI102" s="961"/>
      <c r="AJ102" s="961"/>
      <c r="AK102" s="961"/>
      <c r="AL102" s="1424"/>
      <c r="AM102" s="961"/>
      <c r="AN102" s="961"/>
      <c r="AO102" s="476"/>
      <c r="AP102" s="961"/>
      <c r="AQ102" s="961"/>
      <c r="AR102" s="961"/>
      <c r="AS102" s="961"/>
      <c r="AT102" s="961"/>
      <c r="AU102" s="1420"/>
      <c r="AV102" s="498"/>
      <c r="AW102" s="498"/>
      <c r="AX102" s="498"/>
      <c r="AY102" s="498"/>
      <c r="AZ102" s="1429">
        <v>11</v>
      </c>
    </row>
    <row r="103" spans="1:52" s="1429" customFormat="1" ht="11.45" customHeight="1">
      <c r="A103" s="839"/>
      <c r="B103" s="1424"/>
      <c r="C103" s="1424"/>
      <c r="D103" s="284"/>
      <c r="AE103" s="961"/>
      <c r="AF103" s="1424"/>
      <c r="AG103" s="1424"/>
      <c r="AH103" s="961"/>
      <c r="AI103" s="961"/>
      <c r="AJ103" s="961"/>
      <c r="AK103" s="961"/>
      <c r="AL103" s="1424"/>
      <c r="AM103" s="961"/>
      <c r="AN103" s="961"/>
      <c r="AO103" s="476"/>
      <c r="AP103" s="961"/>
      <c r="AQ103" s="961"/>
      <c r="AR103" s="961"/>
      <c r="AS103" s="961"/>
      <c r="AT103" s="961"/>
      <c r="AU103" s="1420"/>
      <c r="AV103" s="498"/>
      <c r="AW103" s="498"/>
      <c r="AX103" s="498"/>
      <c r="AY103" s="498"/>
      <c r="AZ103" s="1429">
        <v>11</v>
      </c>
    </row>
    <row r="104" spans="1:52" s="1429" customFormat="1" ht="11.45" customHeight="1">
      <c r="A104" s="839"/>
      <c r="B104" s="1424"/>
      <c r="C104" s="1424"/>
      <c r="D104" s="284"/>
      <c r="AE104" s="961"/>
      <c r="AF104" s="1424"/>
      <c r="AG104" s="1424"/>
      <c r="AH104" s="961"/>
      <c r="AI104" s="961"/>
      <c r="AJ104" s="961"/>
      <c r="AK104" s="961"/>
      <c r="AL104" s="1424"/>
      <c r="AM104" s="961"/>
      <c r="AN104" s="961"/>
      <c r="AO104" s="476"/>
      <c r="AP104" s="961"/>
      <c r="AQ104" s="961"/>
      <c r="AR104" s="961"/>
      <c r="AS104" s="961"/>
      <c r="AT104" s="961"/>
      <c r="AU104" s="1420"/>
      <c r="AV104" s="498"/>
      <c r="AW104" s="498"/>
      <c r="AX104" s="498"/>
      <c r="AY104" s="498"/>
      <c r="AZ104" s="1429">
        <v>11</v>
      </c>
    </row>
    <row r="105" spans="1:52" s="1429" customFormat="1" ht="11.45" customHeight="1">
      <c r="A105" s="839"/>
      <c r="B105" s="1424"/>
      <c r="C105" s="1424"/>
      <c r="D105" s="284"/>
      <c r="AE105" s="961"/>
      <c r="AF105" s="1424"/>
      <c r="AG105" s="1424"/>
      <c r="AH105" s="961"/>
      <c r="AI105" s="961"/>
      <c r="AJ105" s="961"/>
      <c r="AK105" s="961"/>
      <c r="AL105" s="1424"/>
      <c r="AM105" s="961"/>
      <c r="AN105" s="961"/>
      <c r="AO105" s="476"/>
      <c r="AP105" s="961"/>
      <c r="AQ105" s="961"/>
      <c r="AR105" s="961"/>
      <c r="AS105" s="961"/>
      <c r="AT105" s="961"/>
      <c r="AU105" s="1420"/>
      <c r="AV105" s="498"/>
      <c r="AW105" s="498"/>
      <c r="AX105" s="498"/>
      <c r="AY105" s="498"/>
      <c r="AZ105" s="1429">
        <v>11</v>
      </c>
    </row>
    <row r="106" spans="1:52" s="1429" customFormat="1" ht="11.45" customHeight="1">
      <c r="A106" s="839"/>
      <c r="B106" s="1424"/>
      <c r="C106" s="1424"/>
      <c r="D106" s="284"/>
      <c r="AE106" s="961"/>
      <c r="AF106" s="1424"/>
      <c r="AG106" s="1424"/>
      <c r="AH106" s="961"/>
      <c r="AI106" s="961"/>
      <c r="AJ106" s="961"/>
      <c r="AK106" s="961"/>
      <c r="AL106" s="1424"/>
      <c r="AM106" s="961"/>
      <c r="AN106" s="961"/>
      <c r="AO106" s="476"/>
      <c r="AP106" s="961"/>
      <c r="AQ106" s="961"/>
      <c r="AR106" s="961"/>
      <c r="AS106" s="961"/>
      <c r="AT106" s="961"/>
      <c r="AU106" s="1420"/>
      <c r="AV106" s="498"/>
      <c r="AW106" s="498"/>
      <c r="AX106" s="498"/>
      <c r="AY106" s="498"/>
      <c r="AZ106" s="1429">
        <v>11</v>
      </c>
    </row>
    <row r="107" spans="1:52" s="1429" customFormat="1" ht="11.45" customHeight="1">
      <c r="A107" s="839"/>
      <c r="B107" s="1424"/>
      <c r="C107" s="1424"/>
      <c r="D107" s="284"/>
      <c r="AE107" s="961"/>
      <c r="AF107" s="1424"/>
      <c r="AG107" s="1424"/>
      <c r="AH107" s="961"/>
      <c r="AI107" s="961"/>
      <c r="AJ107" s="961"/>
      <c r="AK107" s="961"/>
      <c r="AL107" s="1424"/>
      <c r="AM107" s="961"/>
      <c r="AN107" s="961"/>
      <c r="AO107" s="476"/>
      <c r="AP107" s="961"/>
      <c r="AQ107" s="961"/>
      <c r="AR107" s="961"/>
      <c r="AS107" s="961"/>
      <c r="AT107" s="961"/>
      <c r="AU107" s="1420"/>
      <c r="AV107" s="498"/>
      <c r="AW107" s="498"/>
      <c r="AX107" s="498"/>
      <c r="AY107" s="498"/>
      <c r="AZ107" s="1429">
        <v>11</v>
      </c>
    </row>
    <row r="108" spans="1:52" s="1429" customFormat="1" ht="11.45" customHeight="1">
      <c r="A108" s="839"/>
      <c r="B108" s="1424"/>
      <c r="C108" s="1424"/>
      <c r="D108" s="284"/>
      <c r="AE108" s="961"/>
      <c r="AF108" s="1424"/>
      <c r="AG108" s="1424"/>
      <c r="AH108" s="961"/>
      <c r="AI108" s="961"/>
      <c r="AJ108" s="961"/>
      <c r="AK108" s="961"/>
      <c r="AL108" s="1424"/>
      <c r="AM108" s="961"/>
      <c r="AN108" s="961"/>
      <c r="AO108" s="476"/>
      <c r="AP108" s="961"/>
      <c r="AQ108" s="961"/>
      <c r="AR108" s="961"/>
      <c r="AS108" s="961"/>
      <c r="AT108" s="961"/>
      <c r="AU108" s="1420"/>
      <c r="AV108" s="498"/>
      <c r="AW108" s="498"/>
      <c r="AX108" s="498"/>
      <c r="AY108" s="498"/>
      <c r="AZ108" s="1429">
        <v>11</v>
      </c>
    </row>
    <row r="109" spans="1:52" s="1429" customFormat="1" ht="11.45" customHeight="1">
      <c r="A109" s="839"/>
      <c r="B109" s="1424"/>
      <c r="C109" s="1424"/>
      <c r="D109" s="284"/>
      <c r="AE109" s="961"/>
      <c r="AF109" s="1424"/>
      <c r="AG109" s="1424"/>
      <c r="AH109" s="961"/>
      <c r="AI109" s="961"/>
      <c r="AJ109" s="961"/>
      <c r="AK109" s="961"/>
      <c r="AL109" s="1424"/>
      <c r="AM109" s="961"/>
      <c r="AN109" s="961"/>
      <c r="AO109" s="476"/>
      <c r="AP109" s="961"/>
      <c r="AQ109" s="961"/>
      <c r="AR109" s="961"/>
      <c r="AS109" s="961"/>
      <c r="AT109" s="961"/>
      <c r="AU109" s="1420"/>
      <c r="AV109" s="498"/>
      <c r="AW109" s="498"/>
      <c r="AX109" s="498"/>
      <c r="AY109" s="498"/>
      <c r="AZ109" s="1429">
        <v>11</v>
      </c>
    </row>
    <row r="110" spans="1:52" s="1429" customFormat="1" ht="11.45" customHeight="1">
      <c r="A110" s="839"/>
      <c r="B110" s="1424"/>
      <c r="C110" s="1424"/>
      <c r="D110" s="284"/>
      <c r="AE110" s="961"/>
      <c r="AF110" s="1424"/>
      <c r="AG110" s="1424"/>
      <c r="AH110" s="961"/>
      <c r="AI110" s="961"/>
      <c r="AJ110" s="961"/>
      <c r="AK110" s="961"/>
      <c r="AL110" s="1424"/>
      <c r="AM110" s="961"/>
      <c r="AN110" s="961"/>
      <c r="AO110" s="476"/>
      <c r="AP110" s="961"/>
      <c r="AQ110" s="961"/>
      <c r="AR110" s="961"/>
      <c r="AS110" s="961"/>
      <c r="AT110" s="961"/>
      <c r="AU110" s="1420"/>
      <c r="AV110" s="498"/>
      <c r="AW110" s="498"/>
      <c r="AX110" s="498"/>
      <c r="AY110" s="498"/>
      <c r="AZ110" s="1429">
        <v>11</v>
      </c>
    </row>
    <row r="111" spans="1:52" s="1429" customFormat="1" ht="11.45" customHeight="1">
      <c r="A111" s="839"/>
      <c r="B111" s="1424"/>
      <c r="C111" s="1424"/>
      <c r="D111" s="284"/>
      <c r="AE111" s="961"/>
      <c r="AF111" s="1424"/>
      <c r="AG111" s="1424"/>
      <c r="AH111" s="961"/>
      <c r="AI111" s="961"/>
      <c r="AJ111" s="961"/>
      <c r="AK111" s="961"/>
      <c r="AL111" s="1424"/>
      <c r="AM111" s="961"/>
      <c r="AN111" s="961"/>
      <c r="AO111" s="476"/>
      <c r="AP111" s="961"/>
      <c r="AQ111" s="961"/>
      <c r="AR111" s="961"/>
      <c r="AS111" s="961"/>
      <c r="AT111" s="961"/>
      <c r="AU111" s="1420"/>
      <c r="AV111" s="498"/>
      <c r="AW111" s="498"/>
      <c r="AX111" s="498"/>
      <c r="AY111" s="498"/>
      <c r="AZ111" s="1429">
        <v>11</v>
      </c>
    </row>
    <row r="112" spans="1:52" s="1429" customFormat="1" ht="11.45" customHeight="1">
      <c r="A112" s="839"/>
      <c r="B112" s="1424"/>
      <c r="C112" s="1424"/>
      <c r="D112" s="284"/>
      <c r="AE112" s="961"/>
      <c r="AF112" s="1424"/>
      <c r="AG112" s="1424"/>
      <c r="AH112" s="961"/>
      <c r="AI112" s="961"/>
      <c r="AJ112" s="961"/>
      <c r="AK112" s="961"/>
      <c r="AL112" s="1424"/>
      <c r="AM112" s="961"/>
      <c r="AN112" s="961"/>
      <c r="AO112" s="476"/>
      <c r="AP112" s="961"/>
      <c r="AQ112" s="961"/>
      <c r="AR112" s="961"/>
      <c r="AS112" s="961"/>
      <c r="AT112" s="961"/>
      <c r="AU112" s="1420"/>
      <c r="AV112" s="498"/>
      <c r="AW112" s="498"/>
      <c r="AX112" s="498"/>
      <c r="AY112" s="498"/>
      <c r="AZ112" s="1429">
        <v>11</v>
      </c>
    </row>
    <row r="113" spans="1:52" s="1429" customFormat="1" ht="11.45" customHeight="1">
      <c r="A113" s="839"/>
      <c r="B113" s="1424"/>
      <c r="C113" s="1424"/>
      <c r="D113" s="284"/>
      <c r="AE113" s="961"/>
      <c r="AF113" s="1424"/>
      <c r="AG113" s="1424"/>
      <c r="AH113" s="961"/>
      <c r="AI113" s="961"/>
      <c r="AJ113" s="961"/>
      <c r="AK113" s="961"/>
      <c r="AL113" s="1424"/>
      <c r="AM113" s="961"/>
      <c r="AN113" s="961"/>
      <c r="AO113" s="476"/>
      <c r="AP113" s="961"/>
      <c r="AQ113" s="961"/>
      <c r="AR113" s="961"/>
      <c r="AS113" s="961"/>
      <c r="AT113" s="961"/>
      <c r="AU113" s="1420"/>
      <c r="AV113" s="498"/>
      <c r="AW113" s="498"/>
      <c r="AX113" s="498"/>
      <c r="AY113" s="498"/>
      <c r="AZ113" s="1429">
        <v>11</v>
      </c>
    </row>
    <row r="114" spans="1:52" s="1429" customFormat="1" ht="11.45" customHeight="1">
      <c r="A114" s="839"/>
      <c r="B114" s="1424"/>
      <c r="C114" s="1424"/>
      <c r="D114" s="284"/>
      <c r="AE114" s="961"/>
      <c r="AF114" s="1424"/>
      <c r="AG114" s="1424"/>
      <c r="AH114" s="961"/>
      <c r="AI114" s="961"/>
      <c r="AJ114" s="961"/>
      <c r="AK114" s="961"/>
      <c r="AL114" s="1424"/>
      <c r="AM114" s="961"/>
      <c r="AN114" s="961"/>
      <c r="AO114" s="476"/>
      <c r="AP114" s="961"/>
      <c r="AQ114" s="961"/>
      <c r="AR114" s="961"/>
      <c r="AS114" s="961"/>
      <c r="AT114" s="961"/>
      <c r="AU114" s="1420"/>
      <c r="AV114" s="498"/>
      <c r="AW114" s="498"/>
      <c r="AX114" s="498"/>
      <c r="AY114" s="498"/>
      <c r="AZ114" s="1429">
        <v>11</v>
      </c>
    </row>
    <row r="115" spans="1:52" s="1429" customFormat="1" ht="11.45" customHeight="1">
      <c r="A115" s="839"/>
      <c r="B115" s="1424"/>
      <c r="C115" s="1424"/>
      <c r="D115" s="284"/>
      <c r="AE115" s="961"/>
      <c r="AF115" s="1424"/>
      <c r="AG115" s="1424"/>
      <c r="AH115" s="961"/>
      <c r="AI115" s="961"/>
      <c r="AJ115" s="961"/>
      <c r="AK115" s="961"/>
      <c r="AL115" s="1424"/>
      <c r="AM115" s="961"/>
      <c r="AN115" s="961"/>
      <c r="AO115" s="476"/>
      <c r="AP115" s="961"/>
      <c r="AQ115" s="961"/>
      <c r="AR115" s="961"/>
      <c r="AS115" s="961"/>
      <c r="AT115" s="961"/>
      <c r="AU115" s="1420"/>
      <c r="AV115" s="498"/>
      <c r="AW115" s="498"/>
      <c r="AX115" s="498"/>
      <c r="AY115" s="498"/>
      <c r="AZ115" s="1429">
        <v>11</v>
      </c>
    </row>
    <row r="116" spans="1:52" s="1429" customFormat="1" ht="11.45" customHeight="1">
      <c r="A116" s="839"/>
      <c r="B116" s="1424"/>
      <c r="C116" s="1424"/>
      <c r="D116" s="284"/>
      <c r="AE116" s="961"/>
      <c r="AF116" s="1424"/>
      <c r="AG116" s="1424"/>
      <c r="AH116" s="961"/>
      <c r="AI116" s="961"/>
      <c r="AJ116" s="961"/>
      <c r="AK116" s="961"/>
      <c r="AL116" s="1424"/>
      <c r="AM116" s="961"/>
      <c r="AN116" s="961"/>
      <c r="AO116" s="476"/>
      <c r="AP116" s="961"/>
      <c r="AQ116" s="961"/>
      <c r="AR116" s="961"/>
      <c r="AS116" s="961"/>
      <c r="AT116" s="961"/>
      <c r="AU116" s="1420"/>
      <c r="AV116" s="498"/>
      <c r="AW116" s="498"/>
      <c r="AX116" s="498"/>
      <c r="AY116" s="498"/>
      <c r="AZ116" s="1429">
        <v>11</v>
      </c>
    </row>
    <row r="117" spans="1:52" s="1429" customFormat="1" ht="11.45" customHeight="1">
      <c r="A117" s="839"/>
      <c r="B117" s="1424"/>
      <c r="C117" s="1424"/>
      <c r="D117" s="284"/>
      <c r="AE117" s="961"/>
      <c r="AF117" s="1424"/>
      <c r="AG117" s="1424"/>
      <c r="AH117" s="961"/>
      <c r="AI117" s="961"/>
      <c r="AJ117" s="961"/>
      <c r="AK117" s="961"/>
      <c r="AL117" s="1424"/>
      <c r="AM117" s="961"/>
      <c r="AN117" s="961"/>
      <c r="AO117" s="476"/>
      <c r="AP117" s="961"/>
      <c r="AQ117" s="961"/>
      <c r="AR117" s="961"/>
      <c r="AS117" s="961"/>
      <c r="AT117" s="961"/>
      <c r="AU117" s="1420"/>
      <c r="AV117" s="498"/>
      <c r="AW117" s="498"/>
      <c r="AX117" s="498"/>
      <c r="AY117" s="498"/>
      <c r="AZ117" s="1429">
        <v>11</v>
      </c>
    </row>
    <row r="118" spans="1:52" s="1429" customFormat="1" ht="11.45" customHeight="1">
      <c r="A118" s="839"/>
      <c r="B118" s="1424"/>
      <c r="C118" s="1424"/>
      <c r="D118" s="284"/>
      <c r="AE118" s="961"/>
      <c r="AF118" s="1424"/>
      <c r="AG118" s="1424"/>
      <c r="AH118" s="961"/>
      <c r="AI118" s="961"/>
      <c r="AJ118" s="961"/>
      <c r="AK118" s="961"/>
      <c r="AL118" s="1424"/>
      <c r="AM118" s="961"/>
      <c r="AN118" s="961"/>
      <c r="AO118" s="476"/>
      <c r="AP118" s="961"/>
      <c r="AQ118" s="961"/>
      <c r="AR118" s="961"/>
      <c r="AS118" s="961"/>
      <c r="AT118" s="961"/>
      <c r="AU118" s="1420"/>
      <c r="AV118" s="498"/>
      <c r="AW118" s="498"/>
      <c r="AX118" s="498"/>
      <c r="AY118" s="498"/>
      <c r="AZ118" s="1429">
        <v>11</v>
      </c>
    </row>
    <row r="119" spans="1:52" s="1429" customFormat="1" ht="11.45" customHeight="1">
      <c r="A119" s="839"/>
      <c r="B119" s="1424"/>
      <c r="C119" s="1424"/>
      <c r="D119" s="284"/>
      <c r="AE119" s="961"/>
      <c r="AF119" s="1424"/>
      <c r="AG119" s="1424"/>
      <c r="AH119" s="961"/>
      <c r="AI119" s="961"/>
      <c r="AJ119" s="961"/>
      <c r="AK119" s="961"/>
      <c r="AL119" s="1424"/>
      <c r="AM119" s="961"/>
      <c r="AN119" s="961"/>
      <c r="AO119" s="476"/>
      <c r="AP119" s="961"/>
      <c r="AQ119" s="961"/>
      <c r="AR119" s="961"/>
      <c r="AS119" s="961"/>
      <c r="AT119" s="961"/>
      <c r="AU119" s="1420"/>
      <c r="AV119" s="498"/>
      <c r="AW119" s="498"/>
      <c r="AX119" s="498"/>
      <c r="AY119" s="498"/>
      <c r="AZ119" s="1429">
        <v>11</v>
      </c>
    </row>
    <row r="120" spans="1:52" s="1429" customFormat="1" ht="11.45" customHeight="1">
      <c r="A120" s="839"/>
      <c r="B120" s="1424"/>
      <c r="C120" s="1424"/>
      <c r="D120" s="284"/>
      <c r="AE120" s="961"/>
      <c r="AF120" s="1424"/>
      <c r="AG120" s="1424"/>
      <c r="AH120" s="961"/>
      <c r="AI120" s="961"/>
      <c r="AJ120" s="961"/>
      <c r="AK120" s="961"/>
      <c r="AL120" s="1424"/>
      <c r="AM120" s="961"/>
      <c r="AN120" s="961"/>
      <c r="AO120" s="476"/>
      <c r="AP120" s="961"/>
      <c r="AQ120" s="961"/>
      <c r="AR120" s="961"/>
      <c r="AS120" s="961"/>
      <c r="AT120" s="961"/>
      <c r="AU120" s="1420"/>
      <c r="AV120" s="498"/>
      <c r="AW120" s="498"/>
      <c r="AX120" s="498"/>
      <c r="AY120" s="498"/>
      <c r="AZ120" s="1429">
        <v>11</v>
      </c>
    </row>
    <row r="121" spans="1:52" s="1429" customFormat="1" ht="11.45" customHeight="1">
      <c r="A121" s="839"/>
      <c r="B121" s="1424"/>
      <c r="C121" s="1424"/>
      <c r="D121" s="284"/>
      <c r="AE121" s="961"/>
      <c r="AF121" s="1424"/>
      <c r="AG121" s="1424"/>
      <c r="AH121" s="961"/>
      <c r="AI121" s="961"/>
      <c r="AJ121" s="961"/>
      <c r="AK121" s="961"/>
      <c r="AL121" s="1424"/>
      <c r="AM121" s="961"/>
      <c r="AN121" s="961"/>
      <c r="AO121" s="476"/>
      <c r="AP121" s="961"/>
      <c r="AQ121" s="961"/>
      <c r="AR121" s="961"/>
      <c r="AS121" s="961"/>
      <c r="AT121" s="961"/>
      <c r="AU121" s="1420"/>
      <c r="AV121" s="498"/>
      <c r="AW121" s="498"/>
      <c r="AX121" s="498"/>
      <c r="AY121" s="498"/>
      <c r="AZ121" s="1429">
        <v>11</v>
      </c>
    </row>
    <row r="122" spans="1:52" s="1429" customFormat="1" ht="11.45" customHeight="1">
      <c r="A122" s="839"/>
      <c r="B122" s="1424"/>
      <c r="C122" s="1424"/>
      <c r="D122" s="284"/>
      <c r="AE122" s="961"/>
      <c r="AF122" s="1424"/>
      <c r="AG122" s="1424"/>
      <c r="AH122" s="961"/>
      <c r="AI122" s="961"/>
      <c r="AJ122" s="961"/>
      <c r="AK122" s="961"/>
      <c r="AL122" s="1424"/>
      <c r="AM122" s="961"/>
      <c r="AN122" s="961"/>
      <c r="AO122" s="476"/>
      <c r="AP122" s="961"/>
      <c r="AQ122" s="961"/>
      <c r="AR122" s="961"/>
      <c r="AS122" s="961"/>
      <c r="AT122" s="961"/>
      <c r="AU122" s="1420"/>
      <c r="AV122" s="498"/>
      <c r="AW122" s="498"/>
      <c r="AX122" s="498"/>
      <c r="AY122" s="498"/>
      <c r="AZ122" s="1429">
        <v>11</v>
      </c>
    </row>
    <row r="123" spans="1:52" s="1429" customFormat="1" ht="11.45" customHeight="1">
      <c r="A123" s="839"/>
      <c r="B123" s="1424"/>
      <c r="C123" s="1424"/>
      <c r="D123" s="284"/>
      <c r="AE123" s="961"/>
      <c r="AF123" s="1424"/>
      <c r="AG123" s="1424"/>
      <c r="AH123" s="961"/>
      <c r="AI123" s="961"/>
      <c r="AJ123" s="961"/>
      <c r="AK123" s="961"/>
      <c r="AL123" s="1424"/>
      <c r="AM123" s="961"/>
      <c r="AN123" s="961"/>
      <c r="AO123" s="476"/>
      <c r="AP123" s="961"/>
      <c r="AQ123" s="961"/>
      <c r="AR123" s="961"/>
      <c r="AS123" s="961"/>
      <c r="AT123" s="961"/>
      <c r="AU123" s="1420"/>
      <c r="AV123" s="498"/>
      <c r="AW123" s="498"/>
      <c r="AX123" s="498"/>
      <c r="AY123" s="498"/>
      <c r="AZ123" s="1429">
        <v>11</v>
      </c>
    </row>
    <row r="124" spans="1:52" s="1429" customFormat="1" ht="11.45" customHeight="1">
      <c r="A124" s="839"/>
      <c r="B124" s="1424"/>
      <c r="C124" s="1424"/>
      <c r="D124" s="284"/>
      <c r="AE124" s="961"/>
      <c r="AF124" s="1424"/>
      <c r="AG124" s="1424"/>
      <c r="AH124" s="961"/>
      <c r="AI124" s="961"/>
      <c r="AJ124" s="961"/>
      <c r="AK124" s="961"/>
      <c r="AL124" s="1424"/>
      <c r="AM124" s="961"/>
      <c r="AN124" s="961"/>
      <c r="AO124" s="476"/>
      <c r="AP124" s="961"/>
      <c r="AQ124" s="961"/>
      <c r="AR124" s="961"/>
      <c r="AS124" s="961"/>
      <c r="AT124" s="961"/>
      <c r="AU124" s="1420"/>
      <c r="AV124" s="498"/>
      <c r="AW124" s="498"/>
      <c r="AX124" s="498"/>
      <c r="AY124" s="498"/>
      <c r="AZ124" s="1429">
        <v>11</v>
      </c>
    </row>
    <row r="125" spans="1:52" s="1429" customFormat="1" ht="11.45" customHeight="1">
      <c r="A125" s="839"/>
      <c r="B125" s="1424"/>
      <c r="C125" s="1424"/>
      <c r="D125" s="284"/>
      <c r="AE125" s="961"/>
      <c r="AF125" s="1424"/>
      <c r="AG125" s="1424"/>
      <c r="AH125" s="961"/>
      <c r="AI125" s="961"/>
      <c r="AJ125" s="961"/>
      <c r="AK125" s="961"/>
      <c r="AL125" s="1424"/>
      <c r="AM125" s="961"/>
      <c r="AN125" s="961"/>
      <c r="AO125" s="476"/>
      <c r="AP125" s="961"/>
      <c r="AQ125" s="961"/>
      <c r="AR125" s="961"/>
      <c r="AS125" s="961"/>
      <c r="AT125" s="961"/>
      <c r="AU125" s="1420"/>
      <c r="AV125" s="498"/>
      <c r="AW125" s="498"/>
      <c r="AX125" s="498"/>
      <c r="AY125" s="498"/>
      <c r="AZ125" s="1429">
        <v>11</v>
      </c>
    </row>
    <row r="126" spans="1:52" s="1429" customFormat="1" ht="11.45" customHeight="1">
      <c r="A126" s="839"/>
      <c r="B126" s="1424"/>
      <c r="C126" s="1424"/>
      <c r="D126" s="284"/>
      <c r="AE126" s="961"/>
      <c r="AF126" s="1424"/>
      <c r="AG126" s="1424"/>
      <c r="AH126" s="961"/>
      <c r="AI126" s="961"/>
      <c r="AJ126" s="961"/>
      <c r="AK126" s="961"/>
      <c r="AL126" s="1424"/>
      <c r="AM126" s="961"/>
      <c r="AN126" s="961"/>
      <c r="AO126" s="476"/>
      <c r="AP126" s="961"/>
      <c r="AQ126" s="961"/>
      <c r="AR126" s="961"/>
      <c r="AS126" s="961"/>
      <c r="AT126" s="961"/>
      <c r="AU126" s="1420"/>
      <c r="AV126" s="498"/>
      <c r="AW126" s="498"/>
      <c r="AX126" s="498"/>
      <c r="AY126" s="498"/>
      <c r="AZ126" s="1429">
        <v>11</v>
      </c>
    </row>
    <row r="127" spans="1:52" s="1429" customFormat="1" ht="11.45" customHeight="1">
      <c r="A127" s="839"/>
      <c r="B127" s="1424"/>
      <c r="C127" s="1424"/>
      <c r="D127" s="284"/>
      <c r="AE127" s="961"/>
      <c r="AF127" s="1424"/>
      <c r="AG127" s="1424"/>
      <c r="AH127" s="961"/>
      <c r="AI127" s="961"/>
      <c r="AJ127" s="961"/>
      <c r="AK127" s="961"/>
      <c r="AL127" s="1424"/>
      <c r="AM127" s="961"/>
      <c r="AN127" s="961"/>
      <c r="AO127" s="476"/>
      <c r="AP127" s="961"/>
      <c r="AQ127" s="961"/>
      <c r="AR127" s="961"/>
      <c r="AS127" s="961"/>
      <c r="AT127" s="961"/>
      <c r="AU127" s="1420"/>
      <c r="AV127" s="498"/>
      <c r="AW127" s="498"/>
      <c r="AX127" s="498"/>
      <c r="AY127" s="498"/>
      <c r="AZ127" s="1429">
        <v>11</v>
      </c>
    </row>
    <row r="128" spans="1:52" s="1429" customFormat="1" ht="11.45" customHeight="1">
      <c r="A128" s="839"/>
      <c r="B128" s="1424"/>
      <c r="C128" s="1424"/>
      <c r="D128" s="284"/>
      <c r="AE128" s="961"/>
      <c r="AF128" s="1424"/>
      <c r="AG128" s="1424"/>
      <c r="AH128" s="961"/>
      <c r="AI128" s="961"/>
      <c r="AJ128" s="961"/>
      <c r="AK128" s="961"/>
      <c r="AL128" s="1424"/>
      <c r="AM128" s="961"/>
      <c r="AN128" s="961"/>
      <c r="AO128" s="476"/>
      <c r="AP128" s="961"/>
      <c r="AQ128" s="961"/>
      <c r="AR128" s="961"/>
      <c r="AS128" s="961"/>
      <c r="AT128" s="961"/>
      <c r="AU128" s="1420"/>
      <c r="AV128" s="498"/>
      <c r="AW128" s="498"/>
      <c r="AX128" s="498"/>
      <c r="AY128" s="498"/>
      <c r="AZ128" s="1429">
        <v>11</v>
      </c>
    </row>
    <row r="129" spans="1:52" s="1429" customFormat="1" ht="11.45" customHeight="1">
      <c r="A129" s="839"/>
      <c r="B129" s="1424"/>
      <c r="C129" s="1424"/>
      <c r="D129" s="284"/>
      <c r="AE129" s="961"/>
      <c r="AF129" s="1424"/>
      <c r="AG129" s="1424"/>
      <c r="AH129" s="961"/>
      <c r="AI129" s="961"/>
      <c r="AJ129" s="961"/>
      <c r="AK129" s="961"/>
      <c r="AL129" s="1424"/>
      <c r="AM129" s="961"/>
      <c r="AN129" s="961"/>
      <c r="AO129" s="476"/>
      <c r="AP129" s="961"/>
      <c r="AQ129" s="961"/>
      <c r="AR129" s="961"/>
      <c r="AS129" s="961"/>
      <c r="AT129" s="961"/>
      <c r="AU129" s="1420"/>
      <c r="AV129" s="498"/>
      <c r="AW129" s="498"/>
      <c r="AX129" s="498"/>
      <c r="AY129" s="498"/>
      <c r="AZ129" s="1429">
        <v>11</v>
      </c>
    </row>
    <row r="130" spans="1:52" s="1429" customFormat="1" ht="11.45" customHeight="1">
      <c r="A130" s="839"/>
      <c r="B130" s="1424"/>
      <c r="C130" s="1424"/>
      <c r="D130" s="284"/>
      <c r="AE130" s="961"/>
      <c r="AF130" s="1424"/>
      <c r="AG130" s="1424"/>
      <c r="AH130" s="961"/>
      <c r="AI130" s="961"/>
      <c r="AJ130" s="961"/>
      <c r="AK130" s="961"/>
      <c r="AL130" s="1424"/>
      <c r="AM130" s="961"/>
      <c r="AN130" s="961"/>
      <c r="AO130" s="476"/>
      <c r="AP130" s="961"/>
      <c r="AQ130" s="961"/>
      <c r="AR130" s="961"/>
      <c r="AS130" s="961"/>
      <c r="AT130" s="961"/>
      <c r="AU130" s="1420"/>
      <c r="AV130" s="498"/>
      <c r="AW130" s="498"/>
      <c r="AX130" s="498"/>
      <c r="AY130" s="498"/>
      <c r="AZ130" s="1429">
        <v>11</v>
      </c>
    </row>
    <row r="131" spans="1:52" s="1429" customFormat="1" ht="11.45" customHeight="1">
      <c r="A131" s="839"/>
      <c r="B131" s="1424"/>
      <c r="C131" s="1424"/>
      <c r="D131" s="284"/>
      <c r="AE131" s="961"/>
      <c r="AF131" s="1424"/>
      <c r="AG131" s="1424"/>
      <c r="AH131" s="961"/>
      <c r="AI131" s="961"/>
      <c r="AJ131" s="961"/>
      <c r="AK131" s="961"/>
      <c r="AL131" s="1424"/>
      <c r="AM131" s="961"/>
      <c r="AN131" s="961"/>
      <c r="AO131" s="476"/>
      <c r="AP131" s="961"/>
      <c r="AQ131" s="961"/>
      <c r="AR131" s="961"/>
      <c r="AS131" s="961"/>
      <c r="AT131" s="961"/>
      <c r="AU131" s="1420"/>
      <c r="AV131" s="498"/>
      <c r="AW131" s="498"/>
      <c r="AX131" s="498"/>
      <c r="AY131" s="498"/>
      <c r="AZ131" s="1429">
        <v>11</v>
      </c>
    </row>
    <row r="132" spans="1:52" s="1429" customFormat="1" ht="11.45" customHeight="1">
      <c r="A132" s="839"/>
      <c r="B132" s="1424"/>
      <c r="C132" s="1424"/>
      <c r="D132" s="284"/>
      <c r="AE132" s="961"/>
      <c r="AF132" s="1424"/>
      <c r="AG132" s="1424"/>
      <c r="AH132" s="961"/>
      <c r="AI132" s="961"/>
      <c r="AJ132" s="961"/>
      <c r="AK132" s="961"/>
      <c r="AL132" s="1424"/>
      <c r="AM132" s="961"/>
      <c r="AN132" s="961"/>
      <c r="AO132" s="476"/>
      <c r="AP132" s="961"/>
      <c r="AQ132" s="961"/>
      <c r="AR132" s="961"/>
      <c r="AS132" s="961"/>
      <c r="AT132" s="961"/>
      <c r="AU132" s="1420"/>
      <c r="AV132" s="498"/>
      <c r="AW132" s="498"/>
      <c r="AX132" s="498"/>
      <c r="AY132" s="498"/>
      <c r="AZ132" s="1429">
        <v>11</v>
      </c>
    </row>
    <row r="133" spans="1:52" s="1429" customFormat="1" ht="11.45" customHeight="1">
      <c r="A133" s="839"/>
      <c r="B133" s="1424"/>
      <c r="C133" s="1424"/>
      <c r="D133" s="284"/>
      <c r="AE133" s="961"/>
      <c r="AF133" s="1424"/>
      <c r="AG133" s="1424"/>
      <c r="AH133" s="961"/>
      <c r="AI133" s="961"/>
      <c r="AJ133" s="961"/>
      <c r="AK133" s="961"/>
      <c r="AL133" s="1424"/>
      <c r="AM133" s="961"/>
      <c r="AN133" s="961"/>
      <c r="AO133" s="476"/>
      <c r="AP133" s="961"/>
      <c r="AQ133" s="961"/>
      <c r="AR133" s="961"/>
      <c r="AS133" s="961"/>
      <c r="AT133" s="961"/>
      <c r="AU133" s="1420"/>
      <c r="AV133" s="498"/>
      <c r="AW133" s="498"/>
      <c r="AX133" s="498"/>
      <c r="AY133" s="498"/>
      <c r="AZ133" s="1429">
        <v>11</v>
      </c>
    </row>
    <row r="134" spans="1:52" s="1429" customFormat="1" ht="11.45" customHeight="1">
      <c r="A134" s="839"/>
      <c r="B134" s="1424"/>
      <c r="C134" s="1424"/>
      <c r="D134" s="284"/>
      <c r="AE134" s="961"/>
      <c r="AF134" s="1424"/>
      <c r="AG134" s="1424"/>
      <c r="AH134" s="961"/>
      <c r="AI134" s="961"/>
      <c r="AJ134" s="961"/>
      <c r="AK134" s="961"/>
      <c r="AL134" s="1424"/>
      <c r="AM134" s="961"/>
      <c r="AN134" s="961"/>
      <c r="AO134" s="476"/>
      <c r="AP134" s="961"/>
      <c r="AQ134" s="961"/>
      <c r="AR134" s="961"/>
      <c r="AS134" s="961"/>
      <c r="AT134" s="961"/>
      <c r="AU134" s="1420"/>
      <c r="AV134" s="498"/>
      <c r="AW134" s="498"/>
      <c r="AX134" s="498"/>
      <c r="AY134" s="498"/>
      <c r="AZ134" s="1429">
        <v>11</v>
      </c>
    </row>
    <row r="135" spans="1:52" s="1429" customFormat="1" ht="11.45" customHeight="1">
      <c r="A135" s="839"/>
      <c r="B135" s="1424"/>
      <c r="C135" s="1424"/>
      <c r="D135" s="284"/>
      <c r="AE135" s="961"/>
      <c r="AF135" s="1424"/>
      <c r="AG135" s="1424"/>
      <c r="AH135" s="961"/>
      <c r="AI135" s="961"/>
      <c r="AJ135" s="961"/>
      <c r="AK135" s="961"/>
      <c r="AL135" s="1424"/>
      <c r="AM135" s="961"/>
      <c r="AN135" s="961"/>
      <c r="AO135" s="476"/>
      <c r="AP135" s="961"/>
      <c r="AQ135" s="961"/>
      <c r="AR135" s="961"/>
      <c r="AS135" s="961"/>
      <c r="AT135" s="961"/>
      <c r="AU135" s="1420"/>
      <c r="AV135" s="498"/>
      <c r="AW135" s="498"/>
      <c r="AX135" s="498"/>
      <c r="AY135" s="498"/>
      <c r="AZ135" s="1429">
        <v>11</v>
      </c>
    </row>
    <row r="136" spans="1:52" s="1429" customFormat="1" ht="11.45" customHeight="1">
      <c r="A136" s="839"/>
      <c r="B136" s="1424"/>
      <c r="C136" s="1424"/>
      <c r="D136" s="284"/>
      <c r="AE136" s="961"/>
      <c r="AF136" s="1424"/>
      <c r="AG136" s="1424"/>
      <c r="AH136" s="961"/>
      <c r="AI136" s="961"/>
      <c r="AJ136" s="961"/>
      <c r="AK136" s="961"/>
      <c r="AL136" s="1424"/>
      <c r="AM136" s="961"/>
      <c r="AN136" s="961"/>
      <c r="AO136" s="476"/>
      <c r="AP136" s="961"/>
      <c r="AQ136" s="961"/>
      <c r="AR136" s="961"/>
      <c r="AS136" s="961"/>
      <c r="AT136" s="961"/>
      <c r="AU136" s="1420"/>
      <c r="AV136" s="498"/>
      <c r="AW136" s="498"/>
      <c r="AX136" s="498"/>
      <c r="AY136" s="498"/>
      <c r="AZ136" s="1429">
        <v>11</v>
      </c>
    </row>
    <row r="137" spans="1:52" s="1429" customFormat="1" ht="11.45" customHeight="1">
      <c r="A137" s="839"/>
      <c r="B137" s="1424"/>
      <c r="C137" s="1424"/>
      <c r="D137" s="284"/>
      <c r="AE137" s="961"/>
      <c r="AF137" s="1424"/>
      <c r="AG137" s="1424"/>
      <c r="AH137" s="961"/>
      <c r="AI137" s="961"/>
      <c r="AJ137" s="961"/>
      <c r="AK137" s="961"/>
      <c r="AL137" s="1424"/>
      <c r="AM137" s="961"/>
      <c r="AN137" s="961"/>
      <c r="AO137" s="476"/>
      <c r="AP137" s="961"/>
      <c r="AQ137" s="961"/>
      <c r="AR137" s="961"/>
      <c r="AS137" s="961"/>
      <c r="AT137" s="961"/>
      <c r="AU137" s="1420"/>
      <c r="AV137" s="498"/>
      <c r="AW137" s="498"/>
      <c r="AX137" s="498"/>
      <c r="AY137" s="498"/>
      <c r="AZ137" s="1429">
        <v>11</v>
      </c>
    </row>
    <row r="138" spans="1:52" s="1429" customFormat="1" ht="11.45" customHeight="1">
      <c r="A138" s="839"/>
      <c r="B138" s="1424"/>
      <c r="C138" s="1424"/>
      <c r="D138" s="284"/>
      <c r="AE138" s="961"/>
      <c r="AF138" s="1424"/>
      <c r="AG138" s="1424"/>
      <c r="AH138" s="961"/>
      <c r="AI138" s="961"/>
      <c r="AJ138" s="961"/>
      <c r="AK138" s="961"/>
      <c r="AL138" s="1424"/>
      <c r="AM138" s="961"/>
      <c r="AN138" s="961"/>
      <c r="AO138" s="476"/>
      <c r="AP138" s="961"/>
      <c r="AQ138" s="961"/>
      <c r="AR138" s="961"/>
      <c r="AS138" s="961"/>
      <c r="AT138" s="961"/>
      <c r="AU138" s="1420"/>
      <c r="AV138" s="498"/>
      <c r="AW138" s="498"/>
      <c r="AX138" s="498"/>
      <c r="AY138" s="498"/>
      <c r="AZ138" s="1429">
        <v>11</v>
      </c>
    </row>
    <row r="139" spans="1:52" s="1429" customFormat="1" ht="11.45" customHeight="1">
      <c r="A139" s="839"/>
      <c r="B139" s="1424"/>
      <c r="C139" s="1424"/>
      <c r="D139" s="284"/>
      <c r="AE139" s="961"/>
      <c r="AF139" s="1424"/>
      <c r="AG139" s="1424"/>
      <c r="AH139" s="961"/>
      <c r="AI139" s="961"/>
      <c r="AJ139" s="961"/>
      <c r="AK139" s="961"/>
      <c r="AL139" s="1424"/>
      <c r="AM139" s="961"/>
      <c r="AN139" s="961"/>
      <c r="AO139" s="476"/>
      <c r="AP139" s="961"/>
      <c r="AQ139" s="961"/>
      <c r="AR139" s="961"/>
      <c r="AS139" s="961"/>
      <c r="AT139" s="961"/>
      <c r="AU139" s="1420"/>
      <c r="AV139" s="498"/>
      <c r="AW139" s="498"/>
      <c r="AX139" s="498"/>
      <c r="AY139" s="498"/>
      <c r="AZ139" s="1429">
        <v>11</v>
      </c>
    </row>
    <row r="140" spans="1:52" s="1429" customFormat="1" ht="11.45" customHeight="1">
      <c r="A140" s="839"/>
      <c r="B140" s="1424"/>
      <c r="C140" s="1424"/>
      <c r="D140" s="284"/>
      <c r="AE140" s="961"/>
      <c r="AF140" s="1424"/>
      <c r="AG140" s="1424"/>
      <c r="AH140" s="961"/>
      <c r="AI140" s="961"/>
      <c r="AJ140" s="961"/>
      <c r="AK140" s="961"/>
      <c r="AL140" s="1424"/>
      <c r="AM140" s="961"/>
      <c r="AN140" s="961"/>
      <c r="AO140" s="476"/>
      <c r="AP140" s="961"/>
      <c r="AQ140" s="961"/>
      <c r="AR140" s="961"/>
      <c r="AS140" s="961"/>
      <c r="AT140" s="961"/>
      <c r="AU140" s="1420"/>
      <c r="AV140" s="498"/>
      <c r="AW140" s="498"/>
      <c r="AX140" s="498"/>
      <c r="AY140" s="498"/>
      <c r="AZ140" s="1429">
        <v>11</v>
      </c>
    </row>
    <row r="141" spans="1:52" s="1429" customFormat="1" ht="11.45" customHeight="1">
      <c r="A141" s="839"/>
      <c r="B141" s="1424"/>
      <c r="C141" s="1424"/>
      <c r="D141" s="284"/>
      <c r="AE141" s="961"/>
      <c r="AF141" s="1424"/>
      <c r="AG141" s="1424"/>
      <c r="AH141" s="961"/>
      <c r="AI141" s="961"/>
      <c r="AJ141" s="961"/>
      <c r="AK141" s="961"/>
      <c r="AL141" s="1424"/>
      <c r="AM141" s="961"/>
      <c r="AN141" s="961"/>
      <c r="AO141" s="476"/>
      <c r="AP141" s="961"/>
      <c r="AQ141" s="961"/>
      <c r="AR141" s="961"/>
      <c r="AS141" s="961"/>
      <c r="AT141" s="961"/>
      <c r="AU141" s="1420"/>
      <c r="AV141" s="498"/>
      <c r="AW141" s="498"/>
      <c r="AX141" s="498"/>
      <c r="AY141" s="498"/>
      <c r="AZ141" s="1429">
        <v>11</v>
      </c>
    </row>
    <row r="142" spans="1:52" s="1429" customFormat="1" ht="11.45" customHeight="1">
      <c r="A142" s="839"/>
      <c r="B142" s="1424"/>
      <c r="C142" s="1424"/>
      <c r="D142" s="284"/>
      <c r="AE142" s="961"/>
      <c r="AF142" s="1424"/>
      <c r="AG142" s="1424"/>
      <c r="AH142" s="961"/>
      <c r="AI142" s="961"/>
      <c r="AJ142" s="961"/>
      <c r="AK142" s="961"/>
      <c r="AL142" s="1424"/>
      <c r="AM142" s="961"/>
      <c r="AN142" s="961"/>
      <c r="AO142" s="476"/>
      <c r="AP142" s="961"/>
      <c r="AQ142" s="961"/>
      <c r="AR142" s="961"/>
      <c r="AS142" s="961"/>
      <c r="AT142" s="961"/>
      <c r="AU142" s="1420"/>
      <c r="AV142" s="498"/>
      <c r="AW142" s="498"/>
      <c r="AX142" s="498"/>
      <c r="AY142" s="498"/>
      <c r="AZ142" s="1429">
        <v>11</v>
      </c>
    </row>
    <row r="143" spans="1:52" s="1429" customFormat="1" ht="11.45" customHeight="1">
      <c r="A143" s="839"/>
      <c r="B143" s="1424"/>
      <c r="C143" s="1424"/>
      <c r="D143" s="284"/>
      <c r="AE143" s="961"/>
      <c r="AF143" s="1424"/>
      <c r="AG143" s="1424"/>
      <c r="AH143" s="961"/>
      <c r="AI143" s="961"/>
      <c r="AJ143" s="961"/>
      <c r="AK143" s="961"/>
      <c r="AL143" s="1424"/>
      <c r="AM143" s="961"/>
      <c r="AN143" s="961"/>
      <c r="AO143" s="476"/>
      <c r="AP143" s="961"/>
      <c r="AQ143" s="961"/>
      <c r="AR143" s="961"/>
      <c r="AS143" s="961"/>
      <c r="AT143" s="961"/>
      <c r="AU143" s="1420"/>
      <c r="AV143" s="498"/>
      <c r="AW143" s="498"/>
      <c r="AX143" s="498"/>
      <c r="AY143" s="498"/>
      <c r="AZ143" s="1429">
        <v>11</v>
      </c>
    </row>
    <row r="144" spans="1:52" s="1429" customFormat="1" ht="11.45" customHeight="1">
      <c r="A144" s="839"/>
      <c r="B144" s="1424"/>
      <c r="C144" s="1424"/>
      <c r="D144" s="284"/>
      <c r="AE144" s="961"/>
      <c r="AF144" s="1424"/>
      <c r="AG144" s="1424"/>
      <c r="AH144" s="961"/>
      <c r="AI144" s="961"/>
      <c r="AJ144" s="961"/>
      <c r="AK144" s="961"/>
      <c r="AL144" s="1424"/>
      <c r="AM144" s="961"/>
      <c r="AN144" s="961"/>
      <c r="AO144" s="476"/>
      <c r="AP144" s="961"/>
      <c r="AQ144" s="961"/>
      <c r="AR144" s="961"/>
      <c r="AS144" s="961"/>
      <c r="AT144" s="961"/>
      <c r="AU144" s="1420"/>
      <c r="AV144" s="498"/>
      <c r="AW144" s="498"/>
      <c r="AX144" s="498"/>
      <c r="AY144" s="498"/>
      <c r="AZ144" s="1429">
        <v>11</v>
      </c>
    </row>
    <row r="145" spans="1:52" s="1429" customFormat="1" ht="11.45" customHeight="1">
      <c r="A145" s="839"/>
      <c r="B145" s="1424"/>
      <c r="C145" s="1424"/>
      <c r="D145" s="284"/>
      <c r="AE145" s="961"/>
      <c r="AF145" s="1424"/>
      <c r="AG145" s="1424"/>
      <c r="AH145" s="961"/>
      <c r="AI145" s="961"/>
      <c r="AJ145" s="961"/>
      <c r="AK145" s="961"/>
      <c r="AL145" s="1424"/>
      <c r="AM145" s="961"/>
      <c r="AN145" s="961"/>
      <c r="AO145" s="476"/>
      <c r="AP145" s="961"/>
      <c r="AQ145" s="961"/>
      <c r="AR145" s="961"/>
      <c r="AS145" s="961"/>
      <c r="AT145" s="961"/>
      <c r="AU145" s="1420"/>
      <c r="AV145" s="498"/>
      <c r="AW145" s="498"/>
      <c r="AX145" s="498"/>
      <c r="AY145" s="498"/>
      <c r="AZ145" s="1429">
        <v>11</v>
      </c>
    </row>
    <row r="146" spans="1:52" s="1429" customFormat="1" ht="11.45" customHeight="1">
      <c r="A146" s="839"/>
      <c r="B146" s="1424"/>
      <c r="C146" s="1424"/>
      <c r="D146" s="284"/>
      <c r="AE146" s="961"/>
      <c r="AF146" s="1424"/>
      <c r="AG146" s="1424"/>
      <c r="AH146" s="961"/>
      <c r="AI146" s="961"/>
      <c r="AJ146" s="961"/>
      <c r="AK146" s="961"/>
      <c r="AL146" s="1424"/>
      <c r="AM146" s="961"/>
      <c r="AN146" s="961"/>
      <c r="AO146" s="476"/>
      <c r="AP146" s="961"/>
      <c r="AQ146" s="961"/>
      <c r="AR146" s="961"/>
      <c r="AS146" s="961"/>
      <c r="AT146" s="961"/>
      <c r="AU146" s="1420"/>
      <c r="AV146" s="498"/>
      <c r="AW146" s="498"/>
      <c r="AX146" s="498"/>
      <c r="AY146" s="498"/>
      <c r="AZ146" s="1429">
        <v>11</v>
      </c>
    </row>
    <row r="147" spans="1:52" s="1429" customFormat="1" ht="11.45" customHeight="1">
      <c r="A147" s="839"/>
      <c r="B147" s="1424"/>
      <c r="C147" s="1424"/>
      <c r="D147" s="284"/>
      <c r="AE147" s="961"/>
      <c r="AF147" s="1424"/>
      <c r="AG147" s="1424"/>
      <c r="AH147" s="961"/>
      <c r="AI147" s="961"/>
      <c r="AJ147" s="961"/>
      <c r="AK147" s="961"/>
      <c r="AL147" s="1424"/>
      <c r="AM147" s="961"/>
      <c r="AN147" s="961"/>
      <c r="AO147" s="476"/>
      <c r="AP147" s="961"/>
      <c r="AQ147" s="961"/>
      <c r="AR147" s="961"/>
      <c r="AS147" s="961"/>
      <c r="AT147" s="961"/>
      <c r="AU147" s="1420"/>
      <c r="AV147" s="498"/>
      <c r="AW147" s="498"/>
      <c r="AX147" s="498"/>
      <c r="AY147" s="498"/>
      <c r="AZ147" s="1429">
        <v>11</v>
      </c>
    </row>
    <row r="148" spans="1:52" s="1429" customFormat="1" ht="11.45" customHeight="1">
      <c r="A148" s="839"/>
      <c r="B148" s="1424"/>
      <c r="C148" s="1424"/>
      <c r="D148" s="284"/>
      <c r="AE148" s="961"/>
      <c r="AF148" s="1424"/>
      <c r="AG148" s="1424"/>
      <c r="AH148" s="961"/>
      <c r="AI148" s="961"/>
      <c r="AJ148" s="961"/>
      <c r="AK148" s="961"/>
      <c r="AL148" s="1424"/>
      <c r="AM148" s="961"/>
      <c r="AN148" s="961"/>
      <c r="AO148" s="476"/>
      <c r="AP148" s="961"/>
      <c r="AQ148" s="961"/>
      <c r="AR148" s="961"/>
      <c r="AS148" s="961"/>
      <c r="AT148" s="961"/>
      <c r="AU148" s="1420"/>
      <c r="AV148" s="498"/>
      <c r="AW148" s="498"/>
      <c r="AX148" s="498"/>
      <c r="AY148" s="498"/>
      <c r="AZ148" s="1429">
        <v>11</v>
      </c>
    </row>
    <row r="149" spans="1:52" s="1429" customFormat="1" ht="11.45" customHeight="1">
      <c r="A149" s="839"/>
      <c r="B149" s="1424"/>
      <c r="C149" s="1424"/>
      <c r="D149" s="284"/>
      <c r="AE149" s="961"/>
      <c r="AF149" s="1424"/>
      <c r="AG149" s="1424"/>
      <c r="AH149" s="961"/>
      <c r="AI149" s="961"/>
      <c r="AJ149" s="961"/>
      <c r="AK149" s="961"/>
      <c r="AL149" s="1424"/>
      <c r="AM149" s="961"/>
      <c r="AN149" s="961"/>
      <c r="AO149" s="476"/>
      <c r="AP149" s="961"/>
      <c r="AQ149" s="961"/>
      <c r="AR149" s="961"/>
      <c r="AS149" s="961"/>
      <c r="AT149" s="961"/>
      <c r="AU149" s="1420"/>
      <c r="AV149" s="498"/>
      <c r="AW149" s="498"/>
      <c r="AX149" s="498"/>
      <c r="AY149" s="498"/>
      <c r="AZ149" s="1429">
        <v>11</v>
      </c>
    </row>
    <row r="150" spans="1:52" s="1429" customFormat="1" ht="11.45" customHeight="1">
      <c r="A150" s="839"/>
      <c r="B150" s="1424"/>
      <c r="C150" s="1424"/>
      <c r="D150" s="284"/>
      <c r="AE150" s="961"/>
      <c r="AF150" s="1424"/>
      <c r="AG150" s="1424"/>
      <c r="AH150" s="961"/>
      <c r="AI150" s="961"/>
      <c r="AJ150" s="961"/>
      <c r="AK150" s="961"/>
      <c r="AL150" s="1424"/>
      <c r="AM150" s="961"/>
      <c r="AN150" s="961"/>
      <c r="AO150" s="476"/>
      <c r="AP150" s="961"/>
      <c r="AQ150" s="961"/>
      <c r="AR150" s="961"/>
      <c r="AS150" s="961"/>
      <c r="AT150" s="961"/>
      <c r="AU150" s="1420"/>
      <c r="AV150" s="498"/>
      <c r="AW150" s="498"/>
      <c r="AX150" s="498"/>
      <c r="AY150" s="498"/>
      <c r="AZ150" s="1429">
        <v>11</v>
      </c>
    </row>
    <row r="151" spans="1:52" s="1429" customFormat="1" ht="11.45" customHeight="1">
      <c r="A151" s="839"/>
      <c r="B151" s="1424"/>
      <c r="C151" s="1424"/>
      <c r="D151" s="284"/>
      <c r="AE151" s="961"/>
      <c r="AF151" s="1424"/>
      <c r="AG151" s="1424"/>
      <c r="AH151" s="961"/>
      <c r="AI151" s="961"/>
      <c r="AJ151" s="961"/>
      <c r="AK151" s="961"/>
      <c r="AL151" s="1424"/>
      <c r="AM151" s="961"/>
      <c r="AN151" s="961"/>
      <c r="AO151" s="476"/>
      <c r="AP151" s="961"/>
      <c r="AQ151" s="961"/>
      <c r="AR151" s="961"/>
      <c r="AS151" s="961"/>
      <c r="AT151" s="961"/>
      <c r="AU151" s="1420"/>
      <c r="AV151" s="498"/>
      <c r="AW151" s="498"/>
      <c r="AX151" s="498"/>
      <c r="AY151" s="498"/>
      <c r="AZ151" s="1429">
        <v>11</v>
      </c>
    </row>
    <row r="152" spans="1:52" s="1429" customFormat="1" ht="11.45" customHeight="1">
      <c r="A152" s="839"/>
      <c r="B152" s="1424"/>
      <c r="C152" s="1424"/>
      <c r="D152" s="284"/>
      <c r="AE152" s="961"/>
      <c r="AF152" s="1424"/>
      <c r="AG152" s="1424"/>
      <c r="AH152" s="961"/>
      <c r="AI152" s="961"/>
      <c r="AJ152" s="961"/>
      <c r="AK152" s="961"/>
      <c r="AL152" s="1424"/>
      <c r="AM152" s="961"/>
      <c r="AN152" s="961"/>
      <c r="AO152" s="476"/>
      <c r="AP152" s="961"/>
      <c r="AQ152" s="961"/>
      <c r="AR152" s="961"/>
      <c r="AS152" s="961"/>
      <c r="AT152" s="961"/>
      <c r="AU152" s="1420"/>
      <c r="AV152" s="498"/>
      <c r="AW152" s="498"/>
      <c r="AX152" s="498"/>
      <c r="AY152" s="498"/>
      <c r="AZ152" s="1429">
        <v>11</v>
      </c>
    </row>
    <row r="153" spans="1:52" s="1429" customFormat="1" ht="11.45" customHeight="1">
      <c r="A153" s="839"/>
      <c r="B153" s="1424"/>
      <c r="C153" s="1424"/>
      <c r="D153" s="284"/>
      <c r="AE153" s="961"/>
      <c r="AF153" s="1424"/>
      <c r="AG153" s="1424"/>
      <c r="AH153" s="961"/>
      <c r="AI153" s="961"/>
      <c r="AJ153" s="961"/>
      <c r="AK153" s="961"/>
      <c r="AL153" s="1424"/>
      <c r="AM153" s="961"/>
      <c r="AN153" s="961"/>
      <c r="AO153" s="476"/>
      <c r="AP153" s="961"/>
      <c r="AQ153" s="961"/>
      <c r="AR153" s="961"/>
      <c r="AS153" s="961"/>
      <c r="AT153" s="961"/>
      <c r="AU153" s="1420"/>
      <c r="AV153" s="498"/>
      <c r="AW153" s="498"/>
      <c r="AX153" s="498"/>
      <c r="AY153" s="498"/>
      <c r="AZ153" s="1429">
        <v>11</v>
      </c>
    </row>
    <row r="154" spans="1:52" s="1429" customFormat="1" ht="11.45" customHeight="1">
      <c r="A154" s="839"/>
      <c r="B154" s="1424"/>
      <c r="C154" s="1424"/>
      <c r="D154" s="284"/>
      <c r="AE154" s="961"/>
      <c r="AF154" s="1424"/>
      <c r="AG154" s="1424"/>
      <c r="AH154" s="961"/>
      <c r="AI154" s="961"/>
      <c r="AJ154" s="961"/>
      <c r="AK154" s="961"/>
      <c r="AL154" s="1424"/>
      <c r="AM154" s="961"/>
      <c r="AN154" s="961"/>
      <c r="AO154" s="476"/>
      <c r="AP154" s="961"/>
      <c r="AQ154" s="961"/>
      <c r="AR154" s="961"/>
      <c r="AS154" s="961"/>
      <c r="AT154" s="961"/>
      <c r="AU154" s="1420"/>
      <c r="AV154" s="498"/>
      <c r="AW154" s="498"/>
      <c r="AX154" s="498"/>
      <c r="AY154" s="498"/>
      <c r="AZ154" s="1429">
        <v>11</v>
      </c>
    </row>
    <row r="155" spans="1:52" s="1429" customFormat="1" ht="11.45" customHeight="1">
      <c r="A155" s="839"/>
      <c r="B155" s="1424"/>
      <c r="C155" s="1424"/>
      <c r="D155" s="284"/>
      <c r="AE155" s="961"/>
      <c r="AF155" s="1424"/>
      <c r="AG155" s="1424"/>
      <c r="AH155" s="961"/>
      <c r="AI155" s="961"/>
      <c r="AJ155" s="961"/>
      <c r="AK155" s="961"/>
      <c r="AL155" s="1424"/>
      <c r="AM155" s="961"/>
      <c r="AN155" s="961"/>
      <c r="AO155" s="476"/>
      <c r="AP155" s="961"/>
      <c r="AQ155" s="961"/>
      <c r="AR155" s="961"/>
      <c r="AS155" s="961"/>
      <c r="AT155" s="961"/>
      <c r="AU155" s="1420"/>
      <c r="AV155" s="498"/>
      <c r="AW155" s="498"/>
      <c r="AX155" s="498"/>
      <c r="AY155" s="498"/>
      <c r="AZ155" s="1429">
        <v>11</v>
      </c>
    </row>
    <row r="156" spans="1:52" s="1429" customFormat="1" ht="11.45" customHeight="1">
      <c r="A156" s="839"/>
      <c r="B156" s="1424"/>
      <c r="C156" s="1424"/>
      <c r="D156" s="284"/>
      <c r="AE156" s="961"/>
      <c r="AF156" s="1424"/>
      <c r="AG156" s="1424"/>
      <c r="AH156" s="961"/>
      <c r="AI156" s="961"/>
      <c r="AJ156" s="961"/>
      <c r="AK156" s="961"/>
      <c r="AL156" s="1424"/>
      <c r="AM156" s="961"/>
      <c r="AN156" s="961"/>
      <c r="AO156" s="476"/>
      <c r="AP156" s="961"/>
      <c r="AQ156" s="961"/>
      <c r="AR156" s="961"/>
      <c r="AS156" s="961"/>
      <c r="AT156" s="961"/>
      <c r="AU156" s="1420"/>
      <c r="AV156" s="498"/>
      <c r="AW156" s="498"/>
      <c r="AX156" s="498"/>
      <c r="AY156" s="498"/>
      <c r="AZ156" s="1429">
        <v>11</v>
      </c>
    </row>
    <row r="157" spans="1:52" s="1429" customFormat="1" ht="11.45" customHeight="1">
      <c r="A157" s="839"/>
      <c r="B157" s="1424"/>
      <c r="C157" s="1424"/>
      <c r="D157" s="284"/>
      <c r="AE157" s="961"/>
      <c r="AF157" s="1424"/>
      <c r="AG157" s="1424"/>
      <c r="AH157" s="961"/>
      <c r="AI157" s="961"/>
      <c r="AJ157" s="961"/>
      <c r="AK157" s="961"/>
      <c r="AL157" s="1424"/>
      <c r="AM157" s="961"/>
      <c r="AN157" s="961"/>
      <c r="AO157" s="476"/>
      <c r="AP157" s="961"/>
      <c r="AQ157" s="961"/>
      <c r="AR157" s="961"/>
      <c r="AS157" s="961"/>
      <c r="AT157" s="961"/>
      <c r="AU157" s="1420"/>
      <c r="AV157" s="498"/>
      <c r="AW157" s="498"/>
      <c r="AX157" s="498"/>
      <c r="AY157" s="498"/>
      <c r="AZ157" s="1429">
        <v>11</v>
      </c>
    </row>
    <row r="158" spans="1:52" s="1429" customFormat="1" ht="11.45" customHeight="1">
      <c r="A158" s="839"/>
      <c r="B158" s="1424"/>
      <c r="C158" s="1424"/>
      <c r="D158" s="284"/>
      <c r="AE158" s="961"/>
      <c r="AF158" s="1424"/>
      <c r="AG158" s="1424"/>
      <c r="AH158" s="961"/>
      <c r="AI158" s="961"/>
      <c r="AJ158" s="961"/>
      <c r="AK158" s="961"/>
      <c r="AL158" s="1424"/>
      <c r="AM158" s="961"/>
      <c r="AN158" s="961"/>
      <c r="AO158" s="476"/>
      <c r="AP158" s="961"/>
      <c r="AQ158" s="961"/>
      <c r="AR158" s="961"/>
      <c r="AS158" s="961"/>
      <c r="AT158" s="961"/>
      <c r="AU158" s="1420"/>
      <c r="AV158" s="498"/>
      <c r="AW158" s="498"/>
      <c r="AX158" s="498"/>
      <c r="AY158" s="498"/>
      <c r="AZ158" s="1429">
        <v>11</v>
      </c>
    </row>
    <row r="159" spans="1:52" s="1429" customFormat="1" ht="11.45" customHeight="1">
      <c r="A159" s="839"/>
      <c r="B159" s="1424"/>
      <c r="C159" s="1424"/>
      <c r="D159" s="284"/>
      <c r="AE159" s="961"/>
      <c r="AF159" s="1424"/>
      <c r="AG159" s="1424"/>
      <c r="AH159" s="961"/>
      <c r="AI159" s="961"/>
      <c r="AJ159" s="961"/>
      <c r="AK159" s="961"/>
      <c r="AL159" s="1424"/>
      <c r="AM159" s="961"/>
      <c r="AN159" s="961"/>
      <c r="AO159" s="476"/>
      <c r="AP159" s="961"/>
      <c r="AQ159" s="961"/>
      <c r="AR159" s="961"/>
      <c r="AS159" s="961"/>
      <c r="AT159" s="961"/>
      <c r="AU159" s="1420"/>
      <c r="AV159" s="498"/>
      <c r="AW159" s="498"/>
      <c r="AX159" s="498"/>
      <c r="AY159" s="498"/>
      <c r="AZ159" s="1429">
        <v>11</v>
      </c>
    </row>
    <row r="160" spans="1:52" s="1429" customFormat="1" ht="11.45" customHeight="1">
      <c r="A160" s="839"/>
      <c r="B160" s="1424"/>
      <c r="C160" s="1424"/>
      <c r="D160" s="284"/>
      <c r="AE160" s="961"/>
      <c r="AF160" s="1424"/>
      <c r="AG160" s="1424"/>
      <c r="AH160" s="961"/>
      <c r="AI160" s="961"/>
      <c r="AJ160" s="961"/>
      <c r="AK160" s="961"/>
      <c r="AL160" s="1424"/>
      <c r="AM160" s="961"/>
      <c r="AN160" s="961"/>
      <c r="AO160" s="476"/>
      <c r="AP160" s="961"/>
      <c r="AQ160" s="961"/>
      <c r="AR160" s="961"/>
      <c r="AS160" s="961"/>
      <c r="AT160" s="961"/>
      <c r="AU160" s="1420"/>
      <c r="AV160" s="498"/>
      <c r="AW160" s="498"/>
      <c r="AX160" s="498"/>
      <c r="AY160" s="498"/>
      <c r="AZ160" s="1429">
        <v>11</v>
      </c>
    </row>
    <row r="161" spans="1:52" s="1429" customFormat="1" ht="11.45" customHeight="1">
      <c r="A161" s="839"/>
      <c r="B161" s="1424"/>
      <c r="C161" s="1424"/>
      <c r="D161" s="284"/>
      <c r="AE161" s="961"/>
      <c r="AF161" s="1424"/>
      <c r="AG161" s="1424"/>
      <c r="AH161" s="961"/>
      <c r="AI161" s="961"/>
      <c r="AJ161" s="961"/>
      <c r="AK161" s="961"/>
      <c r="AL161" s="1424"/>
      <c r="AM161" s="961"/>
      <c r="AN161" s="961"/>
      <c r="AO161" s="476"/>
      <c r="AP161" s="961"/>
      <c r="AQ161" s="961"/>
      <c r="AR161" s="961"/>
      <c r="AS161" s="961"/>
      <c r="AT161" s="961"/>
      <c r="AU161" s="1420"/>
      <c r="AV161" s="498"/>
      <c r="AW161" s="498"/>
      <c r="AX161" s="498"/>
      <c r="AY161" s="498"/>
      <c r="AZ161" s="1429">
        <v>11</v>
      </c>
    </row>
    <row r="162" spans="1:52" s="1429" customFormat="1" ht="11.45" customHeight="1">
      <c r="A162" s="839"/>
      <c r="B162" s="1424"/>
      <c r="C162" s="1424"/>
      <c r="D162" s="284"/>
      <c r="AE162" s="961"/>
      <c r="AF162" s="1424"/>
      <c r="AG162" s="1424"/>
      <c r="AH162" s="961"/>
      <c r="AI162" s="961"/>
      <c r="AJ162" s="961"/>
      <c r="AK162" s="961"/>
      <c r="AL162" s="1424"/>
      <c r="AM162" s="961"/>
      <c r="AN162" s="961"/>
      <c r="AO162" s="476"/>
      <c r="AP162" s="961"/>
      <c r="AQ162" s="961"/>
      <c r="AR162" s="961"/>
      <c r="AS162" s="961"/>
      <c r="AT162" s="961"/>
      <c r="AU162" s="1420"/>
      <c r="AV162" s="498"/>
      <c r="AW162" s="498"/>
      <c r="AX162" s="498"/>
      <c r="AY162" s="498"/>
      <c r="AZ162" s="1429">
        <v>11</v>
      </c>
    </row>
    <row r="163" spans="1:52" s="1429" customFormat="1" ht="11.45" customHeight="1">
      <c r="A163" s="839"/>
      <c r="B163" s="1424"/>
      <c r="C163" s="1424"/>
      <c r="D163" s="284"/>
      <c r="AE163" s="961"/>
      <c r="AF163" s="1424"/>
      <c r="AG163" s="1424"/>
      <c r="AH163" s="961"/>
      <c r="AI163" s="961"/>
      <c r="AJ163" s="961"/>
      <c r="AK163" s="961"/>
      <c r="AL163" s="1424"/>
      <c r="AM163" s="961"/>
      <c r="AN163" s="961"/>
      <c r="AO163" s="476"/>
      <c r="AP163" s="961"/>
      <c r="AQ163" s="961"/>
      <c r="AR163" s="961"/>
      <c r="AS163" s="961"/>
      <c r="AT163" s="961"/>
      <c r="AU163" s="1420"/>
      <c r="AV163" s="498"/>
      <c r="AW163" s="498"/>
      <c r="AX163" s="498"/>
      <c r="AY163" s="498"/>
      <c r="AZ163" s="1429">
        <v>11</v>
      </c>
    </row>
    <row r="164" spans="1:52" s="1429" customFormat="1" ht="11.45" customHeight="1">
      <c r="A164" s="839"/>
      <c r="B164" s="1424"/>
      <c r="C164" s="1424"/>
      <c r="D164" s="284"/>
      <c r="AE164" s="961"/>
      <c r="AF164" s="1424"/>
      <c r="AG164" s="1424"/>
      <c r="AH164" s="961"/>
      <c r="AI164" s="961"/>
      <c r="AJ164" s="961"/>
      <c r="AK164" s="961"/>
      <c r="AL164" s="1424"/>
      <c r="AM164" s="961"/>
      <c r="AN164" s="961"/>
      <c r="AO164" s="476"/>
      <c r="AP164" s="961"/>
      <c r="AQ164" s="961"/>
      <c r="AR164" s="961"/>
      <c r="AS164" s="961"/>
      <c r="AT164" s="961"/>
      <c r="AU164" s="1420"/>
      <c r="AV164" s="498"/>
      <c r="AW164" s="498"/>
      <c r="AX164" s="498"/>
      <c r="AY164" s="498"/>
      <c r="AZ164" s="1429">
        <v>11</v>
      </c>
    </row>
    <row r="165" spans="1:52" s="1429" customFormat="1" ht="11.45" customHeight="1">
      <c r="A165" s="839"/>
      <c r="B165" s="1424"/>
      <c r="C165" s="1424"/>
      <c r="D165" s="284"/>
      <c r="AE165" s="961"/>
      <c r="AF165" s="1424"/>
      <c r="AG165" s="1424"/>
      <c r="AH165" s="961"/>
      <c r="AI165" s="961"/>
      <c r="AJ165" s="961"/>
      <c r="AK165" s="961"/>
      <c r="AL165" s="1424"/>
      <c r="AM165" s="961"/>
      <c r="AN165" s="961"/>
      <c r="AO165" s="476"/>
      <c r="AP165" s="961"/>
      <c r="AQ165" s="961"/>
      <c r="AR165" s="961"/>
      <c r="AS165" s="961"/>
      <c r="AT165" s="961"/>
      <c r="AU165" s="1420"/>
      <c r="AV165" s="498"/>
      <c r="AW165" s="498"/>
      <c r="AX165" s="498"/>
      <c r="AY165" s="498"/>
      <c r="AZ165" s="1429">
        <v>11</v>
      </c>
    </row>
    <row r="166" spans="1:52" s="1429" customFormat="1" ht="11.45" customHeight="1">
      <c r="A166" s="839"/>
      <c r="B166" s="1424"/>
      <c r="C166" s="1424"/>
      <c r="D166" s="284"/>
      <c r="AE166" s="961"/>
      <c r="AF166" s="1424"/>
      <c r="AG166" s="1424"/>
      <c r="AH166" s="961"/>
      <c r="AI166" s="961"/>
      <c r="AJ166" s="961"/>
      <c r="AK166" s="961"/>
      <c r="AL166" s="1424"/>
      <c r="AM166" s="961"/>
      <c r="AN166" s="961"/>
      <c r="AO166" s="476"/>
      <c r="AP166" s="961"/>
      <c r="AQ166" s="961"/>
      <c r="AR166" s="961"/>
      <c r="AS166" s="961"/>
      <c r="AT166" s="961"/>
      <c r="AU166" s="1420"/>
      <c r="AV166" s="498"/>
      <c r="AW166" s="498"/>
      <c r="AX166" s="498"/>
      <c r="AY166" s="498"/>
      <c r="AZ166" s="1429">
        <v>11</v>
      </c>
    </row>
    <row r="167" spans="1:52" s="1429" customFormat="1" ht="11.45" customHeight="1">
      <c r="A167" s="839"/>
      <c r="B167" s="1424"/>
      <c r="C167" s="1424"/>
      <c r="D167" s="284"/>
      <c r="AE167" s="961"/>
      <c r="AF167" s="1424"/>
      <c r="AG167" s="1424"/>
      <c r="AH167" s="961"/>
      <c r="AI167" s="961"/>
      <c r="AJ167" s="961"/>
      <c r="AK167" s="961"/>
      <c r="AL167" s="1424"/>
      <c r="AM167" s="961"/>
      <c r="AN167" s="961"/>
      <c r="AO167" s="476"/>
      <c r="AP167" s="961"/>
      <c r="AQ167" s="961"/>
      <c r="AR167" s="961"/>
      <c r="AS167" s="961"/>
      <c r="AT167" s="961"/>
      <c r="AU167" s="1420"/>
      <c r="AV167" s="498"/>
      <c r="AW167" s="498"/>
      <c r="AX167" s="498"/>
      <c r="AY167" s="498"/>
      <c r="AZ167" s="1429">
        <v>11</v>
      </c>
    </row>
    <row r="168" spans="1:52" s="1429" customFormat="1" ht="11.45" customHeight="1">
      <c r="A168" s="839"/>
      <c r="B168" s="1424"/>
      <c r="C168" s="1424"/>
      <c r="D168" s="284"/>
      <c r="AE168" s="961"/>
      <c r="AF168" s="1424"/>
      <c r="AG168" s="1424"/>
      <c r="AH168" s="961"/>
      <c r="AI168" s="961"/>
      <c r="AJ168" s="961"/>
      <c r="AK168" s="961"/>
      <c r="AL168" s="1424"/>
      <c r="AM168" s="961"/>
      <c r="AN168" s="961"/>
      <c r="AO168" s="476"/>
      <c r="AP168" s="961"/>
      <c r="AQ168" s="961"/>
      <c r="AR168" s="961"/>
      <c r="AS168" s="961"/>
      <c r="AT168" s="961"/>
      <c r="AU168" s="1420"/>
      <c r="AV168" s="498"/>
      <c r="AW168" s="498"/>
      <c r="AX168" s="498"/>
      <c r="AY168" s="498"/>
      <c r="AZ168" s="1429">
        <v>11</v>
      </c>
    </row>
    <row r="169" spans="1:52" s="1429" customFormat="1" ht="11.45" customHeight="1">
      <c r="A169" s="839"/>
      <c r="B169" s="1424"/>
      <c r="C169" s="1424"/>
      <c r="D169" s="284"/>
      <c r="AE169" s="961"/>
      <c r="AF169" s="1424"/>
      <c r="AG169" s="1424"/>
      <c r="AH169" s="961"/>
      <c r="AI169" s="961"/>
      <c r="AJ169" s="961"/>
      <c r="AK169" s="961"/>
      <c r="AL169" s="1424"/>
      <c r="AM169" s="961"/>
      <c r="AN169" s="961"/>
      <c r="AO169" s="476"/>
      <c r="AP169" s="961"/>
      <c r="AQ169" s="961"/>
      <c r="AR169" s="961"/>
      <c r="AS169" s="961"/>
      <c r="AT169" s="961"/>
      <c r="AU169" s="1420"/>
      <c r="AV169" s="498"/>
      <c r="AW169" s="498"/>
      <c r="AX169" s="498"/>
      <c r="AY169" s="498"/>
      <c r="AZ169" s="1429">
        <v>11</v>
      </c>
    </row>
    <row r="170" spans="1:52" s="1429" customFormat="1" ht="11.45" customHeight="1">
      <c r="A170" s="839"/>
      <c r="B170" s="1424"/>
      <c r="C170" s="1424"/>
      <c r="D170" s="284"/>
      <c r="AE170" s="961"/>
      <c r="AF170" s="1424"/>
      <c r="AG170" s="1424"/>
      <c r="AH170" s="961"/>
      <c r="AI170" s="961"/>
      <c r="AJ170" s="961"/>
      <c r="AK170" s="961"/>
      <c r="AL170" s="1424"/>
      <c r="AM170" s="961"/>
      <c r="AN170" s="961"/>
      <c r="AO170" s="476"/>
      <c r="AP170" s="961"/>
      <c r="AQ170" s="961"/>
      <c r="AR170" s="961"/>
      <c r="AS170" s="961"/>
      <c r="AT170" s="961"/>
      <c r="AU170" s="1420"/>
      <c r="AV170" s="498"/>
      <c r="AW170" s="498"/>
      <c r="AX170" s="498"/>
      <c r="AY170" s="498"/>
      <c r="AZ170" s="1429">
        <v>11</v>
      </c>
    </row>
    <row r="171" spans="1:52" s="1429" customFormat="1" ht="11.45" customHeight="1">
      <c r="A171" s="839"/>
      <c r="B171" s="1424"/>
      <c r="C171" s="1424"/>
      <c r="D171" s="284"/>
      <c r="AE171" s="961"/>
      <c r="AF171" s="1424"/>
      <c r="AG171" s="1424"/>
      <c r="AH171" s="961"/>
      <c r="AI171" s="961"/>
      <c r="AJ171" s="961"/>
      <c r="AK171" s="961"/>
      <c r="AL171" s="1424"/>
      <c r="AM171" s="961"/>
      <c r="AN171" s="961"/>
      <c r="AO171" s="476"/>
      <c r="AP171" s="961"/>
      <c r="AQ171" s="961"/>
      <c r="AR171" s="961"/>
      <c r="AS171" s="961"/>
      <c r="AT171" s="961"/>
      <c r="AU171" s="1420"/>
      <c r="AV171" s="498"/>
      <c r="AW171" s="498"/>
      <c r="AX171" s="498"/>
      <c r="AY171" s="498"/>
      <c r="AZ171" s="1429">
        <v>11</v>
      </c>
    </row>
    <row r="172" spans="1:52" s="1429" customFormat="1" ht="11.45" customHeight="1">
      <c r="A172" s="839"/>
      <c r="B172" s="1424"/>
      <c r="C172" s="1424"/>
      <c r="D172" s="284"/>
      <c r="AE172" s="961"/>
      <c r="AF172" s="1424"/>
      <c r="AG172" s="1424"/>
      <c r="AH172" s="961"/>
      <c r="AI172" s="961"/>
      <c r="AJ172" s="961"/>
      <c r="AK172" s="961"/>
      <c r="AL172" s="1424"/>
      <c r="AM172" s="961"/>
      <c r="AN172" s="961"/>
      <c r="AO172" s="476"/>
      <c r="AP172" s="961"/>
      <c r="AQ172" s="961"/>
      <c r="AR172" s="961"/>
      <c r="AS172" s="961"/>
      <c r="AT172" s="961"/>
      <c r="AU172" s="1420"/>
      <c r="AV172" s="498"/>
      <c r="AW172" s="498"/>
      <c r="AX172" s="498"/>
      <c r="AY172" s="498"/>
      <c r="AZ172" s="1429">
        <v>11</v>
      </c>
    </row>
    <row r="173" spans="1:52" s="1429" customFormat="1" ht="11.45" customHeight="1">
      <c r="A173" s="839"/>
      <c r="B173" s="1424"/>
      <c r="C173" s="1424"/>
      <c r="D173" s="284"/>
      <c r="AE173" s="961"/>
      <c r="AF173" s="1424"/>
      <c r="AG173" s="1424"/>
      <c r="AH173" s="961"/>
      <c r="AI173" s="961"/>
      <c r="AJ173" s="961"/>
      <c r="AK173" s="961"/>
      <c r="AL173" s="1424"/>
      <c r="AM173" s="961"/>
      <c r="AN173" s="961"/>
      <c r="AO173" s="476"/>
      <c r="AP173" s="961"/>
      <c r="AQ173" s="961"/>
      <c r="AR173" s="961"/>
      <c r="AS173" s="961"/>
      <c r="AT173" s="961"/>
      <c r="AU173" s="1420"/>
      <c r="AV173" s="498"/>
      <c r="AW173" s="498"/>
      <c r="AX173" s="498"/>
      <c r="AY173" s="498"/>
      <c r="AZ173" s="1429">
        <v>11</v>
      </c>
    </row>
    <row r="174" spans="1:52" s="1429" customFormat="1" ht="11.45" customHeight="1">
      <c r="A174" s="839"/>
      <c r="B174" s="1424"/>
      <c r="C174" s="1424"/>
      <c r="D174" s="284"/>
      <c r="AE174" s="961"/>
      <c r="AF174" s="1424"/>
      <c r="AG174" s="1424"/>
      <c r="AH174" s="961"/>
      <c r="AI174" s="961"/>
      <c r="AJ174" s="961"/>
      <c r="AK174" s="961"/>
      <c r="AL174" s="1424"/>
      <c r="AM174" s="961"/>
      <c r="AN174" s="961"/>
      <c r="AO174" s="476"/>
      <c r="AP174" s="961"/>
      <c r="AQ174" s="961"/>
      <c r="AR174" s="961"/>
      <c r="AS174" s="961"/>
      <c r="AT174" s="961"/>
      <c r="AU174" s="1420"/>
      <c r="AV174" s="498"/>
      <c r="AW174" s="498"/>
      <c r="AX174" s="498"/>
      <c r="AY174" s="498"/>
      <c r="AZ174" s="1429">
        <v>11</v>
      </c>
    </row>
    <row r="175" spans="1:52" s="1429" customFormat="1" ht="11.45" customHeight="1">
      <c r="A175" s="839"/>
      <c r="B175" s="1424"/>
      <c r="C175" s="1424"/>
      <c r="D175" s="284"/>
      <c r="AE175" s="961"/>
      <c r="AF175" s="1424"/>
      <c r="AG175" s="1424"/>
      <c r="AH175" s="961"/>
      <c r="AI175" s="961"/>
      <c r="AJ175" s="961"/>
      <c r="AK175" s="961"/>
      <c r="AL175" s="1424"/>
      <c r="AM175" s="961"/>
      <c r="AN175" s="961"/>
      <c r="AO175" s="476"/>
      <c r="AP175" s="961"/>
      <c r="AQ175" s="961"/>
      <c r="AR175" s="961"/>
      <c r="AS175" s="961"/>
      <c r="AT175" s="961"/>
      <c r="AU175" s="1420"/>
      <c r="AV175" s="498"/>
      <c r="AW175" s="498"/>
      <c r="AX175" s="498"/>
      <c r="AY175" s="498"/>
      <c r="AZ175" s="1429">
        <v>11</v>
      </c>
    </row>
    <row r="176" spans="1:52" s="1429" customFormat="1" ht="11.45" customHeight="1">
      <c r="A176" s="839"/>
      <c r="B176" s="1424"/>
      <c r="C176" s="1424"/>
      <c r="D176" s="284"/>
      <c r="AE176" s="961"/>
      <c r="AF176" s="1424"/>
      <c r="AG176" s="1424"/>
      <c r="AH176" s="961"/>
      <c r="AI176" s="961"/>
      <c r="AJ176" s="961"/>
      <c r="AK176" s="961"/>
      <c r="AL176" s="1424"/>
      <c r="AM176" s="961"/>
      <c r="AN176" s="961"/>
      <c r="AO176" s="476"/>
      <c r="AP176" s="961"/>
      <c r="AQ176" s="961"/>
      <c r="AR176" s="961"/>
      <c r="AS176" s="961"/>
      <c r="AT176" s="961"/>
      <c r="AU176" s="1420"/>
      <c r="AV176" s="498"/>
      <c r="AW176" s="498"/>
      <c r="AX176" s="498"/>
      <c r="AY176" s="498"/>
      <c r="AZ176" s="1429">
        <v>11</v>
      </c>
    </row>
    <row r="177" spans="1:52" s="1429" customFormat="1" ht="11.45" customHeight="1">
      <c r="A177" s="839"/>
      <c r="B177" s="1424"/>
      <c r="C177" s="1424"/>
      <c r="D177" s="284"/>
      <c r="AE177" s="961"/>
      <c r="AF177" s="1424"/>
      <c r="AG177" s="1424"/>
      <c r="AH177" s="961"/>
      <c r="AI177" s="961"/>
      <c r="AJ177" s="961"/>
      <c r="AK177" s="961"/>
      <c r="AL177" s="1424"/>
      <c r="AM177" s="961"/>
      <c r="AN177" s="961"/>
      <c r="AO177" s="476"/>
      <c r="AP177" s="961"/>
      <c r="AQ177" s="961"/>
      <c r="AR177" s="961"/>
      <c r="AS177" s="961"/>
      <c r="AT177" s="961"/>
      <c r="AU177" s="1420"/>
      <c r="AV177" s="498"/>
      <c r="AW177" s="498"/>
      <c r="AX177" s="498"/>
      <c r="AY177" s="498"/>
      <c r="AZ177" s="1429">
        <v>11</v>
      </c>
    </row>
    <row r="178" spans="1:52" s="1429" customFormat="1" ht="11.45" customHeight="1">
      <c r="A178" s="839"/>
      <c r="B178" s="1424"/>
      <c r="C178" s="1424"/>
      <c r="D178" s="284"/>
      <c r="AE178" s="961"/>
      <c r="AF178" s="1424"/>
      <c r="AG178" s="1424"/>
      <c r="AH178" s="961"/>
      <c r="AI178" s="961"/>
      <c r="AJ178" s="961"/>
      <c r="AK178" s="961"/>
      <c r="AL178" s="1424"/>
      <c r="AM178" s="961"/>
      <c r="AN178" s="961"/>
      <c r="AO178" s="476"/>
      <c r="AP178" s="961"/>
      <c r="AQ178" s="961"/>
      <c r="AR178" s="961"/>
      <c r="AS178" s="961"/>
      <c r="AT178" s="961"/>
      <c r="AU178" s="1420"/>
      <c r="AV178" s="498"/>
      <c r="AW178" s="498"/>
      <c r="AX178" s="498"/>
      <c r="AY178" s="498"/>
      <c r="AZ178" s="1429">
        <v>11</v>
      </c>
    </row>
    <row r="179" spans="1:52" s="1429" customFormat="1" ht="11.45" customHeight="1">
      <c r="A179" s="839"/>
      <c r="B179" s="1424"/>
      <c r="C179" s="1424"/>
      <c r="D179" s="284"/>
      <c r="AE179" s="961"/>
      <c r="AF179" s="1424"/>
      <c r="AG179" s="1424"/>
      <c r="AH179" s="961"/>
      <c r="AI179" s="961"/>
      <c r="AJ179" s="961"/>
      <c r="AK179" s="961"/>
      <c r="AL179" s="1424"/>
      <c r="AM179" s="961"/>
      <c r="AN179" s="961"/>
      <c r="AO179" s="476"/>
      <c r="AP179" s="961"/>
      <c r="AQ179" s="961"/>
      <c r="AR179" s="961"/>
      <c r="AS179" s="961"/>
      <c r="AT179" s="961"/>
      <c r="AU179" s="1420"/>
      <c r="AV179" s="498"/>
      <c r="AW179" s="498"/>
      <c r="AX179" s="498"/>
      <c r="AY179" s="498"/>
      <c r="AZ179" s="1429">
        <v>11</v>
      </c>
    </row>
    <row r="180" spans="1:52" s="1429" customFormat="1" ht="11.45" customHeight="1">
      <c r="A180" s="839"/>
      <c r="B180" s="1424"/>
      <c r="C180" s="1424"/>
      <c r="D180" s="284"/>
      <c r="AE180" s="961"/>
      <c r="AF180" s="1424"/>
      <c r="AG180" s="1424"/>
      <c r="AH180" s="961"/>
      <c r="AI180" s="961"/>
      <c r="AJ180" s="961"/>
      <c r="AK180" s="961"/>
      <c r="AL180" s="1424"/>
      <c r="AM180" s="961"/>
      <c r="AN180" s="961"/>
      <c r="AO180" s="476"/>
      <c r="AP180" s="961"/>
      <c r="AQ180" s="961"/>
      <c r="AR180" s="961"/>
      <c r="AS180" s="961"/>
      <c r="AT180" s="961"/>
      <c r="AU180" s="1420"/>
      <c r="AV180" s="498"/>
      <c r="AW180" s="498"/>
      <c r="AX180" s="498"/>
      <c r="AY180" s="498"/>
      <c r="AZ180" s="1429">
        <v>11</v>
      </c>
    </row>
    <row r="181" spans="1:52" s="1429" customFormat="1" ht="11.45" customHeight="1">
      <c r="A181" s="839"/>
      <c r="B181" s="1424"/>
      <c r="C181" s="1424"/>
      <c r="D181" s="284"/>
      <c r="AE181" s="961"/>
      <c r="AF181" s="1424"/>
      <c r="AG181" s="1424"/>
      <c r="AH181" s="961"/>
      <c r="AI181" s="961"/>
      <c r="AJ181" s="961"/>
      <c r="AK181" s="961"/>
      <c r="AL181" s="1424"/>
      <c r="AM181" s="961"/>
      <c r="AN181" s="961"/>
      <c r="AO181" s="476"/>
      <c r="AP181" s="961"/>
      <c r="AQ181" s="961"/>
      <c r="AR181" s="961"/>
      <c r="AS181" s="961"/>
      <c r="AT181" s="961"/>
      <c r="AU181" s="1420"/>
      <c r="AV181" s="498"/>
      <c r="AW181" s="498"/>
      <c r="AX181" s="498"/>
      <c r="AY181" s="498"/>
      <c r="AZ181" s="1429">
        <v>11</v>
      </c>
    </row>
    <row r="182" spans="1:52" s="1429" customFormat="1" ht="11.45" customHeight="1">
      <c r="A182" s="839"/>
      <c r="B182" s="1424"/>
      <c r="C182" s="1424"/>
      <c r="D182" s="284"/>
      <c r="AE182" s="961"/>
      <c r="AF182" s="1424"/>
      <c r="AG182" s="1424"/>
      <c r="AH182" s="961"/>
      <c r="AI182" s="961"/>
      <c r="AJ182" s="961"/>
      <c r="AK182" s="961"/>
      <c r="AL182" s="1424"/>
      <c r="AM182" s="961"/>
      <c r="AN182" s="961"/>
      <c r="AO182" s="476"/>
      <c r="AP182" s="961"/>
      <c r="AQ182" s="961"/>
      <c r="AR182" s="961"/>
      <c r="AS182" s="961"/>
      <c r="AT182" s="961"/>
      <c r="AU182" s="1420"/>
      <c r="AV182" s="498"/>
      <c r="AW182" s="498"/>
      <c r="AX182" s="498"/>
      <c r="AY182" s="498"/>
      <c r="AZ182" s="1429">
        <v>11</v>
      </c>
    </row>
    <row r="183" spans="1:52" s="1429" customFormat="1" ht="11.45" customHeight="1">
      <c r="A183" s="839"/>
      <c r="B183" s="1424"/>
      <c r="C183" s="1424"/>
      <c r="D183" s="284"/>
      <c r="AE183" s="961"/>
      <c r="AF183" s="1424"/>
      <c r="AG183" s="1424"/>
      <c r="AH183" s="961"/>
      <c r="AI183" s="961"/>
      <c r="AJ183" s="961"/>
      <c r="AK183" s="961"/>
      <c r="AL183" s="1424"/>
      <c r="AM183" s="961"/>
      <c r="AN183" s="961"/>
      <c r="AO183" s="476"/>
      <c r="AP183" s="961"/>
      <c r="AQ183" s="961"/>
      <c r="AR183" s="961"/>
      <c r="AS183" s="961"/>
      <c r="AT183" s="961"/>
      <c r="AU183" s="1420"/>
      <c r="AV183" s="498"/>
      <c r="AW183" s="498"/>
      <c r="AX183" s="498"/>
      <c r="AY183" s="498"/>
      <c r="AZ183" s="1429">
        <v>11</v>
      </c>
    </row>
    <row r="184" spans="1:52" s="1429" customFormat="1" ht="11.45" customHeight="1">
      <c r="A184" s="839"/>
      <c r="B184" s="1424"/>
      <c r="C184" s="1424"/>
      <c r="D184" s="284"/>
      <c r="AE184" s="961"/>
      <c r="AF184" s="1424"/>
      <c r="AG184" s="1424"/>
      <c r="AH184" s="961"/>
      <c r="AI184" s="961"/>
      <c r="AJ184" s="961"/>
      <c r="AK184" s="961"/>
      <c r="AL184" s="1424"/>
      <c r="AM184" s="961"/>
      <c r="AN184" s="961"/>
      <c r="AO184" s="476"/>
      <c r="AP184" s="961"/>
      <c r="AQ184" s="961"/>
      <c r="AR184" s="961"/>
      <c r="AS184" s="961"/>
      <c r="AT184" s="961"/>
      <c r="AU184" s="1420"/>
      <c r="AV184" s="498"/>
      <c r="AW184" s="498"/>
      <c r="AX184" s="498"/>
      <c r="AY184" s="498"/>
      <c r="AZ184" s="1429">
        <v>11</v>
      </c>
    </row>
    <row r="185" spans="1:52" s="1429" customFormat="1" ht="11.45" customHeight="1">
      <c r="A185" s="839"/>
      <c r="B185" s="1424"/>
      <c r="C185" s="1424"/>
      <c r="D185" s="284"/>
      <c r="AE185" s="961"/>
      <c r="AF185" s="1424"/>
      <c r="AG185" s="1424"/>
      <c r="AH185" s="961"/>
      <c r="AI185" s="961"/>
      <c r="AJ185" s="961"/>
      <c r="AK185" s="961"/>
      <c r="AL185" s="1424"/>
      <c r="AM185" s="961"/>
      <c r="AN185" s="961"/>
      <c r="AO185" s="476"/>
      <c r="AP185" s="961"/>
      <c r="AQ185" s="961"/>
      <c r="AR185" s="961"/>
      <c r="AS185" s="961"/>
      <c r="AT185" s="961"/>
      <c r="AU185" s="1420"/>
      <c r="AV185" s="498"/>
      <c r="AW185" s="498"/>
      <c r="AX185" s="498"/>
      <c r="AY185" s="498"/>
      <c r="AZ185" s="1429">
        <v>11</v>
      </c>
    </row>
    <row r="186" spans="1:52" s="1429" customFormat="1" ht="11.45" customHeight="1">
      <c r="A186" s="839"/>
      <c r="B186" s="1424"/>
      <c r="C186" s="1424"/>
      <c r="D186" s="284"/>
      <c r="AE186" s="961"/>
      <c r="AF186" s="1424"/>
      <c r="AG186" s="1424"/>
      <c r="AH186" s="961"/>
      <c r="AI186" s="961"/>
      <c r="AJ186" s="961"/>
      <c r="AK186" s="961"/>
      <c r="AL186" s="1424"/>
      <c r="AM186" s="961"/>
      <c r="AN186" s="961"/>
      <c r="AO186" s="476"/>
      <c r="AP186" s="961"/>
      <c r="AQ186" s="961"/>
      <c r="AR186" s="961"/>
      <c r="AS186" s="961"/>
      <c r="AT186" s="961"/>
      <c r="AU186" s="1420"/>
      <c r="AV186" s="498"/>
      <c r="AW186" s="498"/>
      <c r="AX186" s="498"/>
      <c r="AY186" s="498"/>
      <c r="AZ186" s="1429">
        <v>11</v>
      </c>
    </row>
    <row r="187" spans="1:52" s="1429" customFormat="1" ht="11.45" customHeight="1">
      <c r="A187" s="839"/>
      <c r="B187" s="1424"/>
      <c r="C187" s="1424"/>
      <c r="D187" s="284"/>
      <c r="AE187" s="961"/>
      <c r="AF187" s="1424"/>
      <c r="AG187" s="1424"/>
      <c r="AH187" s="961"/>
      <c r="AI187" s="961"/>
      <c r="AJ187" s="961"/>
      <c r="AK187" s="961"/>
      <c r="AL187" s="1424"/>
      <c r="AM187" s="961"/>
      <c r="AN187" s="961"/>
      <c r="AO187" s="476"/>
      <c r="AP187" s="961"/>
      <c r="AQ187" s="961"/>
      <c r="AR187" s="961"/>
      <c r="AS187" s="961"/>
      <c r="AT187" s="961"/>
      <c r="AU187" s="1420"/>
      <c r="AV187" s="498"/>
      <c r="AW187" s="498"/>
      <c r="AX187" s="498"/>
      <c r="AY187" s="498"/>
      <c r="AZ187" s="1429">
        <v>11</v>
      </c>
    </row>
    <row r="188" spans="1:52" s="1429" customFormat="1" ht="11.45" customHeight="1">
      <c r="A188" s="839"/>
      <c r="B188" s="1424"/>
      <c r="C188" s="1424"/>
      <c r="D188" s="284"/>
      <c r="AE188" s="961"/>
      <c r="AF188" s="1424"/>
      <c r="AG188" s="1424"/>
      <c r="AH188" s="961"/>
      <c r="AI188" s="961"/>
      <c r="AJ188" s="961"/>
      <c r="AK188" s="961"/>
      <c r="AL188" s="1424"/>
      <c r="AM188" s="961"/>
      <c r="AN188" s="961"/>
      <c r="AO188" s="476"/>
      <c r="AP188" s="961"/>
      <c r="AQ188" s="961"/>
      <c r="AR188" s="961"/>
      <c r="AS188" s="961"/>
      <c r="AT188" s="961"/>
      <c r="AU188" s="1420"/>
      <c r="AV188" s="498"/>
      <c r="AW188" s="498"/>
      <c r="AX188" s="498"/>
      <c r="AY188" s="498"/>
      <c r="AZ188" s="1429">
        <v>11</v>
      </c>
    </row>
    <row r="189" spans="1:52" s="1429" customFormat="1" ht="11.45" customHeight="1">
      <c r="A189" s="839"/>
      <c r="B189" s="1424"/>
      <c r="C189" s="1424"/>
      <c r="D189" s="284"/>
      <c r="AE189" s="961"/>
      <c r="AF189" s="1424"/>
      <c r="AG189" s="1424"/>
      <c r="AH189" s="961"/>
      <c r="AI189" s="961"/>
      <c r="AJ189" s="961"/>
      <c r="AK189" s="961"/>
      <c r="AL189" s="1424"/>
      <c r="AM189" s="961"/>
      <c r="AN189" s="961"/>
      <c r="AO189" s="476"/>
      <c r="AP189" s="961"/>
      <c r="AQ189" s="961"/>
      <c r="AR189" s="961"/>
      <c r="AS189" s="961"/>
      <c r="AT189" s="961"/>
      <c r="AU189" s="1420"/>
      <c r="AV189" s="498"/>
      <c r="AW189" s="498"/>
      <c r="AX189" s="498"/>
      <c r="AY189" s="498"/>
      <c r="AZ189" s="1429">
        <v>11</v>
      </c>
    </row>
    <row r="190" spans="1:52" s="1429" customFormat="1" ht="11.45" customHeight="1">
      <c r="A190" s="839"/>
      <c r="B190" s="1424"/>
      <c r="C190" s="1424"/>
      <c r="D190" s="284"/>
      <c r="AE190" s="961"/>
      <c r="AF190" s="1424"/>
      <c r="AG190" s="1424"/>
      <c r="AH190" s="961"/>
      <c r="AI190" s="961"/>
      <c r="AJ190" s="961"/>
      <c r="AK190" s="961"/>
      <c r="AL190" s="1424"/>
      <c r="AM190" s="961"/>
      <c r="AN190" s="961"/>
      <c r="AO190" s="476"/>
      <c r="AP190" s="961"/>
      <c r="AQ190" s="961"/>
      <c r="AR190" s="961"/>
      <c r="AS190" s="961"/>
      <c r="AT190" s="961"/>
      <c r="AU190" s="1420"/>
      <c r="AV190" s="498"/>
      <c r="AW190" s="498"/>
      <c r="AX190" s="498"/>
      <c r="AY190" s="498"/>
      <c r="AZ190" s="1429">
        <v>11</v>
      </c>
    </row>
    <row r="191" spans="1:52" s="1429" customFormat="1" ht="11.45" customHeight="1">
      <c r="A191" s="839"/>
      <c r="B191" s="1424"/>
      <c r="C191" s="1424"/>
      <c r="D191" s="284"/>
      <c r="AE191" s="961"/>
      <c r="AF191" s="1424"/>
      <c r="AG191" s="1424"/>
      <c r="AH191" s="961"/>
      <c r="AI191" s="961"/>
      <c r="AJ191" s="961"/>
      <c r="AK191" s="961"/>
      <c r="AL191" s="1424"/>
      <c r="AM191" s="961"/>
      <c r="AN191" s="961"/>
      <c r="AO191" s="476"/>
      <c r="AP191" s="961"/>
      <c r="AQ191" s="961"/>
      <c r="AR191" s="961"/>
      <c r="AS191" s="961"/>
      <c r="AT191" s="961"/>
      <c r="AU191" s="1420"/>
      <c r="AV191" s="498"/>
      <c r="AW191" s="498"/>
      <c r="AX191" s="498"/>
      <c r="AY191" s="498"/>
      <c r="AZ191" s="1429">
        <v>11</v>
      </c>
    </row>
    <row r="192" spans="1:52" s="1429" customFormat="1" ht="11.45" customHeight="1">
      <c r="A192" s="839"/>
      <c r="B192" s="1424"/>
      <c r="C192" s="1424"/>
      <c r="D192" s="284"/>
      <c r="AE192" s="961"/>
      <c r="AF192" s="1424"/>
      <c r="AG192" s="1424"/>
      <c r="AH192" s="961"/>
      <c r="AI192" s="961"/>
      <c r="AJ192" s="961"/>
      <c r="AK192" s="961"/>
      <c r="AL192" s="1424"/>
      <c r="AM192" s="961"/>
      <c r="AN192" s="961"/>
      <c r="AO192" s="476"/>
      <c r="AP192" s="961"/>
      <c r="AQ192" s="961"/>
      <c r="AR192" s="961"/>
      <c r="AS192" s="961"/>
      <c r="AT192" s="961"/>
      <c r="AU192" s="1420"/>
      <c r="AV192" s="498"/>
      <c r="AW192" s="498"/>
      <c r="AX192" s="498"/>
      <c r="AY192" s="498"/>
      <c r="AZ192" s="1429">
        <v>11</v>
      </c>
    </row>
    <row r="193" spans="1:52" s="1429" customFormat="1" ht="11.45" customHeight="1">
      <c r="A193" s="839"/>
      <c r="B193" s="1424"/>
      <c r="C193" s="1424"/>
      <c r="D193" s="284"/>
      <c r="AE193" s="961"/>
      <c r="AF193" s="1424"/>
      <c r="AG193" s="1424"/>
      <c r="AH193" s="961"/>
      <c r="AI193" s="961"/>
      <c r="AJ193" s="961"/>
      <c r="AK193" s="961"/>
      <c r="AL193" s="1424"/>
      <c r="AM193" s="961"/>
      <c r="AN193" s="961"/>
      <c r="AO193" s="476"/>
      <c r="AP193" s="961"/>
      <c r="AQ193" s="961"/>
      <c r="AR193" s="961"/>
      <c r="AS193" s="961"/>
      <c r="AT193" s="961"/>
      <c r="AU193" s="1420"/>
      <c r="AV193" s="498"/>
      <c r="AW193" s="498"/>
      <c r="AX193" s="498"/>
      <c r="AY193" s="498"/>
      <c r="AZ193" s="1429">
        <v>11</v>
      </c>
    </row>
    <row r="194" spans="1:52" s="1429" customFormat="1" ht="11.45" customHeight="1">
      <c r="A194" s="839"/>
      <c r="B194" s="1424"/>
      <c r="C194" s="1424"/>
      <c r="D194" s="284"/>
      <c r="AE194" s="961"/>
      <c r="AF194" s="1424"/>
      <c r="AG194" s="1424"/>
      <c r="AH194" s="961"/>
      <c r="AI194" s="961"/>
      <c r="AJ194" s="961"/>
      <c r="AK194" s="961"/>
      <c r="AL194" s="1424"/>
      <c r="AM194" s="961"/>
      <c r="AN194" s="961"/>
      <c r="AO194" s="476"/>
      <c r="AP194" s="961"/>
      <c r="AQ194" s="961"/>
      <c r="AR194" s="961"/>
      <c r="AS194" s="961"/>
      <c r="AT194" s="961"/>
      <c r="AU194" s="1420"/>
      <c r="AV194" s="498"/>
      <c r="AW194" s="498"/>
      <c r="AX194" s="498"/>
      <c r="AY194" s="498"/>
      <c r="AZ194" s="1429">
        <v>11</v>
      </c>
    </row>
    <row r="195" spans="1:52" s="1429" customFormat="1" ht="11.45" customHeight="1">
      <c r="A195" s="839"/>
      <c r="B195" s="1424"/>
      <c r="C195" s="1424"/>
      <c r="D195" s="284"/>
      <c r="AE195" s="961"/>
      <c r="AF195" s="1424"/>
      <c r="AG195" s="1424"/>
      <c r="AH195" s="961"/>
      <c r="AI195" s="961"/>
      <c r="AJ195" s="961"/>
      <c r="AK195" s="961"/>
      <c r="AL195" s="1424"/>
      <c r="AM195" s="961"/>
      <c r="AN195" s="961"/>
      <c r="AO195" s="476"/>
      <c r="AP195" s="961"/>
      <c r="AQ195" s="961"/>
      <c r="AR195" s="961"/>
      <c r="AS195" s="961"/>
      <c r="AT195" s="961"/>
      <c r="AU195" s="1420"/>
      <c r="AV195" s="498"/>
      <c r="AW195" s="498"/>
      <c r="AX195" s="498"/>
      <c r="AY195" s="498"/>
      <c r="AZ195" s="1429">
        <v>11</v>
      </c>
    </row>
    <row r="196" spans="1:52" s="1429" customFormat="1" ht="11.45" customHeight="1">
      <c r="A196" s="839"/>
      <c r="B196" s="1424"/>
      <c r="C196" s="1424"/>
      <c r="D196" s="284"/>
      <c r="AE196" s="961"/>
      <c r="AF196" s="1424"/>
      <c r="AG196" s="1424"/>
      <c r="AH196" s="961"/>
      <c r="AI196" s="961"/>
      <c r="AJ196" s="961"/>
      <c r="AK196" s="961"/>
      <c r="AL196" s="1424"/>
      <c r="AM196" s="961"/>
      <c r="AN196" s="961"/>
      <c r="AO196" s="476"/>
      <c r="AP196" s="961"/>
      <c r="AQ196" s="961"/>
      <c r="AR196" s="961"/>
      <c r="AS196" s="961"/>
      <c r="AT196" s="961"/>
      <c r="AU196" s="1420"/>
      <c r="AV196" s="498"/>
      <c r="AW196" s="498"/>
      <c r="AX196" s="498"/>
      <c r="AY196" s="498"/>
      <c r="AZ196" s="1429">
        <v>11</v>
      </c>
    </row>
    <row r="197" spans="1:52" s="1429" customFormat="1" ht="11.45" customHeight="1">
      <c r="A197" s="839"/>
      <c r="B197" s="1424"/>
      <c r="C197" s="1424"/>
      <c r="D197" s="284"/>
      <c r="AE197" s="961"/>
      <c r="AF197" s="1424"/>
      <c r="AG197" s="1424"/>
      <c r="AH197" s="961"/>
      <c r="AI197" s="961"/>
      <c r="AJ197" s="961"/>
      <c r="AK197" s="961"/>
      <c r="AL197" s="1424"/>
      <c r="AM197" s="961"/>
      <c r="AN197" s="961"/>
      <c r="AO197" s="476"/>
      <c r="AP197" s="961"/>
      <c r="AQ197" s="961"/>
      <c r="AR197" s="961"/>
      <c r="AS197" s="961"/>
      <c r="AT197" s="961"/>
      <c r="AU197" s="1420"/>
      <c r="AV197" s="498"/>
      <c r="AW197" s="498"/>
      <c r="AX197" s="498"/>
      <c r="AY197" s="498"/>
      <c r="AZ197" s="1429">
        <v>11</v>
      </c>
    </row>
    <row r="198" spans="1:52" s="1429" customFormat="1" ht="11.45" customHeight="1">
      <c r="A198" s="839"/>
      <c r="B198" s="1424"/>
      <c r="C198" s="1424"/>
      <c r="D198" s="284"/>
      <c r="AE198" s="961"/>
      <c r="AF198" s="1424"/>
      <c r="AG198" s="1424"/>
      <c r="AH198" s="961"/>
      <c r="AI198" s="961"/>
      <c r="AJ198" s="961"/>
      <c r="AK198" s="961"/>
      <c r="AL198" s="1424"/>
      <c r="AM198" s="961"/>
      <c r="AN198" s="961"/>
      <c r="AO198" s="476"/>
      <c r="AP198" s="961"/>
      <c r="AQ198" s="961"/>
      <c r="AR198" s="961"/>
      <c r="AS198" s="961"/>
      <c r="AT198" s="961"/>
      <c r="AU198" s="1420"/>
      <c r="AV198" s="498"/>
      <c r="AW198" s="498"/>
      <c r="AX198" s="498"/>
      <c r="AY198" s="498"/>
      <c r="AZ198" s="1429">
        <v>11</v>
      </c>
    </row>
    <row r="199" spans="1:52" s="1429" customFormat="1" ht="11.45" customHeight="1">
      <c r="A199" s="839"/>
      <c r="B199" s="1424"/>
      <c r="C199" s="1424"/>
      <c r="D199" s="284"/>
      <c r="AE199" s="961"/>
      <c r="AF199" s="1424"/>
      <c r="AG199" s="1424"/>
      <c r="AH199" s="961"/>
      <c r="AI199" s="961"/>
      <c r="AJ199" s="961"/>
      <c r="AK199" s="961"/>
      <c r="AL199" s="1424"/>
      <c r="AM199" s="961"/>
      <c r="AN199" s="961"/>
      <c r="AO199" s="476"/>
      <c r="AP199" s="961"/>
      <c r="AQ199" s="961"/>
      <c r="AR199" s="961"/>
      <c r="AS199" s="961"/>
      <c r="AT199" s="961"/>
      <c r="AU199" s="1420"/>
      <c r="AV199" s="498"/>
      <c r="AW199" s="498"/>
      <c r="AX199" s="498"/>
      <c r="AY199" s="498"/>
      <c r="AZ199" s="1429">
        <v>11</v>
      </c>
    </row>
    <row r="200" spans="1:52" s="1429" customFormat="1" ht="11.45" customHeight="1">
      <c r="A200" s="839"/>
      <c r="B200" s="1424"/>
      <c r="C200" s="1424"/>
      <c r="D200" s="284"/>
      <c r="AE200" s="961"/>
      <c r="AF200" s="1424"/>
      <c r="AG200" s="1424"/>
      <c r="AH200" s="961"/>
      <c r="AI200" s="961"/>
      <c r="AJ200" s="961"/>
      <c r="AK200" s="961"/>
      <c r="AL200" s="1424"/>
      <c r="AM200" s="961"/>
      <c r="AN200" s="961"/>
      <c r="AO200" s="476"/>
      <c r="AP200" s="961"/>
      <c r="AQ200" s="961"/>
      <c r="AR200" s="961"/>
      <c r="AS200" s="961"/>
      <c r="AT200" s="961"/>
      <c r="AU200" s="1420"/>
      <c r="AV200" s="498"/>
      <c r="AW200" s="498"/>
      <c r="AX200" s="498"/>
      <c r="AY200" s="498"/>
      <c r="AZ200" s="1429">
        <v>11</v>
      </c>
    </row>
    <row r="201" spans="1:52" s="1429" customFormat="1" ht="11.45" customHeight="1">
      <c r="A201" s="839"/>
      <c r="B201" s="1424"/>
      <c r="C201" s="1424"/>
      <c r="D201" s="284"/>
      <c r="AE201" s="961"/>
      <c r="AF201" s="1424"/>
      <c r="AG201" s="1424"/>
      <c r="AH201" s="961"/>
      <c r="AI201" s="961"/>
      <c r="AJ201" s="961"/>
      <c r="AK201" s="961"/>
      <c r="AL201" s="1424"/>
      <c r="AM201" s="961"/>
      <c r="AN201" s="961"/>
      <c r="AO201" s="476"/>
      <c r="AP201" s="961"/>
      <c r="AQ201" s="961"/>
      <c r="AR201" s="961"/>
      <c r="AS201" s="961"/>
      <c r="AT201" s="961"/>
      <c r="AU201" s="1420"/>
      <c r="AV201" s="498"/>
      <c r="AW201" s="498"/>
      <c r="AX201" s="498"/>
      <c r="AY201" s="498"/>
      <c r="AZ201" s="1429">
        <v>11</v>
      </c>
    </row>
    <row r="202" spans="1:52" s="1429" customFormat="1" ht="11.45" customHeight="1">
      <c r="A202" s="839"/>
      <c r="B202" s="1424"/>
      <c r="C202" s="1424"/>
      <c r="D202" s="284"/>
      <c r="AE202" s="961"/>
      <c r="AF202" s="1424"/>
      <c r="AG202" s="1424"/>
      <c r="AH202" s="961"/>
      <c r="AI202" s="961"/>
      <c r="AJ202" s="961"/>
      <c r="AK202" s="961"/>
      <c r="AL202" s="1424"/>
      <c r="AM202" s="961"/>
      <c r="AN202" s="961"/>
      <c r="AO202" s="476"/>
      <c r="AP202" s="961"/>
      <c r="AQ202" s="961"/>
      <c r="AR202" s="961"/>
      <c r="AS202" s="961"/>
      <c r="AT202" s="961"/>
      <c r="AU202" s="1420"/>
      <c r="AV202" s="498"/>
      <c r="AW202" s="498"/>
      <c r="AX202" s="498"/>
      <c r="AY202" s="498"/>
      <c r="AZ202" s="1429">
        <v>11</v>
      </c>
    </row>
    <row r="203" spans="1:52" s="1429" customFormat="1" ht="11.45" customHeight="1">
      <c r="A203" s="839"/>
      <c r="B203" s="1424"/>
      <c r="C203" s="1424"/>
      <c r="D203" s="284"/>
      <c r="AE203" s="961"/>
      <c r="AF203" s="1424"/>
      <c r="AG203" s="1424"/>
      <c r="AH203" s="961"/>
      <c r="AI203" s="961"/>
      <c r="AJ203" s="961"/>
      <c r="AK203" s="961"/>
      <c r="AL203" s="1424"/>
      <c r="AM203" s="961"/>
      <c r="AN203" s="961"/>
      <c r="AO203" s="476"/>
      <c r="AP203" s="961"/>
      <c r="AQ203" s="961"/>
      <c r="AR203" s="961"/>
      <c r="AS203" s="961"/>
      <c r="AT203" s="961"/>
      <c r="AU203" s="1420"/>
      <c r="AV203" s="498"/>
      <c r="AW203" s="498"/>
      <c r="AX203" s="498"/>
      <c r="AY203" s="498"/>
      <c r="AZ203" s="1429">
        <v>11</v>
      </c>
    </row>
    <row r="204" spans="1:52" s="1429" customFormat="1" ht="11.45" customHeight="1">
      <c r="A204" s="839"/>
      <c r="B204" s="1424"/>
      <c r="C204" s="1424"/>
      <c r="D204" s="284"/>
      <c r="AE204" s="961"/>
      <c r="AF204" s="1424"/>
      <c r="AG204" s="1424"/>
      <c r="AH204" s="961"/>
      <c r="AI204" s="961"/>
      <c r="AJ204" s="961"/>
      <c r="AK204" s="961"/>
      <c r="AL204" s="1424"/>
      <c r="AM204" s="961"/>
      <c r="AN204" s="961"/>
      <c r="AO204" s="476"/>
      <c r="AP204" s="961"/>
      <c r="AQ204" s="961"/>
      <c r="AR204" s="961"/>
      <c r="AS204" s="961"/>
      <c r="AT204" s="961"/>
      <c r="AU204" s="1420"/>
      <c r="AV204" s="498"/>
      <c r="AW204" s="498"/>
      <c r="AX204" s="498"/>
      <c r="AY204" s="498"/>
      <c r="AZ204" s="1429">
        <v>11</v>
      </c>
    </row>
    <row r="205" spans="1:52" ht="11.45" customHeight="1">
      <c r="AZ205" s="1419">
        <v>11</v>
      </c>
    </row>
    <row r="206" spans="1:52" ht="11.45" customHeight="1">
      <c r="AZ206" s="1419">
        <v>11</v>
      </c>
    </row>
    <row r="207" spans="1:52" ht="11.45" customHeight="1">
      <c r="AZ207" s="1419">
        <v>11</v>
      </c>
    </row>
    <row r="208" spans="1:52" ht="11.45" customHeight="1">
      <c r="A208" s="842"/>
      <c r="B208" s="1419"/>
      <c r="D208" s="1419"/>
      <c r="AE208" s="1419"/>
      <c r="AH208" s="1419"/>
      <c r="AI208" s="1419"/>
      <c r="AJ208" s="1419"/>
      <c r="AK208" s="1419"/>
      <c r="AM208" s="1419"/>
      <c r="AN208" s="1419"/>
      <c r="AO208" s="1419"/>
      <c r="AP208" s="1419"/>
      <c r="AQ208" s="1419"/>
      <c r="AR208" s="1419"/>
      <c r="AS208" s="1419"/>
      <c r="AT208" s="1419"/>
      <c r="AU208" s="1419"/>
      <c r="AV208" s="1419"/>
      <c r="AW208" s="1419"/>
      <c r="AX208" s="1419"/>
      <c r="AY208" s="1419"/>
      <c r="AZ208" s="1419">
        <v>11</v>
      </c>
    </row>
    <row r="209" spans="1:52" ht="11.45" customHeight="1">
      <c r="A209" s="842"/>
      <c r="B209" s="1419"/>
      <c r="D209" s="1419"/>
      <c r="AE209" s="1419"/>
      <c r="AH209" s="1419"/>
      <c r="AI209" s="1419"/>
      <c r="AJ209" s="1419"/>
      <c r="AK209" s="1419"/>
      <c r="AM209" s="1419"/>
      <c r="AN209" s="1419"/>
      <c r="AO209" s="1419"/>
      <c r="AP209" s="1419"/>
      <c r="AQ209" s="1419"/>
      <c r="AR209" s="1419"/>
      <c r="AS209" s="1419"/>
      <c r="AT209" s="1419"/>
      <c r="AU209" s="1419"/>
      <c r="AV209" s="1419"/>
      <c r="AW209" s="1419"/>
      <c r="AX209" s="1419"/>
      <c r="AY209" s="1419"/>
      <c r="AZ209" s="1419">
        <v>11</v>
      </c>
    </row>
    <row r="210" spans="1:52" ht="11.45" customHeight="1">
      <c r="A210" s="842"/>
      <c r="B210" s="1419"/>
      <c r="D210" s="1419"/>
      <c r="AE210" s="1419"/>
      <c r="AH210" s="1419"/>
      <c r="AI210" s="1419"/>
      <c r="AJ210" s="1419"/>
      <c r="AK210" s="1419"/>
      <c r="AM210" s="1419"/>
      <c r="AN210" s="1419"/>
      <c r="AO210" s="1419"/>
      <c r="AP210" s="1419"/>
      <c r="AQ210" s="1419"/>
      <c r="AR210" s="1419"/>
      <c r="AS210" s="1419"/>
      <c r="AT210" s="1419"/>
      <c r="AU210" s="1419"/>
      <c r="AV210" s="1419"/>
      <c r="AW210" s="1419"/>
      <c r="AX210" s="1419"/>
      <c r="AY210" s="1419"/>
      <c r="AZ210" s="1419">
        <v>11</v>
      </c>
    </row>
    <row r="211" spans="1:52" ht="11.45" customHeight="1">
      <c r="A211" s="842"/>
      <c r="B211" s="1419"/>
      <c r="D211" s="1419"/>
      <c r="AE211" s="1419"/>
      <c r="AH211" s="1419"/>
      <c r="AI211" s="1419"/>
      <c r="AJ211" s="1419"/>
      <c r="AK211" s="1419"/>
      <c r="AM211" s="1419"/>
      <c r="AN211" s="1419"/>
      <c r="AO211" s="1419"/>
      <c r="AP211" s="1419"/>
      <c r="AQ211" s="1419"/>
      <c r="AR211" s="1419"/>
      <c r="AS211" s="1419"/>
      <c r="AT211" s="1419"/>
      <c r="AU211" s="1419"/>
      <c r="AV211" s="1419"/>
      <c r="AW211" s="1419"/>
      <c r="AX211" s="1419"/>
      <c r="AY211" s="1419"/>
      <c r="AZ211" s="1419">
        <v>11</v>
      </c>
    </row>
    <row r="212" spans="1:52" ht="11.45" customHeight="1">
      <c r="A212" s="842"/>
      <c r="B212" s="1419"/>
      <c r="D212" s="1419"/>
      <c r="AE212" s="1419"/>
      <c r="AH212" s="1419"/>
      <c r="AI212" s="1419"/>
      <c r="AJ212" s="1419"/>
      <c r="AK212" s="1419"/>
      <c r="AM212" s="1419"/>
      <c r="AN212" s="1419"/>
      <c r="AO212" s="1419"/>
      <c r="AP212" s="1419"/>
      <c r="AQ212" s="1419"/>
      <c r="AR212" s="1419"/>
      <c r="AS212" s="1419"/>
      <c r="AT212" s="1419"/>
      <c r="AU212" s="1419"/>
      <c r="AV212" s="1419"/>
      <c r="AW212" s="1419"/>
      <c r="AX212" s="1419"/>
      <c r="AY212" s="1419"/>
      <c r="AZ212" s="1419">
        <v>11</v>
      </c>
    </row>
    <row r="213" spans="1:52" ht="11.45" customHeight="1">
      <c r="A213" s="842"/>
      <c r="B213" s="1419"/>
      <c r="D213" s="1419"/>
      <c r="AE213" s="1419"/>
      <c r="AH213" s="1419"/>
      <c r="AI213" s="1419"/>
      <c r="AJ213" s="1419"/>
      <c r="AK213" s="1419"/>
      <c r="AM213" s="1419"/>
      <c r="AN213" s="1419"/>
      <c r="AO213" s="1419"/>
      <c r="AP213" s="1419"/>
      <c r="AQ213" s="1419"/>
      <c r="AR213" s="1419"/>
      <c r="AS213" s="1419"/>
      <c r="AT213" s="1419"/>
      <c r="AU213" s="1419"/>
      <c r="AV213" s="1419"/>
      <c r="AW213" s="1419"/>
      <c r="AX213" s="1419"/>
      <c r="AY213" s="1419"/>
      <c r="AZ213" s="1419">
        <v>11</v>
      </c>
    </row>
    <row r="214" spans="1:52" ht="11.45" customHeight="1">
      <c r="A214" s="842"/>
      <c r="B214" s="1419"/>
      <c r="D214" s="1419"/>
      <c r="AE214" s="1419"/>
      <c r="AH214" s="1419"/>
      <c r="AI214" s="1419"/>
      <c r="AJ214" s="1419"/>
      <c r="AK214" s="1419"/>
      <c r="AM214" s="1419"/>
      <c r="AN214" s="1419"/>
      <c r="AO214" s="1419"/>
      <c r="AP214" s="1419"/>
      <c r="AQ214" s="1419"/>
      <c r="AR214" s="1419"/>
      <c r="AS214" s="1419"/>
      <c r="AT214" s="1419"/>
      <c r="AU214" s="1419"/>
      <c r="AV214" s="1419"/>
      <c r="AW214" s="1419"/>
      <c r="AX214" s="1419"/>
      <c r="AY214" s="1419"/>
      <c r="AZ214" s="1419">
        <v>11</v>
      </c>
    </row>
    <row r="215" spans="1:52" ht="11.45" customHeight="1">
      <c r="A215" s="842"/>
      <c r="B215" s="1419"/>
      <c r="D215" s="1419"/>
      <c r="AE215" s="1419"/>
      <c r="AH215" s="1419"/>
      <c r="AI215" s="1419"/>
      <c r="AJ215" s="1419"/>
      <c r="AK215" s="1419"/>
      <c r="AM215" s="1419"/>
      <c r="AN215" s="1419"/>
      <c r="AO215" s="1419"/>
      <c r="AP215" s="1419"/>
      <c r="AQ215" s="1419"/>
      <c r="AR215" s="1419"/>
      <c r="AS215" s="1419"/>
      <c r="AT215" s="1419"/>
      <c r="AU215" s="1419"/>
      <c r="AV215" s="1419"/>
      <c r="AW215" s="1419"/>
      <c r="AX215" s="1419"/>
      <c r="AY215" s="1419"/>
      <c r="AZ215" s="1419">
        <v>11</v>
      </c>
    </row>
    <row r="216" spans="1:52" ht="11.45" customHeight="1">
      <c r="A216" s="842"/>
      <c r="B216" s="1419"/>
      <c r="D216" s="1419"/>
      <c r="AE216" s="1419"/>
      <c r="AH216" s="1419"/>
      <c r="AI216" s="1419"/>
      <c r="AJ216" s="1419"/>
      <c r="AK216" s="1419"/>
      <c r="AM216" s="1419"/>
      <c r="AN216" s="1419"/>
      <c r="AO216" s="1419"/>
      <c r="AP216" s="1419"/>
      <c r="AQ216" s="1419"/>
      <c r="AR216" s="1419"/>
      <c r="AS216" s="1419"/>
      <c r="AT216" s="1419"/>
      <c r="AU216" s="1419"/>
      <c r="AV216" s="1419"/>
      <c r="AW216" s="1419"/>
      <c r="AX216" s="1419"/>
      <c r="AY216" s="1419"/>
      <c r="AZ216" s="1419">
        <v>11</v>
      </c>
    </row>
    <row r="217" spans="1:52" ht="11.45" customHeight="1">
      <c r="A217" s="842"/>
      <c r="B217" s="1419"/>
      <c r="D217" s="1419"/>
      <c r="AE217" s="1419"/>
      <c r="AH217" s="1419"/>
      <c r="AI217" s="1419"/>
      <c r="AJ217" s="1419"/>
      <c r="AK217" s="1419"/>
      <c r="AM217" s="1419"/>
      <c r="AN217" s="1419"/>
      <c r="AO217" s="1419"/>
      <c r="AP217" s="1419"/>
      <c r="AQ217" s="1419"/>
      <c r="AR217" s="1419"/>
      <c r="AS217" s="1419"/>
      <c r="AT217" s="1419"/>
      <c r="AU217" s="1419"/>
      <c r="AV217" s="1419"/>
      <c r="AW217" s="1419"/>
      <c r="AX217" s="1419"/>
      <c r="AY217" s="1419"/>
      <c r="AZ217" s="1419">
        <v>11</v>
      </c>
    </row>
    <row r="218" spans="1:52" ht="11.45" customHeight="1">
      <c r="A218" s="842"/>
      <c r="B218" s="1419"/>
      <c r="D218" s="1419"/>
      <c r="AE218" s="1419"/>
      <c r="AH218" s="1419"/>
      <c r="AI218" s="1419"/>
      <c r="AJ218" s="1419"/>
      <c r="AK218" s="1419"/>
      <c r="AM218" s="1419"/>
      <c r="AN218" s="1419"/>
      <c r="AO218" s="1419"/>
      <c r="AP218" s="1419"/>
      <c r="AQ218" s="1419"/>
      <c r="AR218" s="1419"/>
      <c r="AS218" s="1419"/>
      <c r="AT218" s="1419"/>
      <c r="AU218" s="1419"/>
      <c r="AV218" s="1419"/>
      <c r="AW218" s="1419"/>
      <c r="AX218" s="1419"/>
      <c r="AY218" s="1419"/>
      <c r="AZ218" s="1419">
        <v>11</v>
      </c>
    </row>
    <row r="219" spans="1:52" ht="11.25" hidden="1" customHeight="1">
      <c r="A219" s="839" t="s">
        <v>69</v>
      </c>
      <c r="B219" s="961">
        <v>0</v>
      </c>
      <c r="C219" s="1424">
        <v>0</v>
      </c>
      <c r="D219" s="1423">
        <v>3</v>
      </c>
      <c r="E219" s="1419">
        <v>7</v>
      </c>
      <c r="F219" s="1419">
        <v>56</v>
      </c>
      <c r="G219" s="1419">
        <v>10</v>
      </c>
      <c r="H219" s="1419">
        <v>0</v>
      </c>
      <c r="I219" s="1419">
        <v>40</v>
      </c>
      <c r="J219" s="1423">
        <v>0</v>
      </c>
      <c r="K219" s="1423">
        <v>0</v>
      </c>
      <c r="L219" s="1423">
        <v>0</v>
      </c>
      <c r="M219" s="1423">
        <v>0</v>
      </c>
      <c r="N219" s="1423">
        <v>0</v>
      </c>
      <c r="O219" s="1423">
        <v>0</v>
      </c>
      <c r="P219" s="1423">
        <v>0</v>
      </c>
      <c r="Q219" s="1423">
        <v>0</v>
      </c>
      <c r="R219" s="1423">
        <v>0</v>
      </c>
      <c r="S219" s="1423">
        <v>0</v>
      </c>
      <c r="T219" s="1423">
        <v>0</v>
      </c>
      <c r="U219" s="1423">
        <v>0</v>
      </c>
      <c r="V219" s="1423">
        <v>0</v>
      </c>
      <c r="W219" s="1423">
        <v>0</v>
      </c>
      <c r="X219" s="1423">
        <v>0</v>
      </c>
      <c r="Y219" s="1423">
        <v>0</v>
      </c>
      <c r="Z219" s="1423">
        <v>0</v>
      </c>
      <c r="AA219" s="1423">
        <v>0</v>
      </c>
      <c r="AB219" s="1423">
        <v>0</v>
      </c>
      <c r="AC219" s="1423">
        <v>0</v>
      </c>
      <c r="AD219" s="1419">
        <v>102</v>
      </c>
      <c r="AE219" s="961">
        <v>9</v>
      </c>
      <c r="AF219" s="1424">
        <v>5</v>
      </c>
      <c r="AG219" s="1424">
        <v>3</v>
      </c>
      <c r="AH219" s="961">
        <v>3</v>
      </c>
      <c r="AI219" s="961">
        <v>3</v>
      </c>
      <c r="AJ219" s="961">
        <v>3</v>
      </c>
      <c r="AK219" s="961">
        <v>3</v>
      </c>
      <c r="AL219" s="1424">
        <v>10</v>
      </c>
      <c r="AM219" s="961">
        <v>34</v>
      </c>
      <c r="AN219" s="961">
        <v>9</v>
      </c>
      <c r="AO219" s="476">
        <v>8</v>
      </c>
      <c r="AP219" s="961">
        <v>8</v>
      </c>
      <c r="AQ219" s="961">
        <v>8</v>
      </c>
      <c r="AR219" s="961">
        <v>8</v>
      </c>
      <c r="AS219" s="961">
        <v>8</v>
      </c>
      <c r="AT219" s="961">
        <v>8</v>
      </c>
      <c r="AU219" s="1420">
        <v>8</v>
      </c>
      <c r="AV219" s="1420">
        <v>8</v>
      </c>
      <c r="AW219" s="1420">
        <v>8</v>
      </c>
      <c r="AX219" s="1420">
        <v>8</v>
      </c>
      <c r="AY219" s="1420">
        <v>8</v>
      </c>
      <c r="AZ219" s="1419">
        <v>11</v>
      </c>
    </row>
  </sheetData>
  <sheetProtection formatColumns="0" formatRows="0" insertRows="0" deleteColumns="0" deleteRows="0" sort="0" autoFilter="0"/>
  <mergeCells count="7">
    <mergeCell ref="E6:I6"/>
    <mergeCell ref="E7:I7"/>
    <mergeCell ref="F10:G10"/>
    <mergeCell ref="AD10:AD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AC33">
      <formula1>900</formula1>
    </dataValidation>
    <dataValidation type="decimal" allowBlank="1" showErrorMessage="1" errorTitle="Ошибка" error="Допускается ввод только неотрицательных чисел!" sqref="H40:AC41 H2:AC2 H15:AC15 H17:AC32 H46:AC48 H35:AC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AC45">
      <formula1>900</formula1>
    </dataValidation>
    <dataValidation type="decimal" allowBlank="1" showErrorMessage="1" errorTitle="Ошибка" error="Допускается ввод только действительных чисел!" sqref="H38:AC39">
      <formula1>-9.99999999999999E+23</formula1>
      <formula2>9.99999999999999E+23</formula2>
    </dataValidation>
    <dataValidation type="decimal" allowBlank="1" showErrorMessage="1" errorTitle="Ошибка" error="Допускается ввод только действительных чисел!" sqref="H42:AC44">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Z215"/>
  <sheetViews>
    <sheetView showGridLines="0" zoomScale="90" workbookViewId="0">
      <pane xSplit="8" ySplit="14" topLeftCell="AC15" activePane="bottomRight" state="frozen"/>
      <selection pane="topRight" activeCell="I1" sqref="I1"/>
      <selection pane="bottomLeft" activeCell="A15" sqref="A15"/>
      <selection pane="bottomRight" activeCell="AC9" sqref="AC9"/>
    </sheetView>
  </sheetViews>
  <sheetFormatPr defaultColWidth="9.140625" defaultRowHeight="11.25" customHeight="1"/>
  <cols>
    <col min="1" max="1" width="10.7109375" style="839" hidden="1" customWidth="1"/>
    <col min="2" max="2" width="16.85546875" style="1154" hidden="1" customWidth="1"/>
    <col min="3" max="3" width="5.5703125" style="1430" hidden="1" customWidth="1"/>
    <col min="4" max="4" width="3" style="1423" customWidth="1"/>
    <col min="5" max="5" width="7" style="1423" customWidth="1"/>
    <col min="6" max="6" width="54" style="1423" customWidth="1"/>
    <col min="7" max="7" width="10" style="1423" customWidth="1"/>
    <col min="8" max="8" width="40.7109375" style="1423" hidden="1" customWidth="1"/>
    <col min="9" max="9" width="40" style="1423" customWidth="1"/>
    <col min="10" max="29" width="40.7109375" style="1423" customWidth="1"/>
    <col min="30" max="30" width="102" style="1423" customWidth="1"/>
    <col min="31" max="31" width="9" style="1154" customWidth="1"/>
    <col min="32" max="32" width="5" style="1430" customWidth="1"/>
    <col min="33" max="33" width="3" style="1430" customWidth="1"/>
    <col min="34" max="37" width="3" style="1154" customWidth="1"/>
    <col min="38" max="38" width="10" style="1430" customWidth="1"/>
    <col min="39" max="39" width="34" style="1154" customWidth="1"/>
    <col min="40" max="40" width="9" style="1154" customWidth="1"/>
    <col min="41" max="41" width="8" style="647" customWidth="1"/>
    <col min="42" max="46" width="8" style="1154" customWidth="1"/>
    <col min="47" max="51" width="8" style="1420" customWidth="1"/>
    <col min="52" max="52" width="9.140625" style="1423" hidden="1"/>
  </cols>
  <sheetData>
    <row r="1" spans="1:52" s="1154" customFormat="1" ht="22.5" hidden="1" customHeight="1">
      <c r="A1" s="839"/>
      <c r="C1" s="1424"/>
      <c r="D1" s="469"/>
      <c r="H1" s="961">
        <v>4</v>
      </c>
      <c r="I1" s="961">
        <v>4</v>
      </c>
      <c r="J1" s="1154">
        <v>4</v>
      </c>
      <c r="K1" s="1154">
        <v>4</v>
      </c>
      <c r="L1" s="1154">
        <v>4</v>
      </c>
      <c r="M1" s="1154">
        <v>4</v>
      </c>
      <c r="N1" s="1154">
        <v>4</v>
      </c>
      <c r="O1" s="1154">
        <v>4</v>
      </c>
      <c r="P1" s="1154">
        <v>4</v>
      </c>
      <c r="Q1" s="1154">
        <v>4</v>
      </c>
      <c r="R1" s="1154">
        <v>4</v>
      </c>
      <c r="S1" s="1154">
        <v>4</v>
      </c>
      <c r="T1" s="1154">
        <v>4</v>
      </c>
      <c r="U1" s="1154">
        <v>4</v>
      </c>
      <c r="V1" s="1154">
        <v>4</v>
      </c>
      <c r="W1" s="1154">
        <v>4</v>
      </c>
      <c r="X1" s="1154">
        <v>4</v>
      </c>
      <c r="Y1" s="1154">
        <v>4</v>
      </c>
      <c r="Z1" s="1154">
        <v>4</v>
      </c>
      <c r="AA1" s="1154">
        <v>4</v>
      </c>
      <c r="AB1" s="1154">
        <v>4</v>
      </c>
      <c r="AC1" s="1154">
        <v>4</v>
      </c>
      <c r="AF1" s="1424"/>
      <c r="AG1" s="1424"/>
      <c r="AL1" s="1424"/>
      <c r="AZ1" s="961" t="s">
        <v>1</v>
      </c>
    </row>
    <row r="2" spans="1:52" s="1154" customFormat="1" ht="22.5" hidden="1" customHeight="1">
      <c r="A2" s="839"/>
      <c r="C2" s="1424"/>
      <c r="D2" s="470"/>
      <c r="E2" s="1446"/>
      <c r="F2" s="472"/>
      <c r="G2" s="1445" t="s">
        <v>636</v>
      </c>
      <c r="H2" s="473"/>
      <c r="I2" s="473"/>
      <c r="J2" s="658"/>
      <c r="K2" s="658"/>
      <c r="L2" s="658"/>
      <c r="M2" s="658"/>
      <c r="N2" s="658"/>
      <c r="O2" s="658"/>
      <c r="P2" s="658"/>
      <c r="Q2" s="658"/>
      <c r="R2" s="658"/>
      <c r="S2" s="658"/>
      <c r="T2" s="658"/>
      <c r="U2" s="658"/>
      <c r="V2" s="658"/>
      <c r="W2" s="658"/>
      <c r="X2" s="658"/>
      <c r="Y2" s="658"/>
      <c r="Z2" s="658"/>
      <c r="AA2" s="658"/>
      <c r="AB2" s="658"/>
      <c r="AC2" s="658"/>
      <c r="AD2" s="474" t="s">
        <v>639</v>
      </c>
      <c r="AE2" s="475"/>
      <c r="AF2" s="1424"/>
      <c r="AG2" s="1424"/>
      <c r="AL2" s="1424"/>
      <c r="AO2" s="476"/>
      <c r="AU2" s="1420"/>
      <c r="AV2" s="1420"/>
      <c r="AW2" s="1420"/>
      <c r="AX2" s="1420"/>
      <c r="AY2" s="1420"/>
      <c r="AZ2" s="961">
        <v>0</v>
      </c>
    </row>
    <row r="3" spans="1:52" ht="11.25" hidden="1" customHeight="1">
      <c r="AZ3" s="1419">
        <v>0</v>
      </c>
    </row>
    <row r="4" spans="1:52" s="1420" customFormat="1" ht="11.25" hidden="1" customHeight="1">
      <c r="A4" s="839"/>
      <c r="B4" s="961"/>
      <c r="C4" s="1424"/>
      <c r="D4" s="295"/>
      <c r="AD4" s="1420">
        <v>4</v>
      </c>
      <c r="AE4" s="961"/>
      <c r="AF4" s="1424"/>
      <c r="AG4" s="1424"/>
      <c r="AH4" s="961"/>
      <c r="AI4" s="961"/>
      <c r="AJ4" s="961"/>
      <c r="AK4" s="961"/>
      <c r="AL4" s="1424"/>
      <c r="AM4" s="961"/>
      <c r="AN4" s="961"/>
      <c r="AO4" s="476"/>
      <c r="AP4" s="961"/>
      <c r="AQ4" s="961"/>
      <c r="AR4" s="961"/>
      <c r="AS4" s="961"/>
      <c r="AT4" s="961"/>
      <c r="AZ4" s="1420">
        <v>0</v>
      </c>
    </row>
    <row r="5" spans="1:52" ht="11.45" customHeight="1">
      <c r="AZ5" s="1419">
        <v>11</v>
      </c>
    </row>
    <row r="6" spans="1:52" ht="33.75" customHeight="1">
      <c r="E6" s="2376" t="s">
        <v>895</v>
      </c>
      <c r="F6" s="2376"/>
      <c r="G6" s="2376"/>
      <c r="H6" s="2376"/>
      <c r="I6" s="2376"/>
      <c r="J6" s="1846"/>
      <c r="K6" s="1846"/>
      <c r="L6" s="1846"/>
      <c r="M6" s="1846"/>
      <c r="N6" s="1846"/>
      <c r="O6" s="1846"/>
      <c r="P6" s="1846"/>
      <c r="Q6" s="1846"/>
      <c r="R6" s="1846"/>
      <c r="S6" s="1846"/>
      <c r="T6" s="1846"/>
      <c r="U6" s="1846"/>
      <c r="V6" s="1846"/>
      <c r="W6" s="1846"/>
      <c r="X6" s="1846"/>
      <c r="Y6" s="1846"/>
      <c r="Z6" s="1846"/>
      <c r="AA6" s="1846"/>
      <c r="AB6" s="1846"/>
      <c r="AC6" s="1846"/>
      <c r="AD6" s="488"/>
      <c r="AZ6" s="1419">
        <v>32</v>
      </c>
    </row>
    <row r="7" spans="1:52" ht="25.15" customHeight="1">
      <c r="E7" s="2349" t="str">
        <f>IF(org=0,"Не определено",org)</f>
        <v>ООО "Смоленскрегионтеплоэнерго"</v>
      </c>
      <c r="F7" s="2349"/>
      <c r="G7" s="2349"/>
      <c r="H7" s="2349"/>
      <c r="I7" s="2349"/>
      <c r="J7" s="1847"/>
      <c r="K7" s="1847"/>
      <c r="L7" s="1847"/>
      <c r="M7" s="1847"/>
      <c r="N7" s="1847"/>
      <c r="O7" s="1847"/>
      <c r="P7" s="1847"/>
      <c r="Q7" s="1847"/>
      <c r="R7" s="1847"/>
      <c r="S7" s="1847"/>
      <c r="T7" s="1847"/>
      <c r="U7" s="1847"/>
      <c r="V7" s="1847"/>
      <c r="W7" s="1847"/>
      <c r="X7" s="1847"/>
      <c r="Y7" s="1847"/>
      <c r="Z7" s="1847"/>
      <c r="AA7" s="1847"/>
      <c r="AB7" s="1847"/>
      <c r="AC7" s="1847"/>
      <c r="AZ7" s="1419">
        <v>24</v>
      </c>
    </row>
    <row r="8" spans="1:52" ht="11.45" customHeight="1">
      <c r="E8" s="953"/>
      <c r="F8" s="953"/>
      <c r="G8" s="953"/>
      <c r="H8" s="953"/>
      <c r="I8" s="953"/>
      <c r="J8" s="954" t="s">
        <v>9</v>
      </c>
      <c r="K8" s="954" t="s">
        <v>9</v>
      </c>
      <c r="L8" s="954" t="s">
        <v>9</v>
      </c>
      <c r="M8" s="954" t="s">
        <v>9</v>
      </c>
      <c r="N8" s="954" t="s">
        <v>9</v>
      </c>
      <c r="O8" s="954" t="s">
        <v>9</v>
      </c>
      <c r="P8" s="954" t="s">
        <v>9</v>
      </c>
      <c r="Q8" s="954" t="s">
        <v>9</v>
      </c>
      <c r="R8" s="954" t="s">
        <v>9</v>
      </c>
      <c r="S8" s="954" t="s">
        <v>9</v>
      </c>
      <c r="T8" s="954" t="s">
        <v>9</v>
      </c>
      <c r="U8" s="954" t="s">
        <v>9</v>
      </c>
      <c r="V8" s="954" t="s">
        <v>9</v>
      </c>
      <c r="W8" s="954" t="s">
        <v>9</v>
      </c>
      <c r="X8" s="954" t="s">
        <v>9</v>
      </c>
      <c r="Y8" s="954" t="s">
        <v>9</v>
      </c>
      <c r="Z8" s="954" t="s">
        <v>9</v>
      </c>
      <c r="AA8" s="954" t="s">
        <v>9</v>
      </c>
      <c r="AB8" s="954" t="s">
        <v>9</v>
      </c>
      <c r="AC8" s="954" t="s">
        <v>9</v>
      </c>
      <c r="AZ8" s="1419">
        <v>11</v>
      </c>
    </row>
    <row r="9" spans="1:52" s="1430" customFormat="1" ht="1.1499999999999999" customHeight="1">
      <c r="A9" s="968"/>
      <c r="H9" s="787"/>
      <c r="I9" s="787" t="s">
        <v>167</v>
      </c>
      <c r="J9" s="787" t="s">
        <v>172</v>
      </c>
      <c r="K9" s="787" t="s">
        <v>174</v>
      </c>
      <c r="L9" s="787" t="s">
        <v>176</v>
      </c>
      <c r="M9" s="787" t="s">
        <v>178</v>
      </c>
      <c r="N9" s="787" t="s">
        <v>180</v>
      </c>
      <c r="O9" s="787" t="s">
        <v>182</v>
      </c>
      <c r="P9" s="787" t="s">
        <v>184</v>
      </c>
      <c r="Q9" s="787" t="s">
        <v>186</v>
      </c>
      <c r="R9" s="787" t="s">
        <v>188</v>
      </c>
      <c r="S9" s="787" t="s">
        <v>190</v>
      </c>
      <c r="T9" s="787" t="s">
        <v>192</v>
      </c>
      <c r="U9" s="787" t="s">
        <v>194</v>
      </c>
      <c r="V9" s="787" t="s">
        <v>196</v>
      </c>
      <c r="W9" s="787" t="s">
        <v>198</v>
      </c>
      <c r="X9" s="787" t="s">
        <v>200</v>
      </c>
      <c r="Y9" s="787" t="s">
        <v>202</v>
      </c>
      <c r="Z9" s="787" t="s">
        <v>204</v>
      </c>
      <c r="AA9" s="787" t="s">
        <v>206</v>
      </c>
      <c r="AB9" s="787" t="s">
        <v>208</v>
      </c>
      <c r="AC9" s="787" t="s">
        <v>210</v>
      </c>
      <c r="AZ9" s="1424">
        <v>1</v>
      </c>
    </row>
    <row r="10" spans="1:52" ht="11.45" customHeight="1">
      <c r="E10" s="629"/>
      <c r="F10" s="2484" t="s">
        <v>157</v>
      </c>
      <c r="G10" s="2485"/>
      <c r="H10" s="1447" t="str">
        <f t="shared" ref="H10:AC10" si="0">IF(H9="","",INDEX(DIFFERENTIATION_UNMERGE_VD,MATCH(H9,DIFFERENTIATION_ID_DIFF,0)))</f>
        <v/>
      </c>
      <c r="I10" s="1447" t="str">
        <f t="shared" si="0"/>
        <v>Производство тепловой энергии. Некомбинированная выработка; Передача. Тепловая энергия; Сбыт. Тепловая энергия</v>
      </c>
      <c r="J10" s="1855" t="str">
        <f t="shared" si="0"/>
        <v>Производство тепловой энергии. Некомбинированная выработка; Передача. Тепловая энергия; Сбыт. Тепловая энергия</v>
      </c>
      <c r="K10" s="1855" t="str">
        <f t="shared" si="0"/>
        <v>Производство тепловой энергии. Некомбинированная выработка; Передача. Тепловая энергия; Сбыт. Тепловая энергия</v>
      </c>
      <c r="L10" s="1855" t="str">
        <f t="shared" si="0"/>
        <v>Производство тепловой энергии. Некомбинированная выработка; Передача. Тепловая энергия; Сбыт. Тепловая энергия</v>
      </c>
      <c r="M10" s="1855" t="str">
        <f t="shared" si="0"/>
        <v>Производство тепловой энергии. Некомбинированная выработка; Передача. Тепловая энергия; Сбыт. Тепловая энергия</v>
      </c>
      <c r="N10" s="1855" t="str">
        <f t="shared" si="0"/>
        <v>Производство тепловой энергии. Некомбинированная выработка; Передача. Тепловая энергия; Сбыт. Тепловая энергия</v>
      </c>
      <c r="O10" s="1855" t="str">
        <f t="shared" si="0"/>
        <v>Производство тепловой энергии. Некомбинированная выработка; Передача. Тепловая энергия; Сбыт. Тепловая энергия</v>
      </c>
      <c r="P10" s="1855" t="str">
        <f t="shared" si="0"/>
        <v>Производство тепловой энергии. Некомбинированная выработка; Передача. Тепловая энергия; Сбыт. Тепловая энергия</v>
      </c>
      <c r="Q10" s="1855" t="str">
        <f t="shared" si="0"/>
        <v>Производство тепловой энергии. Некомбинированная выработка; Передача. Тепловая энергия; Сбыт. Тепловая энергия</v>
      </c>
      <c r="R10" s="1855" t="str">
        <f t="shared" si="0"/>
        <v>Производство тепловой энергии. Некомбинированная выработка; Передача. Тепловая энергия; Сбыт. Тепловая энергия</v>
      </c>
      <c r="S10" s="1855" t="str">
        <f t="shared" si="0"/>
        <v>Производство тепловой энергии. Некомбинированная выработка; Передача. Тепловая энергия; Сбыт. Тепловая энергия</v>
      </c>
      <c r="T10" s="1855" t="str">
        <f t="shared" si="0"/>
        <v>Производство тепловой энергии. Некомбинированная выработка; Передача. Тепловая энергия; Сбыт. Тепловая энергия</v>
      </c>
      <c r="U10" s="1855" t="str">
        <f t="shared" si="0"/>
        <v>Производство тепловой энергии. Некомбинированная выработка; Передача. Тепловая энергия; Сбыт. Тепловая энергия</v>
      </c>
      <c r="V10" s="1855" t="str">
        <f t="shared" si="0"/>
        <v>Производство тепловой энергии. Некомбинированная выработка; Передача. Тепловая энергия; Сбыт. Тепловая энергия</v>
      </c>
      <c r="W10" s="1855" t="str">
        <f t="shared" si="0"/>
        <v>Производство тепловой энергии. Некомбинированная выработка; Передача. Тепловая энергия; Сбыт. Тепловая энергия</v>
      </c>
      <c r="X10" s="1855" t="str">
        <f t="shared" si="0"/>
        <v>Производство тепловой энергии. Некомбинированная выработка; Передача. Тепловая энергия; Сбыт. Тепловая энергия</v>
      </c>
      <c r="Y10" s="1855" t="str">
        <f t="shared" si="0"/>
        <v>Производство тепловой энергии. Некомбинированная выработка; Передача. Тепловая энергия; Сбыт. Тепловая энергия</v>
      </c>
      <c r="Z10" s="1855" t="str">
        <f t="shared" si="0"/>
        <v>Производство тепловой энергии. Некомбинированная выработка; Передача. Тепловая энергия; Сбыт. Тепловая энергия</v>
      </c>
      <c r="AA10" s="1855" t="str">
        <f t="shared" si="0"/>
        <v>Производство тепловой энергии. Некомбинированная выработка; Передача. Тепловая энергия; Сбыт. Тепловая энергия</v>
      </c>
      <c r="AB10" s="1855" t="str">
        <f t="shared" si="0"/>
        <v>Производство тепловой энергии. Некомбинированная выработка; Передача. Тепловая энергия; Сбыт. Тепловая энергия</v>
      </c>
      <c r="AC10" s="1855" t="str">
        <f t="shared" si="0"/>
        <v>Производство тепловой энергии. Некомбинированная выработка; Передача. Тепловая энергия; Сбыт. Тепловая энергия</v>
      </c>
      <c r="AD10" s="2266" t="s">
        <v>385</v>
      </c>
      <c r="AZ10" s="1419">
        <v>11</v>
      </c>
    </row>
    <row r="11" spans="1:52" ht="11.45" customHeight="1">
      <c r="E11" s="629"/>
      <c r="F11" s="2484" t="s">
        <v>648</v>
      </c>
      <c r="G11" s="2485"/>
      <c r="H11" s="1447" t="str">
        <f t="shared" ref="H11:AC11" si="1">IF(H9="","",INDEX(DIFFERENTIATION_UNMERGE_AREA,MATCH(H9,DIFFERENTIATION_ID_DIFF,0)))</f>
        <v/>
      </c>
      <c r="I11" s="1447" t="str">
        <f t="shared" si="1"/>
        <v>Территория 1</v>
      </c>
      <c r="J11" s="1855" t="str">
        <f t="shared" si="1"/>
        <v>Территория 2</v>
      </c>
      <c r="K11" s="1855" t="str">
        <f t="shared" si="1"/>
        <v>Территория 3</v>
      </c>
      <c r="L11" s="1855" t="str">
        <f t="shared" si="1"/>
        <v>Территория 4</v>
      </c>
      <c r="M11" s="1855" t="str">
        <f t="shared" si="1"/>
        <v>Территория 5</v>
      </c>
      <c r="N11" s="1855" t="str">
        <f t="shared" si="1"/>
        <v>Территория 6</v>
      </c>
      <c r="O11" s="1855" t="str">
        <f t="shared" si="1"/>
        <v>Территория 6</v>
      </c>
      <c r="P11" s="1855" t="str">
        <f t="shared" si="1"/>
        <v>Территория 6</v>
      </c>
      <c r="Q11" s="1855" t="str">
        <f t="shared" si="1"/>
        <v>Территория 7</v>
      </c>
      <c r="R11" s="1855" t="str">
        <f t="shared" si="1"/>
        <v>Территория 8</v>
      </c>
      <c r="S11" s="1855" t="str">
        <f t="shared" si="1"/>
        <v>Территория 8</v>
      </c>
      <c r="T11" s="1855" t="str">
        <f t="shared" si="1"/>
        <v>Территория 8</v>
      </c>
      <c r="U11" s="1855" t="str">
        <f t="shared" si="1"/>
        <v>Территория 9</v>
      </c>
      <c r="V11" s="1855" t="str">
        <f t="shared" si="1"/>
        <v>Территория 10</v>
      </c>
      <c r="W11" s="1855" t="str">
        <f t="shared" si="1"/>
        <v>Территория 10</v>
      </c>
      <c r="X11" s="1855" t="str">
        <f t="shared" si="1"/>
        <v>Территория 11</v>
      </c>
      <c r="Y11" s="1855" t="str">
        <f t="shared" si="1"/>
        <v>Территория 12</v>
      </c>
      <c r="Z11" s="1855" t="str">
        <f t="shared" si="1"/>
        <v>Территория 13</v>
      </c>
      <c r="AA11" s="1855" t="str">
        <f t="shared" si="1"/>
        <v>Территория 13</v>
      </c>
      <c r="AB11" s="1855" t="str">
        <f t="shared" si="1"/>
        <v>Территория 13</v>
      </c>
      <c r="AC11" s="1855" t="str">
        <f t="shared" si="1"/>
        <v>Территория 13</v>
      </c>
      <c r="AD11" s="2266"/>
      <c r="AZ11" s="1419">
        <v>11</v>
      </c>
    </row>
    <row r="12" spans="1:52" ht="11.25" hidden="1" customHeight="1">
      <c r="E12" s="1450"/>
      <c r="F12" s="2505" t="s">
        <v>649</v>
      </c>
      <c r="G12" s="2506"/>
      <c r="H12" s="1451" t="str">
        <f t="shared" ref="H12:AC12" si="2">IF(H9="","",INDEX(DIFFERENTIATION_UNMERGE_SYSTEM,MATCH(H9,DIFFERENTIATION_ID_DIFF,0)))</f>
        <v/>
      </c>
      <c r="I12" s="1451" t="str">
        <f t="shared" si="2"/>
        <v>котельная г. Вязьма ул. Московская</v>
      </c>
      <c r="J12" s="1451" t="str">
        <f t="shared" si="2"/>
        <v>Вяземский филиал</v>
      </c>
      <c r="K12" s="1451" t="str">
        <f t="shared" si="2"/>
        <v>котельная с. Карманово, ул. Набережная, д. 18, стр. 3</v>
      </c>
      <c r="L12" s="1451" t="str">
        <f t="shared" si="2"/>
        <v>Рославльский филиал</v>
      </c>
      <c r="M12" s="1451" t="str">
        <f t="shared" si="2"/>
        <v>котельная г. Рославль, ул. Мичурина</v>
      </c>
      <c r="N12" s="1451" t="str">
        <f t="shared" si="2"/>
        <v>котельная д. Даньково</v>
      </c>
      <c r="O12" s="1451" t="str">
        <f t="shared" si="2"/>
        <v>котельная д. Пересна</v>
      </c>
      <c r="P12" s="1451" t="str">
        <f t="shared" si="2"/>
        <v>котельная г. Починок, ул. Садовая</v>
      </c>
      <c r="Q12" s="1451" t="str">
        <f t="shared" si="2"/>
        <v>Сафоновский филиал</v>
      </c>
      <c r="R12" s="1451" t="str">
        <f t="shared" si="2"/>
        <v>котельная г. Сафоново, ул. Советская</v>
      </c>
      <c r="S12" s="1451" t="str">
        <f t="shared" si="2"/>
        <v>котельная г. Сафоново, ул. Первомайская</v>
      </c>
      <c r="T12" s="1451" t="str">
        <f t="shared" si="2"/>
        <v>котельная с. Издешково</v>
      </c>
      <c r="U12" s="1451" t="str">
        <f t="shared" si="2"/>
        <v>котельная БМК Михайловское</v>
      </c>
      <c r="V12" s="1451" t="str">
        <f t="shared" si="2"/>
        <v>котельные пгт. Холм-Жирковское, ул. Кирова,ул. Советская</v>
      </c>
      <c r="W12" s="1451" t="str">
        <f t="shared" si="2"/>
        <v>котельная ст. Игоревская</v>
      </c>
      <c r="X12" s="1451" t="str">
        <f t="shared" si="2"/>
        <v>Ярцевский филиал</v>
      </c>
      <c r="Y12" s="1451" t="str">
        <f t="shared" si="2"/>
        <v>п. Красный</v>
      </c>
      <c r="Z12" s="1451" t="str">
        <f t="shared" si="2"/>
        <v>котельная д. Богородицкое</v>
      </c>
      <c r="AA12" s="1451" t="str">
        <f t="shared" si="2"/>
        <v>котельная д. Сметанино</v>
      </c>
      <c r="AB12" s="1451" t="str">
        <f t="shared" si="2"/>
        <v>котельная с. Талашкино</v>
      </c>
      <c r="AC12" s="1451" t="str">
        <f t="shared" si="2"/>
        <v>котельная д. Митино</v>
      </c>
      <c r="AD12" s="2266"/>
      <c r="AZ12" s="1419">
        <v>0</v>
      </c>
    </row>
    <row r="13" spans="1:52" ht="11.45" customHeight="1">
      <c r="E13" s="2486" t="s">
        <v>384</v>
      </c>
      <c r="F13" s="2487"/>
      <c r="G13" s="2487"/>
      <c r="H13" s="1444"/>
      <c r="I13" s="1444"/>
      <c r="J13" s="1854"/>
      <c r="K13" s="1854"/>
      <c r="L13" s="1854"/>
      <c r="M13" s="1854"/>
      <c r="N13" s="1854"/>
      <c r="O13" s="1854"/>
      <c r="P13" s="1854"/>
      <c r="Q13" s="1854"/>
      <c r="R13" s="1854"/>
      <c r="S13" s="1854"/>
      <c r="T13" s="1854"/>
      <c r="U13" s="1854"/>
      <c r="V13" s="1854"/>
      <c r="W13" s="1854"/>
      <c r="X13" s="1854"/>
      <c r="Y13" s="1854"/>
      <c r="Z13" s="1854"/>
      <c r="AA13" s="1854"/>
      <c r="AB13" s="1854"/>
      <c r="AC13" s="1854"/>
      <c r="AD13" s="2266"/>
      <c r="AZ13" s="1419">
        <v>11</v>
      </c>
    </row>
    <row r="14" spans="1:52" ht="24" customHeight="1">
      <c r="E14" s="1445" t="s">
        <v>75</v>
      </c>
      <c r="F14" s="1448" t="s">
        <v>386</v>
      </c>
      <c r="G14" s="1448" t="s">
        <v>650</v>
      </c>
      <c r="H14" s="1448" t="s">
        <v>387</v>
      </c>
      <c r="I14" s="1448" t="s">
        <v>387</v>
      </c>
      <c r="J14" s="1853" t="s">
        <v>387</v>
      </c>
      <c r="K14" s="1853" t="s">
        <v>387</v>
      </c>
      <c r="L14" s="1853" t="s">
        <v>387</v>
      </c>
      <c r="M14" s="1853" t="s">
        <v>387</v>
      </c>
      <c r="N14" s="1853" t="s">
        <v>387</v>
      </c>
      <c r="O14" s="1853" t="s">
        <v>387</v>
      </c>
      <c r="P14" s="1853" t="s">
        <v>387</v>
      </c>
      <c r="Q14" s="1853" t="s">
        <v>387</v>
      </c>
      <c r="R14" s="1853" t="s">
        <v>387</v>
      </c>
      <c r="S14" s="1853" t="s">
        <v>387</v>
      </c>
      <c r="T14" s="1853" t="s">
        <v>387</v>
      </c>
      <c r="U14" s="1853" t="s">
        <v>387</v>
      </c>
      <c r="V14" s="1853" t="s">
        <v>387</v>
      </c>
      <c r="W14" s="1853" t="s">
        <v>387</v>
      </c>
      <c r="X14" s="1853" t="s">
        <v>387</v>
      </c>
      <c r="Y14" s="1853" t="s">
        <v>387</v>
      </c>
      <c r="Z14" s="1853" t="s">
        <v>387</v>
      </c>
      <c r="AA14" s="1853" t="s">
        <v>387</v>
      </c>
      <c r="AB14" s="1853" t="s">
        <v>387</v>
      </c>
      <c r="AC14" s="1853" t="s">
        <v>387</v>
      </c>
      <c r="AD14" s="2266"/>
      <c r="AZ14" s="1419">
        <v>23</v>
      </c>
    </row>
    <row r="15" spans="1:52" ht="19.899999999999999" customHeight="1">
      <c r="D15" s="1426"/>
      <c r="E15" s="1418" t="s">
        <v>161</v>
      </c>
      <c r="F15" s="625" t="s">
        <v>896</v>
      </c>
      <c r="G15" s="1445" t="s">
        <v>636</v>
      </c>
      <c r="H15" s="489"/>
      <c r="I15" s="489"/>
      <c r="J15" s="489"/>
      <c r="K15" s="489"/>
      <c r="L15" s="489"/>
      <c r="M15" s="489"/>
      <c r="N15" s="489"/>
      <c r="O15" s="489"/>
      <c r="P15" s="489"/>
      <c r="Q15" s="489"/>
      <c r="R15" s="489"/>
      <c r="S15" s="489"/>
      <c r="T15" s="489"/>
      <c r="U15" s="489"/>
      <c r="V15" s="489"/>
      <c r="W15" s="489"/>
      <c r="X15" s="489"/>
      <c r="Y15" s="489"/>
      <c r="Z15" s="489"/>
      <c r="AA15" s="489"/>
      <c r="AB15" s="489"/>
      <c r="AC15" s="489"/>
      <c r="AD15" s="223" t="s">
        <v>897</v>
      </c>
      <c r="AE15" s="475" t="s">
        <v>745</v>
      </c>
      <c r="AZ15" s="1419">
        <v>19</v>
      </c>
    </row>
    <row r="16" spans="1:52" ht="24" customHeight="1">
      <c r="D16" s="1426"/>
      <c r="E16" s="1418" t="s">
        <v>89</v>
      </c>
      <c r="F16" s="1837" t="s">
        <v>898</v>
      </c>
      <c r="G16" s="1445" t="s">
        <v>636</v>
      </c>
      <c r="H16" s="490">
        <f t="shared" ref="H16:AC16" si="3">SUM(H17,H20:H27)</f>
        <v>0</v>
      </c>
      <c r="I16" s="490">
        <f t="shared" si="3"/>
        <v>0</v>
      </c>
      <c r="J16" s="490">
        <f t="shared" si="3"/>
        <v>0</v>
      </c>
      <c r="K16" s="490">
        <f t="shared" si="3"/>
        <v>0</v>
      </c>
      <c r="L16" s="490">
        <f t="shared" si="3"/>
        <v>0</v>
      </c>
      <c r="M16" s="490">
        <f t="shared" si="3"/>
        <v>0</v>
      </c>
      <c r="N16" s="490">
        <f t="shared" si="3"/>
        <v>0</v>
      </c>
      <c r="O16" s="490">
        <f t="shared" si="3"/>
        <v>0</v>
      </c>
      <c r="P16" s="490">
        <f t="shared" si="3"/>
        <v>0</v>
      </c>
      <c r="Q16" s="490">
        <f t="shared" si="3"/>
        <v>0</v>
      </c>
      <c r="R16" s="490">
        <f t="shared" si="3"/>
        <v>0</v>
      </c>
      <c r="S16" s="490">
        <f t="shared" si="3"/>
        <v>0</v>
      </c>
      <c r="T16" s="490">
        <f t="shared" si="3"/>
        <v>0</v>
      </c>
      <c r="U16" s="490">
        <f t="shared" si="3"/>
        <v>0</v>
      </c>
      <c r="V16" s="490">
        <f t="shared" si="3"/>
        <v>0</v>
      </c>
      <c r="W16" s="490">
        <f t="shared" si="3"/>
        <v>0</v>
      </c>
      <c r="X16" s="490">
        <f t="shared" si="3"/>
        <v>0</v>
      </c>
      <c r="Y16" s="490">
        <f t="shared" si="3"/>
        <v>0</v>
      </c>
      <c r="Z16" s="490">
        <f t="shared" si="3"/>
        <v>0</v>
      </c>
      <c r="AA16" s="490">
        <f t="shared" si="3"/>
        <v>0</v>
      </c>
      <c r="AB16" s="490">
        <f t="shared" si="3"/>
        <v>0</v>
      </c>
      <c r="AC16" s="490">
        <f t="shared" si="3"/>
        <v>0</v>
      </c>
      <c r="AD16" s="1834" t="s">
        <v>899</v>
      </c>
      <c r="AE16" s="475" t="s">
        <v>745</v>
      </c>
      <c r="AZ16" s="1419">
        <v>23</v>
      </c>
    </row>
    <row r="17" spans="1:52" ht="35.65" customHeight="1">
      <c r="D17" s="1426"/>
      <c r="E17" s="1452" t="s">
        <v>823</v>
      </c>
      <c r="F17" s="1454" t="s">
        <v>900</v>
      </c>
      <c r="G17" s="1442" t="s">
        <v>636</v>
      </c>
      <c r="H17" s="489"/>
      <c r="I17" s="489"/>
      <c r="J17" s="489"/>
      <c r="K17" s="489"/>
      <c r="L17" s="489"/>
      <c r="M17" s="489"/>
      <c r="N17" s="489"/>
      <c r="O17" s="489"/>
      <c r="P17" s="489"/>
      <c r="Q17" s="489"/>
      <c r="R17" s="489"/>
      <c r="S17" s="489"/>
      <c r="T17" s="489"/>
      <c r="U17" s="489"/>
      <c r="V17" s="489"/>
      <c r="W17" s="489"/>
      <c r="X17" s="489"/>
      <c r="Y17" s="489"/>
      <c r="Z17" s="489"/>
      <c r="AA17" s="489"/>
      <c r="AB17" s="489"/>
      <c r="AC17" s="489"/>
      <c r="AD17" s="223" t="s">
        <v>901</v>
      </c>
      <c r="AE17" s="475"/>
      <c r="AZ17" s="1419">
        <v>34</v>
      </c>
    </row>
    <row r="18" spans="1:52" ht="19.899999999999999" customHeight="1">
      <c r="D18" s="1426"/>
      <c r="E18" s="1452" t="s">
        <v>826</v>
      </c>
      <c r="F18" s="1455" t="s">
        <v>902</v>
      </c>
      <c r="G18" s="1442" t="s">
        <v>636</v>
      </c>
      <c r="H18" s="489"/>
      <c r="I18" s="489"/>
      <c r="J18" s="489"/>
      <c r="K18" s="489"/>
      <c r="L18" s="489"/>
      <c r="M18" s="489"/>
      <c r="N18" s="489"/>
      <c r="O18" s="489"/>
      <c r="P18" s="489"/>
      <c r="Q18" s="489"/>
      <c r="R18" s="489"/>
      <c r="S18" s="489"/>
      <c r="T18" s="489"/>
      <c r="U18" s="489"/>
      <c r="V18" s="489"/>
      <c r="W18" s="489"/>
      <c r="X18" s="489"/>
      <c r="Y18" s="489"/>
      <c r="Z18" s="489"/>
      <c r="AA18" s="489"/>
      <c r="AB18" s="489"/>
      <c r="AC18" s="489"/>
      <c r="AD18" s="223"/>
      <c r="AE18" s="475"/>
      <c r="AZ18" s="1419">
        <v>19</v>
      </c>
    </row>
    <row r="19" spans="1:52" ht="24" customHeight="1">
      <c r="D19" s="1426"/>
      <c r="E19" s="1452" t="s">
        <v>829</v>
      </c>
      <c r="F19" s="1455" t="s">
        <v>903</v>
      </c>
      <c r="G19" s="1442" t="s">
        <v>636</v>
      </c>
      <c r="H19" s="489"/>
      <c r="I19" s="489"/>
      <c r="J19" s="489"/>
      <c r="K19" s="489"/>
      <c r="L19" s="489"/>
      <c r="M19" s="489"/>
      <c r="N19" s="489"/>
      <c r="O19" s="489"/>
      <c r="P19" s="489"/>
      <c r="Q19" s="489"/>
      <c r="R19" s="489"/>
      <c r="S19" s="489"/>
      <c r="T19" s="489"/>
      <c r="U19" s="489"/>
      <c r="V19" s="489"/>
      <c r="W19" s="489"/>
      <c r="X19" s="489"/>
      <c r="Y19" s="489"/>
      <c r="Z19" s="489"/>
      <c r="AA19" s="489"/>
      <c r="AB19" s="489"/>
      <c r="AC19" s="489"/>
      <c r="AD19" s="223"/>
      <c r="AE19" s="475"/>
      <c r="AZ19" s="1419">
        <v>23</v>
      </c>
    </row>
    <row r="20" spans="1:52" ht="35.65" customHeight="1">
      <c r="D20" s="1426"/>
      <c r="E20" s="1452" t="s">
        <v>391</v>
      </c>
      <c r="F20" s="1454" t="s">
        <v>904</v>
      </c>
      <c r="G20" s="1442" t="s">
        <v>636</v>
      </c>
      <c r="H20" s="489"/>
      <c r="I20" s="489"/>
      <c r="J20" s="489"/>
      <c r="K20" s="489"/>
      <c r="L20" s="489"/>
      <c r="M20" s="489"/>
      <c r="N20" s="489"/>
      <c r="O20" s="489"/>
      <c r="P20" s="489"/>
      <c r="Q20" s="489"/>
      <c r="R20" s="489"/>
      <c r="S20" s="489"/>
      <c r="T20" s="489"/>
      <c r="U20" s="489"/>
      <c r="V20" s="489"/>
      <c r="W20" s="489"/>
      <c r="X20" s="489"/>
      <c r="Y20" s="489"/>
      <c r="Z20" s="489"/>
      <c r="AA20" s="489"/>
      <c r="AB20" s="489"/>
      <c r="AC20" s="489"/>
      <c r="AD20" s="223"/>
      <c r="AE20" s="475"/>
      <c r="AZ20" s="1419">
        <v>34</v>
      </c>
    </row>
    <row r="21" spans="1:52" ht="48.2" customHeight="1">
      <c r="D21" s="1426"/>
      <c r="E21" s="1452" t="s">
        <v>394</v>
      </c>
      <c r="F21" s="1454" t="s">
        <v>905</v>
      </c>
      <c r="G21" s="1442" t="s">
        <v>636</v>
      </c>
      <c r="H21" s="489"/>
      <c r="I21" s="489"/>
      <c r="J21" s="489"/>
      <c r="K21" s="489"/>
      <c r="L21" s="489"/>
      <c r="M21" s="489"/>
      <c r="N21" s="489"/>
      <c r="O21" s="489"/>
      <c r="P21" s="489"/>
      <c r="Q21" s="489"/>
      <c r="R21" s="489"/>
      <c r="S21" s="489"/>
      <c r="T21" s="489"/>
      <c r="U21" s="489"/>
      <c r="V21" s="489"/>
      <c r="W21" s="489"/>
      <c r="X21" s="489"/>
      <c r="Y21" s="489"/>
      <c r="Z21" s="489"/>
      <c r="AA21" s="489"/>
      <c r="AB21" s="489"/>
      <c r="AC21" s="489"/>
      <c r="AD21" s="223"/>
      <c r="AE21" s="475"/>
      <c r="AZ21" s="1419">
        <v>46</v>
      </c>
    </row>
    <row r="22" spans="1:52" ht="60" customHeight="1">
      <c r="D22" s="1426"/>
      <c r="E22" s="1452" t="s">
        <v>843</v>
      </c>
      <c r="F22" s="1454" t="s">
        <v>906</v>
      </c>
      <c r="G22" s="1442" t="s">
        <v>636</v>
      </c>
      <c r="H22" s="489"/>
      <c r="I22" s="489"/>
      <c r="J22" s="489"/>
      <c r="K22" s="489"/>
      <c r="L22" s="489"/>
      <c r="M22" s="489"/>
      <c r="N22" s="489"/>
      <c r="O22" s="489"/>
      <c r="P22" s="489"/>
      <c r="Q22" s="489"/>
      <c r="R22" s="489"/>
      <c r="S22" s="489"/>
      <c r="T22" s="489"/>
      <c r="U22" s="489"/>
      <c r="V22" s="489"/>
      <c r="W22" s="489"/>
      <c r="X22" s="489"/>
      <c r="Y22" s="489"/>
      <c r="Z22" s="489"/>
      <c r="AA22" s="489"/>
      <c r="AB22" s="489"/>
      <c r="AC22" s="489"/>
      <c r="AD22" s="223"/>
      <c r="AE22" s="475"/>
      <c r="AZ22" s="1419">
        <v>57</v>
      </c>
    </row>
    <row r="23" spans="1:52" ht="35.65" customHeight="1">
      <c r="D23" s="1426"/>
      <c r="E23" s="1452" t="s">
        <v>850</v>
      </c>
      <c r="F23" s="1454" t="s">
        <v>907</v>
      </c>
      <c r="G23" s="1442" t="s">
        <v>636</v>
      </c>
      <c r="H23" s="489"/>
      <c r="I23" s="489"/>
      <c r="J23" s="489"/>
      <c r="K23" s="489"/>
      <c r="L23" s="489"/>
      <c r="M23" s="489"/>
      <c r="N23" s="489"/>
      <c r="O23" s="489"/>
      <c r="P23" s="489"/>
      <c r="Q23" s="489"/>
      <c r="R23" s="489"/>
      <c r="S23" s="489"/>
      <c r="T23" s="489"/>
      <c r="U23" s="489"/>
      <c r="V23" s="489"/>
      <c r="W23" s="489"/>
      <c r="X23" s="489"/>
      <c r="Y23" s="489"/>
      <c r="Z23" s="489"/>
      <c r="AA23" s="489"/>
      <c r="AB23" s="489"/>
      <c r="AC23" s="489"/>
      <c r="AD23" s="223"/>
      <c r="AE23" s="475"/>
      <c r="AZ23" s="1419">
        <v>34</v>
      </c>
    </row>
    <row r="24" spans="1:52" ht="35.65" customHeight="1">
      <c r="D24" s="1426"/>
      <c r="E24" s="1452" t="s">
        <v>852</v>
      </c>
      <c r="F24" s="1454" t="s">
        <v>908</v>
      </c>
      <c r="G24" s="1442" t="s">
        <v>636</v>
      </c>
      <c r="H24" s="489"/>
      <c r="I24" s="489"/>
      <c r="J24" s="489"/>
      <c r="K24" s="489"/>
      <c r="L24" s="489"/>
      <c r="M24" s="489"/>
      <c r="N24" s="489"/>
      <c r="O24" s="489"/>
      <c r="P24" s="489"/>
      <c r="Q24" s="489"/>
      <c r="R24" s="489"/>
      <c r="S24" s="489"/>
      <c r="T24" s="489"/>
      <c r="U24" s="489"/>
      <c r="V24" s="489"/>
      <c r="W24" s="489"/>
      <c r="X24" s="489"/>
      <c r="Y24" s="489"/>
      <c r="Z24" s="489"/>
      <c r="AA24" s="489"/>
      <c r="AB24" s="489"/>
      <c r="AC24" s="489"/>
      <c r="AD24" s="223"/>
      <c r="AE24" s="475"/>
      <c r="AZ24" s="1419">
        <v>34</v>
      </c>
    </row>
    <row r="25" spans="1:52" ht="24" customHeight="1">
      <c r="D25" s="1426"/>
      <c r="E25" s="1452" t="s">
        <v>854</v>
      </c>
      <c r="F25" s="1454" t="s">
        <v>909</v>
      </c>
      <c r="G25" s="1442" t="s">
        <v>636</v>
      </c>
      <c r="H25" s="489"/>
      <c r="I25" s="489"/>
      <c r="J25" s="489"/>
      <c r="K25" s="489"/>
      <c r="L25" s="489"/>
      <c r="M25" s="489"/>
      <c r="N25" s="489"/>
      <c r="O25" s="489"/>
      <c r="P25" s="489"/>
      <c r="Q25" s="489"/>
      <c r="R25" s="489"/>
      <c r="S25" s="489"/>
      <c r="T25" s="489"/>
      <c r="U25" s="489"/>
      <c r="V25" s="489"/>
      <c r="W25" s="489"/>
      <c r="X25" s="489"/>
      <c r="Y25" s="489"/>
      <c r="Z25" s="489"/>
      <c r="AA25" s="489"/>
      <c r="AB25" s="489"/>
      <c r="AC25" s="489"/>
      <c r="AD25" s="223"/>
      <c r="AE25" s="475"/>
      <c r="AZ25" s="1419">
        <v>23</v>
      </c>
    </row>
    <row r="26" spans="1:52" ht="76.5" customHeight="1">
      <c r="D26" s="1426"/>
      <c r="E26" s="1452" t="s">
        <v>856</v>
      </c>
      <c r="F26" s="1454" t="s">
        <v>910</v>
      </c>
      <c r="G26" s="1442" t="s">
        <v>636</v>
      </c>
      <c r="H26" s="489"/>
      <c r="I26" s="489"/>
      <c r="J26" s="489"/>
      <c r="K26" s="489"/>
      <c r="L26" s="489"/>
      <c r="M26" s="489"/>
      <c r="N26" s="489"/>
      <c r="O26" s="489"/>
      <c r="P26" s="489"/>
      <c r="Q26" s="489"/>
      <c r="R26" s="489"/>
      <c r="S26" s="489"/>
      <c r="T26" s="489"/>
      <c r="U26" s="489"/>
      <c r="V26" s="489"/>
      <c r="W26" s="489"/>
      <c r="X26" s="489"/>
      <c r="Y26" s="489"/>
      <c r="Z26" s="489"/>
      <c r="AA26" s="489"/>
      <c r="AB26" s="489"/>
      <c r="AC26" s="489"/>
      <c r="AD26" s="223"/>
      <c r="AE26" s="475"/>
      <c r="AZ26" s="1419">
        <v>73</v>
      </c>
    </row>
    <row r="27" spans="1:52" s="1154" customFormat="1" ht="35.65" customHeight="1">
      <c r="A27" s="839"/>
      <c r="C27" s="1424"/>
      <c r="D27" s="1426"/>
      <c r="E27" s="1417" t="s">
        <v>860</v>
      </c>
      <c r="F27" s="1416" t="s">
        <v>911</v>
      </c>
      <c r="G27" s="1443" t="s">
        <v>636</v>
      </c>
      <c r="H27" s="510">
        <f t="shared" ref="H27:AC27" si="4">SUM(H28:H29)</f>
        <v>0</v>
      </c>
      <c r="I27" s="510">
        <f t="shared" si="4"/>
        <v>0</v>
      </c>
      <c r="J27" s="510">
        <f t="shared" si="4"/>
        <v>0</v>
      </c>
      <c r="K27" s="510">
        <f t="shared" si="4"/>
        <v>0</v>
      </c>
      <c r="L27" s="510">
        <f t="shared" si="4"/>
        <v>0</v>
      </c>
      <c r="M27" s="510">
        <f t="shared" si="4"/>
        <v>0</v>
      </c>
      <c r="N27" s="510">
        <f t="shared" si="4"/>
        <v>0</v>
      </c>
      <c r="O27" s="510">
        <f t="shared" si="4"/>
        <v>0</v>
      </c>
      <c r="P27" s="510">
        <f t="shared" si="4"/>
        <v>0</v>
      </c>
      <c r="Q27" s="510">
        <f t="shared" si="4"/>
        <v>0</v>
      </c>
      <c r="R27" s="510">
        <f t="shared" si="4"/>
        <v>0</v>
      </c>
      <c r="S27" s="510">
        <f t="shared" si="4"/>
        <v>0</v>
      </c>
      <c r="T27" s="510">
        <f t="shared" si="4"/>
        <v>0</v>
      </c>
      <c r="U27" s="510">
        <f t="shared" si="4"/>
        <v>0</v>
      </c>
      <c r="V27" s="510">
        <f t="shared" si="4"/>
        <v>0</v>
      </c>
      <c r="W27" s="510">
        <f t="shared" si="4"/>
        <v>0</v>
      </c>
      <c r="X27" s="510">
        <f t="shared" si="4"/>
        <v>0</v>
      </c>
      <c r="Y27" s="510">
        <f t="shared" si="4"/>
        <v>0</v>
      </c>
      <c r="Z27" s="510">
        <f t="shared" si="4"/>
        <v>0</v>
      </c>
      <c r="AA27" s="510">
        <f t="shared" si="4"/>
        <v>0</v>
      </c>
      <c r="AB27" s="510">
        <f t="shared" si="4"/>
        <v>0</v>
      </c>
      <c r="AC27" s="510">
        <f t="shared" si="4"/>
        <v>0</v>
      </c>
      <c r="AD27" s="223" t="s">
        <v>858</v>
      </c>
      <c r="AE27" s="475"/>
      <c r="AF27" s="1424"/>
      <c r="AG27" s="1424"/>
      <c r="AL27" s="1424"/>
      <c r="AO27" s="476"/>
      <c r="AU27" s="1420"/>
      <c r="AV27" s="1420"/>
      <c r="AW27" s="1420"/>
      <c r="AX27" s="1420"/>
      <c r="AY27" s="1420"/>
      <c r="AZ27" s="961">
        <v>34</v>
      </c>
    </row>
    <row r="28" spans="1:52" s="1430" customFormat="1" ht="1.1499999999999999" customHeight="1">
      <c r="A28" s="968"/>
      <c r="D28" s="480"/>
      <c r="E28" s="701" t="str">
        <f>E27&amp;".0"</f>
        <v>2.9.0</v>
      </c>
      <c r="F28" s="843"/>
      <c r="G28" s="483"/>
      <c r="H28" s="844"/>
      <c r="I28" s="844"/>
      <c r="J28" s="844"/>
      <c r="K28" s="844"/>
      <c r="L28" s="844"/>
      <c r="M28" s="844"/>
      <c r="N28" s="844"/>
      <c r="O28" s="844"/>
      <c r="P28" s="844"/>
      <c r="Q28" s="844"/>
      <c r="R28" s="844"/>
      <c r="S28" s="844"/>
      <c r="T28" s="844"/>
      <c r="U28" s="844"/>
      <c r="V28" s="844"/>
      <c r="W28" s="844"/>
      <c r="X28" s="844"/>
      <c r="Y28" s="844"/>
      <c r="Z28" s="844"/>
      <c r="AA28" s="844"/>
      <c r="AB28" s="844"/>
      <c r="AC28" s="844"/>
      <c r="AD28" s="845"/>
      <c r="AZ28" s="1424">
        <v>1</v>
      </c>
    </row>
    <row r="29" spans="1:52" s="1154" customFormat="1" ht="19.899999999999999" customHeight="1">
      <c r="A29" s="839"/>
      <c r="C29" s="1424"/>
      <c r="D29" s="1421"/>
      <c r="E29" s="502"/>
      <c r="F29" s="1453" t="s">
        <v>671</v>
      </c>
      <c r="G29" s="504"/>
      <c r="H29" s="505"/>
      <c r="I29" s="505"/>
      <c r="J29" s="2035"/>
      <c r="K29" s="2036"/>
      <c r="L29" s="2037"/>
      <c r="M29" s="2038"/>
      <c r="N29" s="2039"/>
      <c r="O29" s="2040"/>
      <c r="P29" s="2041"/>
      <c r="Q29" s="2042"/>
      <c r="R29" s="2043"/>
      <c r="S29" s="2044"/>
      <c r="T29" s="2045"/>
      <c r="U29" s="2046"/>
      <c r="V29" s="2047"/>
      <c r="W29" s="2048"/>
      <c r="X29" s="2049"/>
      <c r="Y29" s="2050"/>
      <c r="Z29" s="2051"/>
      <c r="AA29" s="2052"/>
      <c r="AB29" s="2053"/>
      <c r="AC29" s="2233"/>
      <c r="AD29" s="235" t="s">
        <v>859</v>
      </c>
      <c r="AE29" s="475"/>
      <c r="AF29" s="1424"/>
      <c r="AG29" s="1424"/>
      <c r="AL29" s="1424"/>
      <c r="AO29" s="476"/>
      <c r="AU29" s="1420"/>
      <c r="AV29" s="1420"/>
      <c r="AW29" s="1420"/>
      <c r="AX29" s="1420"/>
      <c r="AY29" s="1420"/>
      <c r="AZ29" s="961">
        <v>19</v>
      </c>
    </row>
    <row r="30" spans="1:52" ht="76.5" customHeight="1">
      <c r="D30" s="1828"/>
      <c r="E30" s="1452" t="s">
        <v>912</v>
      </c>
      <c r="F30" s="1836" t="s">
        <v>867</v>
      </c>
      <c r="G30" s="1827" t="s">
        <v>636</v>
      </c>
      <c r="H30" s="489"/>
      <c r="I30" s="489"/>
      <c r="J30" s="489"/>
      <c r="K30" s="489"/>
      <c r="L30" s="489"/>
      <c r="M30" s="489"/>
      <c r="N30" s="489"/>
      <c r="O30" s="489"/>
      <c r="P30" s="489"/>
      <c r="Q30" s="489"/>
      <c r="R30" s="489"/>
      <c r="S30" s="489"/>
      <c r="T30" s="489"/>
      <c r="U30" s="489"/>
      <c r="V30" s="489"/>
      <c r="W30" s="489"/>
      <c r="X30" s="489"/>
      <c r="Y30" s="489"/>
      <c r="Z30" s="489"/>
      <c r="AA30" s="489"/>
      <c r="AB30" s="489"/>
      <c r="AC30" s="489"/>
      <c r="AD30" s="1834" t="s">
        <v>913</v>
      </c>
      <c r="AE30" s="475"/>
      <c r="AZ30" s="1419">
        <v>73</v>
      </c>
    </row>
    <row r="31" spans="1:52" s="1154" customFormat="1" ht="24" customHeight="1">
      <c r="A31" s="839"/>
      <c r="C31" s="1424"/>
      <c r="D31" s="1426"/>
      <c r="E31" s="1452" t="s">
        <v>77</v>
      </c>
      <c r="F31" s="1449" t="s">
        <v>914</v>
      </c>
      <c r="G31" s="1442" t="s">
        <v>636</v>
      </c>
      <c r="H31" s="489"/>
      <c r="I31" s="489"/>
      <c r="J31" s="489"/>
      <c r="K31" s="489"/>
      <c r="L31" s="489"/>
      <c r="M31" s="489"/>
      <c r="N31" s="489"/>
      <c r="O31" s="489"/>
      <c r="P31" s="489"/>
      <c r="Q31" s="489"/>
      <c r="R31" s="489"/>
      <c r="S31" s="489"/>
      <c r="T31" s="489"/>
      <c r="U31" s="489"/>
      <c r="V31" s="489"/>
      <c r="W31" s="489"/>
      <c r="X31" s="489"/>
      <c r="Y31" s="489"/>
      <c r="Z31" s="489"/>
      <c r="AA31" s="489"/>
      <c r="AB31" s="489"/>
      <c r="AC31" s="489"/>
      <c r="AD31" s="223"/>
      <c r="AE31" s="475"/>
      <c r="AF31" s="1424"/>
      <c r="AG31" s="1424"/>
      <c r="AL31" s="1424"/>
      <c r="AO31" s="476"/>
      <c r="AU31" s="1420"/>
      <c r="AV31" s="1420"/>
      <c r="AW31" s="1420"/>
      <c r="AX31" s="1420"/>
      <c r="AY31" s="1420"/>
      <c r="AZ31" s="961">
        <v>23</v>
      </c>
    </row>
    <row r="32" spans="1:52" s="1154" customFormat="1" ht="35.65" customHeight="1">
      <c r="A32" s="839"/>
      <c r="C32" s="1424"/>
      <c r="D32" s="507"/>
      <c r="E32" s="1452" t="s">
        <v>78</v>
      </c>
      <c r="F32" s="1449" t="s">
        <v>915</v>
      </c>
      <c r="G32" s="1442" t="s">
        <v>636</v>
      </c>
      <c r="H32" s="489"/>
      <c r="I32" s="489"/>
      <c r="J32" s="489"/>
      <c r="K32" s="489"/>
      <c r="L32" s="489"/>
      <c r="M32" s="489"/>
      <c r="N32" s="489"/>
      <c r="O32" s="489"/>
      <c r="P32" s="489"/>
      <c r="Q32" s="489"/>
      <c r="R32" s="489"/>
      <c r="S32" s="489"/>
      <c r="T32" s="489"/>
      <c r="U32" s="489"/>
      <c r="V32" s="489"/>
      <c r="W32" s="489"/>
      <c r="X32" s="489"/>
      <c r="Y32" s="489"/>
      <c r="Z32" s="489"/>
      <c r="AA32" s="489"/>
      <c r="AB32" s="489"/>
      <c r="AC32" s="489"/>
      <c r="AD32" s="223" t="s">
        <v>916</v>
      </c>
      <c r="AE32" s="475"/>
      <c r="AF32" s="1424"/>
      <c r="AG32" s="1424"/>
      <c r="AL32" s="1424"/>
      <c r="AO32" s="476"/>
      <c r="AU32" s="1420"/>
      <c r="AV32" s="1420"/>
      <c r="AW32" s="1420"/>
      <c r="AX32" s="1420"/>
      <c r="AY32" s="1420"/>
      <c r="AZ32" s="961">
        <v>34</v>
      </c>
    </row>
    <row r="33" spans="1:52" s="1154" customFormat="1" ht="24" customHeight="1">
      <c r="A33" s="839"/>
      <c r="C33" s="1424"/>
      <c r="D33" s="1426"/>
      <c r="E33" s="1452" t="s">
        <v>874</v>
      </c>
      <c r="F33" s="611" t="s">
        <v>878</v>
      </c>
      <c r="G33" s="1442" t="s">
        <v>636</v>
      </c>
      <c r="H33" s="489"/>
      <c r="I33" s="489"/>
      <c r="J33" s="489"/>
      <c r="K33" s="489"/>
      <c r="L33" s="489"/>
      <c r="M33" s="489"/>
      <c r="N33" s="489"/>
      <c r="O33" s="489"/>
      <c r="P33" s="489"/>
      <c r="Q33" s="489"/>
      <c r="R33" s="489"/>
      <c r="S33" s="489"/>
      <c r="T33" s="489"/>
      <c r="U33" s="489"/>
      <c r="V33" s="489"/>
      <c r="W33" s="489"/>
      <c r="X33" s="489"/>
      <c r="Y33" s="489"/>
      <c r="Z33" s="489"/>
      <c r="AA33" s="489"/>
      <c r="AB33" s="489"/>
      <c r="AC33" s="489"/>
      <c r="AD33" s="223" t="s">
        <v>917</v>
      </c>
      <c r="AE33" s="475"/>
      <c r="AF33" s="1424"/>
      <c r="AG33" s="1424"/>
      <c r="AL33" s="1424"/>
      <c r="AO33" s="476"/>
      <c r="AU33" s="1420"/>
      <c r="AV33" s="1420"/>
      <c r="AW33" s="1420"/>
      <c r="AX33" s="1420"/>
      <c r="AY33" s="1420"/>
      <c r="AZ33" s="961">
        <v>23</v>
      </c>
    </row>
    <row r="34" spans="1:52" s="1154" customFormat="1" ht="24" customHeight="1">
      <c r="A34" s="839"/>
      <c r="C34" s="1424"/>
      <c r="D34" s="1426"/>
      <c r="E34" s="1452" t="s">
        <v>918</v>
      </c>
      <c r="F34" s="611" t="s">
        <v>919</v>
      </c>
      <c r="G34" s="1442" t="s">
        <v>636</v>
      </c>
      <c r="H34" s="489"/>
      <c r="I34" s="489"/>
      <c r="J34" s="489"/>
      <c r="K34" s="489"/>
      <c r="L34" s="489"/>
      <c r="M34" s="489"/>
      <c r="N34" s="489"/>
      <c r="O34" s="489"/>
      <c r="P34" s="489"/>
      <c r="Q34" s="489"/>
      <c r="R34" s="489"/>
      <c r="S34" s="489"/>
      <c r="T34" s="489"/>
      <c r="U34" s="489"/>
      <c r="V34" s="489"/>
      <c r="W34" s="489"/>
      <c r="X34" s="489"/>
      <c r="Y34" s="489"/>
      <c r="Z34" s="489"/>
      <c r="AA34" s="489"/>
      <c r="AB34" s="489"/>
      <c r="AC34" s="489"/>
      <c r="AD34" s="223" t="s">
        <v>920</v>
      </c>
      <c r="AE34" s="475"/>
      <c r="AF34" s="1424"/>
      <c r="AG34" s="1424"/>
      <c r="AL34" s="1424"/>
      <c r="AO34" s="476"/>
      <c r="AU34" s="1420"/>
      <c r="AV34" s="1420"/>
      <c r="AW34" s="1420"/>
      <c r="AX34" s="1420"/>
      <c r="AY34" s="1420"/>
      <c r="AZ34" s="961">
        <v>23</v>
      </c>
    </row>
    <row r="35" spans="1:52" s="1154" customFormat="1" ht="24" customHeight="1">
      <c r="A35" s="839"/>
      <c r="C35" s="1424"/>
      <c r="D35" s="1426"/>
      <c r="E35" s="1452" t="s">
        <v>921</v>
      </c>
      <c r="F35" s="611" t="s">
        <v>884</v>
      </c>
      <c r="G35" s="1442" t="s">
        <v>636</v>
      </c>
      <c r="H35" s="489"/>
      <c r="I35" s="489"/>
      <c r="J35" s="489"/>
      <c r="K35" s="489"/>
      <c r="L35" s="489"/>
      <c r="M35" s="489"/>
      <c r="N35" s="489"/>
      <c r="O35" s="489"/>
      <c r="P35" s="489"/>
      <c r="Q35" s="489"/>
      <c r="R35" s="489"/>
      <c r="S35" s="489"/>
      <c r="T35" s="489"/>
      <c r="U35" s="489"/>
      <c r="V35" s="489"/>
      <c r="W35" s="489"/>
      <c r="X35" s="489"/>
      <c r="Y35" s="489"/>
      <c r="Z35" s="489"/>
      <c r="AA35" s="489"/>
      <c r="AB35" s="489"/>
      <c r="AC35" s="489"/>
      <c r="AD35" s="223" t="s">
        <v>922</v>
      </c>
      <c r="AE35" s="475"/>
      <c r="AF35" s="1424"/>
      <c r="AG35" s="1424"/>
      <c r="AL35" s="1424"/>
      <c r="AO35" s="476"/>
      <c r="AU35" s="1420"/>
      <c r="AV35" s="1420"/>
      <c r="AW35" s="1420"/>
      <c r="AX35" s="1420"/>
      <c r="AY35" s="1420"/>
      <c r="AZ35" s="961">
        <v>23</v>
      </c>
    </row>
    <row r="36" spans="1:52" s="1154" customFormat="1" ht="35.65" customHeight="1">
      <c r="A36" s="839"/>
      <c r="C36" s="1424" t="s">
        <v>674</v>
      </c>
      <c r="D36" s="1426"/>
      <c r="E36" s="1452" t="s">
        <v>115</v>
      </c>
      <c r="F36" s="1449" t="s">
        <v>744</v>
      </c>
      <c r="G36" s="1445" t="s">
        <v>390</v>
      </c>
      <c r="H36" s="334"/>
      <c r="I36" s="334"/>
      <c r="J36" s="717"/>
      <c r="K36" s="717"/>
      <c r="L36" s="717"/>
      <c r="M36" s="717"/>
      <c r="N36" s="717"/>
      <c r="O36" s="717"/>
      <c r="P36" s="717"/>
      <c r="Q36" s="717"/>
      <c r="R36" s="717"/>
      <c r="S36" s="717"/>
      <c r="T36" s="717"/>
      <c r="U36" s="717"/>
      <c r="V36" s="717"/>
      <c r="W36" s="717"/>
      <c r="X36" s="717"/>
      <c r="Y36" s="717"/>
      <c r="Z36" s="717"/>
      <c r="AA36" s="717"/>
      <c r="AB36" s="717"/>
      <c r="AC36" s="717"/>
      <c r="AD36" s="223" t="s">
        <v>923</v>
      </c>
      <c r="AE36" s="475"/>
      <c r="AF36" s="1424"/>
      <c r="AG36" s="1424"/>
      <c r="AL36" s="1424"/>
      <c r="AO36" s="476"/>
      <c r="AU36" s="1420"/>
      <c r="AV36" s="1420"/>
      <c r="AW36" s="1420"/>
      <c r="AX36" s="1420"/>
      <c r="AY36" s="1420"/>
      <c r="AZ36" s="961">
        <v>34</v>
      </c>
    </row>
    <row r="37" spans="1:52" s="1154" customFormat="1" ht="35.65" customHeight="1">
      <c r="A37" s="839"/>
      <c r="C37" s="1424"/>
      <c r="D37" s="1426"/>
      <c r="E37" s="1452" t="s">
        <v>79</v>
      </c>
      <c r="F37" s="1449" t="s">
        <v>924</v>
      </c>
      <c r="G37" s="1442" t="s">
        <v>889</v>
      </c>
      <c r="H37" s="1835"/>
      <c r="I37" s="1835"/>
      <c r="J37" s="1835"/>
      <c r="K37" s="1835"/>
      <c r="L37" s="1835"/>
      <c r="M37" s="1835"/>
      <c r="N37" s="1835"/>
      <c r="O37" s="1835"/>
      <c r="P37" s="1835"/>
      <c r="Q37" s="1835"/>
      <c r="R37" s="1835"/>
      <c r="S37" s="1835"/>
      <c r="T37" s="1835"/>
      <c r="U37" s="1835"/>
      <c r="V37" s="1835"/>
      <c r="W37" s="1835"/>
      <c r="X37" s="1835"/>
      <c r="Y37" s="1835"/>
      <c r="Z37" s="1835"/>
      <c r="AA37" s="1835"/>
      <c r="AB37" s="1835"/>
      <c r="AC37" s="1835"/>
      <c r="AD37" s="223" t="s">
        <v>890</v>
      </c>
      <c r="AE37" s="475"/>
      <c r="AF37" s="1424"/>
      <c r="AG37" s="1424"/>
      <c r="AL37" s="1424"/>
      <c r="AO37" s="476"/>
      <c r="AU37" s="1420"/>
      <c r="AV37" s="1420"/>
      <c r="AW37" s="1420"/>
      <c r="AX37" s="1420"/>
      <c r="AY37" s="1420"/>
      <c r="AZ37" s="961">
        <v>34</v>
      </c>
    </row>
    <row r="38" spans="1:52" s="1154" customFormat="1" ht="33.75" customHeight="1">
      <c r="A38" s="839"/>
      <c r="C38" s="1424"/>
      <c r="D38" s="1828"/>
      <c r="E38" s="1452" t="s">
        <v>767</v>
      </c>
      <c r="F38" s="1836" t="s">
        <v>925</v>
      </c>
      <c r="G38" s="1827" t="s">
        <v>889</v>
      </c>
      <c r="H38" s="477"/>
      <c r="I38" s="477"/>
      <c r="J38" s="477"/>
      <c r="K38" s="477"/>
      <c r="L38" s="477"/>
      <c r="M38" s="477"/>
      <c r="N38" s="477"/>
      <c r="O38" s="477"/>
      <c r="P38" s="477"/>
      <c r="Q38" s="477"/>
      <c r="R38" s="477"/>
      <c r="S38" s="477"/>
      <c r="T38" s="477"/>
      <c r="U38" s="477"/>
      <c r="V38" s="477"/>
      <c r="W38" s="477"/>
      <c r="X38" s="477"/>
      <c r="Y38" s="477"/>
      <c r="Z38" s="477"/>
      <c r="AA38" s="477"/>
      <c r="AB38" s="477"/>
      <c r="AC38" s="477"/>
      <c r="AD38" s="1834" t="s">
        <v>926</v>
      </c>
      <c r="AE38" s="475"/>
      <c r="AF38" s="1424"/>
      <c r="AG38" s="1424"/>
      <c r="AL38" s="1424"/>
      <c r="AO38" s="476"/>
      <c r="AU38" s="1420"/>
      <c r="AV38" s="1420"/>
      <c r="AW38" s="1420"/>
      <c r="AX38" s="1420"/>
      <c r="AY38" s="1420"/>
    </row>
    <row r="39" spans="1:52" s="1154" customFormat="1" ht="33.75" customHeight="1">
      <c r="A39" s="839"/>
      <c r="C39" s="1424"/>
      <c r="D39" s="1828"/>
      <c r="E39" s="1452" t="s">
        <v>771</v>
      </c>
      <c r="F39" s="1836" t="s">
        <v>927</v>
      </c>
      <c r="G39" s="1827" t="s">
        <v>889</v>
      </c>
      <c r="H39" s="477"/>
      <c r="I39" s="477"/>
      <c r="J39" s="477"/>
      <c r="K39" s="477"/>
      <c r="L39" s="477"/>
      <c r="M39" s="477"/>
      <c r="N39" s="477"/>
      <c r="O39" s="477"/>
      <c r="P39" s="477"/>
      <c r="Q39" s="477"/>
      <c r="R39" s="477"/>
      <c r="S39" s="477"/>
      <c r="T39" s="477"/>
      <c r="U39" s="477"/>
      <c r="V39" s="477"/>
      <c r="W39" s="477"/>
      <c r="X39" s="477"/>
      <c r="Y39" s="477"/>
      <c r="Z39" s="477"/>
      <c r="AA39" s="477"/>
      <c r="AB39" s="477"/>
      <c r="AC39" s="477"/>
      <c r="AD39" s="1834" t="s">
        <v>928</v>
      </c>
      <c r="AE39" s="475"/>
      <c r="AF39" s="1424"/>
      <c r="AG39" s="1424"/>
      <c r="AL39" s="1424"/>
      <c r="AO39" s="476"/>
      <c r="AU39" s="1420"/>
      <c r="AV39" s="1420"/>
      <c r="AW39" s="1420"/>
      <c r="AX39" s="1420"/>
      <c r="AY39" s="1420"/>
    </row>
    <row r="40" spans="1:52" s="1154" customFormat="1" ht="24" customHeight="1">
      <c r="A40" s="839"/>
      <c r="C40" s="1424"/>
      <c r="D40" s="1426"/>
      <c r="E40" s="1452" t="s">
        <v>80</v>
      </c>
      <c r="F40" s="1449" t="s">
        <v>929</v>
      </c>
      <c r="G40" s="1442" t="s">
        <v>892</v>
      </c>
      <c r="H40" s="1835"/>
      <c r="I40" s="1835"/>
      <c r="J40" s="1835"/>
      <c r="K40" s="1835"/>
      <c r="L40" s="1835"/>
      <c r="M40" s="1835"/>
      <c r="N40" s="1835"/>
      <c r="O40" s="1835"/>
      <c r="P40" s="1835"/>
      <c r="Q40" s="1835"/>
      <c r="R40" s="1835"/>
      <c r="S40" s="1835"/>
      <c r="T40" s="1835"/>
      <c r="U40" s="1835"/>
      <c r="V40" s="1835"/>
      <c r="W40" s="1835"/>
      <c r="X40" s="1835"/>
      <c r="Y40" s="1835"/>
      <c r="Z40" s="1835"/>
      <c r="AA40" s="1835"/>
      <c r="AB40" s="1835"/>
      <c r="AC40" s="1835"/>
      <c r="AD40" s="223" t="s">
        <v>893</v>
      </c>
      <c r="AE40" s="475"/>
      <c r="AF40" s="1424"/>
      <c r="AG40" s="1424"/>
      <c r="AL40" s="1424"/>
      <c r="AO40" s="476"/>
      <c r="AU40" s="1420"/>
      <c r="AV40" s="1420"/>
      <c r="AW40" s="1420"/>
      <c r="AX40" s="1420"/>
      <c r="AY40" s="1420"/>
      <c r="AZ40" s="961">
        <v>23</v>
      </c>
    </row>
    <row r="41" spans="1:52" s="1154" customFormat="1" ht="24" customHeight="1">
      <c r="A41" s="839"/>
      <c r="C41" s="1424"/>
      <c r="D41" s="1828"/>
      <c r="E41" s="1452" t="s">
        <v>930</v>
      </c>
      <c r="F41" s="1836" t="s">
        <v>931</v>
      </c>
      <c r="G41" s="1827" t="s">
        <v>892</v>
      </c>
      <c r="H41" s="477"/>
      <c r="I41" s="477"/>
      <c r="J41" s="477"/>
      <c r="K41" s="477"/>
      <c r="L41" s="477"/>
      <c r="M41" s="477"/>
      <c r="N41" s="477"/>
      <c r="O41" s="477"/>
      <c r="P41" s="477"/>
      <c r="Q41" s="477"/>
      <c r="R41" s="477"/>
      <c r="S41" s="477"/>
      <c r="T41" s="477"/>
      <c r="U41" s="477"/>
      <c r="V41" s="477"/>
      <c r="W41" s="477"/>
      <c r="X41" s="477"/>
      <c r="Y41" s="477"/>
      <c r="Z41" s="477"/>
      <c r="AA41" s="477"/>
      <c r="AB41" s="477"/>
      <c r="AC41" s="477"/>
      <c r="AD41" s="1834" t="s">
        <v>932</v>
      </c>
      <c r="AE41" s="475"/>
      <c r="AF41" s="1424"/>
      <c r="AG41" s="1424"/>
      <c r="AL41" s="1424"/>
      <c r="AO41" s="476"/>
      <c r="AU41" s="1420"/>
      <c r="AV41" s="1420"/>
      <c r="AW41" s="1420"/>
      <c r="AX41" s="1420"/>
      <c r="AY41" s="1420"/>
      <c r="AZ41" s="1154">
        <v>23</v>
      </c>
    </row>
    <row r="42" spans="1:52" s="1154" customFormat="1" ht="24" customHeight="1">
      <c r="A42" s="839"/>
      <c r="C42" s="1424"/>
      <c r="D42" s="1828"/>
      <c r="E42" s="1452" t="s">
        <v>933</v>
      </c>
      <c r="F42" s="1836" t="s">
        <v>934</v>
      </c>
      <c r="G42" s="1827" t="s">
        <v>892</v>
      </c>
      <c r="H42" s="477"/>
      <c r="I42" s="477"/>
      <c r="J42" s="477"/>
      <c r="K42" s="477"/>
      <c r="L42" s="477"/>
      <c r="M42" s="477"/>
      <c r="N42" s="477"/>
      <c r="O42" s="477"/>
      <c r="P42" s="477"/>
      <c r="Q42" s="477"/>
      <c r="R42" s="477"/>
      <c r="S42" s="477"/>
      <c r="T42" s="477"/>
      <c r="U42" s="477"/>
      <c r="V42" s="477"/>
      <c r="W42" s="477"/>
      <c r="X42" s="477"/>
      <c r="Y42" s="477"/>
      <c r="Z42" s="477"/>
      <c r="AA42" s="477"/>
      <c r="AB42" s="477"/>
      <c r="AC42" s="477"/>
      <c r="AD42" s="1834" t="s">
        <v>935</v>
      </c>
      <c r="AE42" s="475"/>
      <c r="AF42" s="1424"/>
      <c r="AG42" s="1424"/>
      <c r="AL42" s="1424"/>
      <c r="AO42" s="476"/>
      <c r="AU42" s="1420"/>
      <c r="AV42" s="1420"/>
      <c r="AW42" s="1420"/>
      <c r="AX42" s="1420"/>
      <c r="AY42" s="1420"/>
      <c r="AZ42" s="1154">
        <v>23</v>
      </c>
    </row>
    <row r="43" spans="1:52" ht="11.45" customHeight="1">
      <c r="D43" s="1426"/>
      <c r="AZ43" s="1419">
        <v>11</v>
      </c>
    </row>
    <row r="44" spans="1:52" ht="27.4" customHeight="1">
      <c r="D44" s="1426"/>
      <c r="E44" s="1041" t="s">
        <v>936</v>
      </c>
      <c r="F44" s="2394" t="s">
        <v>937</v>
      </c>
      <c r="G44" s="2394"/>
      <c r="H44" s="302"/>
      <c r="I44" s="302"/>
      <c r="J44" s="1474"/>
      <c r="K44" s="1474"/>
      <c r="L44" s="1474"/>
      <c r="M44" s="1474"/>
      <c r="N44" s="1474"/>
      <c r="O44" s="1474"/>
      <c r="P44" s="1474"/>
      <c r="Q44" s="1474"/>
      <c r="R44" s="1474"/>
      <c r="S44" s="1474"/>
      <c r="T44" s="1474"/>
      <c r="U44" s="1474"/>
      <c r="V44" s="1474"/>
      <c r="W44" s="1474"/>
      <c r="X44" s="1474"/>
      <c r="Y44" s="1474"/>
      <c r="Z44" s="1474"/>
      <c r="AA44" s="1474"/>
      <c r="AB44" s="1474"/>
      <c r="AC44" s="1474"/>
      <c r="AD44" s="302"/>
      <c r="AZ44" s="1419">
        <v>26</v>
      </c>
    </row>
    <row r="45" spans="1:52" s="1429" customFormat="1" ht="39.75" customHeight="1">
      <c r="A45" s="839"/>
      <c r="B45" s="1424"/>
      <c r="C45" s="1424"/>
      <c r="D45" s="284"/>
      <c r="F45" s="2394" t="s">
        <v>938</v>
      </c>
      <c r="G45" s="2394"/>
      <c r="H45" s="302"/>
      <c r="I45" s="302"/>
      <c r="J45" s="1474"/>
      <c r="K45" s="1474"/>
      <c r="L45" s="1474"/>
      <c r="M45" s="1474"/>
      <c r="N45" s="1474"/>
      <c r="O45" s="1474"/>
      <c r="P45" s="1474"/>
      <c r="Q45" s="1474"/>
      <c r="R45" s="1474"/>
      <c r="S45" s="1474"/>
      <c r="T45" s="1474"/>
      <c r="U45" s="1474"/>
      <c r="V45" s="1474"/>
      <c r="W45" s="1474"/>
      <c r="X45" s="1474"/>
      <c r="Y45" s="1474"/>
      <c r="Z45" s="1474"/>
      <c r="AA45" s="1474"/>
      <c r="AB45" s="1474"/>
      <c r="AC45" s="1474"/>
      <c r="AD45" s="302"/>
      <c r="AE45" s="961"/>
      <c r="AF45" s="1424"/>
      <c r="AG45" s="1424"/>
      <c r="AH45" s="961"/>
      <c r="AI45" s="961"/>
      <c r="AJ45" s="961"/>
      <c r="AK45" s="961"/>
      <c r="AL45" s="1424"/>
      <c r="AM45" s="961"/>
      <c r="AN45" s="961"/>
      <c r="AO45" s="476"/>
      <c r="AP45" s="961"/>
      <c r="AQ45" s="961"/>
      <c r="AR45" s="961"/>
      <c r="AS45" s="961"/>
      <c r="AT45" s="961"/>
      <c r="AU45" s="1420"/>
      <c r="AV45" s="498"/>
      <c r="AW45" s="498"/>
      <c r="AX45" s="498"/>
      <c r="AY45" s="498"/>
      <c r="AZ45" s="1429">
        <v>38</v>
      </c>
    </row>
    <row r="46" spans="1:52" s="1429" customFormat="1" ht="11.45" customHeight="1">
      <c r="A46" s="839"/>
      <c r="B46" s="1424"/>
      <c r="C46" s="1424"/>
      <c r="D46" s="284"/>
      <c r="AE46" s="961"/>
      <c r="AF46" s="1424"/>
      <c r="AG46" s="1424"/>
      <c r="AH46" s="961"/>
      <c r="AI46" s="961"/>
      <c r="AJ46" s="961"/>
      <c r="AK46" s="961"/>
      <c r="AL46" s="1424"/>
      <c r="AM46" s="961"/>
      <c r="AN46" s="961"/>
      <c r="AO46" s="476"/>
      <c r="AP46" s="961"/>
      <c r="AQ46" s="961"/>
      <c r="AR46" s="961"/>
      <c r="AS46" s="961"/>
      <c r="AT46" s="961"/>
      <c r="AU46" s="1420"/>
      <c r="AV46" s="498"/>
      <c r="AW46" s="498"/>
      <c r="AX46" s="498"/>
      <c r="AY46" s="498"/>
      <c r="AZ46" s="1429">
        <v>11</v>
      </c>
    </row>
    <row r="47" spans="1:52" s="1429" customFormat="1" ht="11.45" customHeight="1">
      <c r="A47" s="839"/>
      <c r="B47" s="1424"/>
      <c r="C47" s="1424"/>
      <c r="D47" s="284"/>
      <c r="AE47" s="961"/>
      <c r="AF47" s="1424"/>
      <c r="AG47" s="1424"/>
      <c r="AH47" s="961"/>
      <c r="AI47" s="961"/>
      <c r="AJ47" s="961"/>
      <c r="AK47" s="961"/>
      <c r="AL47" s="1424"/>
      <c r="AM47" s="961"/>
      <c r="AN47" s="961"/>
      <c r="AO47" s="476"/>
      <c r="AP47" s="961"/>
      <c r="AQ47" s="961"/>
      <c r="AR47" s="961"/>
      <c r="AS47" s="961"/>
      <c r="AT47" s="961"/>
      <c r="AU47" s="1420"/>
      <c r="AV47" s="498"/>
      <c r="AW47" s="498"/>
      <c r="AX47" s="498"/>
      <c r="AY47" s="498"/>
      <c r="AZ47" s="1429">
        <v>11</v>
      </c>
    </row>
    <row r="48" spans="1:52" s="1429" customFormat="1" ht="11.45" customHeight="1">
      <c r="A48" s="839"/>
      <c r="B48" s="1424"/>
      <c r="C48" s="1424"/>
      <c r="D48" s="284"/>
      <c r="H48" s="498"/>
      <c r="I48" s="498"/>
      <c r="J48" s="553"/>
      <c r="K48" s="553"/>
      <c r="L48" s="553"/>
      <c r="M48" s="553"/>
      <c r="N48" s="553"/>
      <c r="O48" s="553"/>
      <c r="P48" s="553"/>
      <c r="Q48" s="553"/>
      <c r="R48" s="553"/>
      <c r="S48" s="553"/>
      <c r="T48" s="553"/>
      <c r="U48" s="553"/>
      <c r="V48" s="553"/>
      <c r="W48" s="553"/>
      <c r="X48" s="553"/>
      <c r="Y48" s="553"/>
      <c r="Z48" s="553"/>
      <c r="AA48" s="553"/>
      <c r="AB48" s="553"/>
      <c r="AC48" s="553"/>
      <c r="AE48" s="961"/>
      <c r="AF48" s="1424"/>
      <c r="AG48" s="1424"/>
      <c r="AH48" s="961"/>
      <c r="AI48" s="961"/>
      <c r="AJ48" s="961"/>
      <c r="AK48" s="961"/>
      <c r="AL48" s="1424"/>
      <c r="AM48" s="961"/>
      <c r="AN48" s="961"/>
      <c r="AO48" s="476"/>
      <c r="AP48" s="961"/>
      <c r="AQ48" s="961"/>
      <c r="AR48" s="961"/>
      <c r="AS48" s="961"/>
      <c r="AT48" s="961"/>
      <c r="AU48" s="1420"/>
      <c r="AV48" s="498"/>
      <c r="AW48" s="498"/>
      <c r="AX48" s="498"/>
      <c r="AY48" s="498"/>
      <c r="AZ48" s="1429">
        <v>11</v>
      </c>
    </row>
    <row r="49" spans="1:52" s="1429" customFormat="1" ht="11.45" customHeight="1">
      <c r="A49" s="839"/>
      <c r="B49" s="1424"/>
      <c r="C49" s="1424"/>
      <c r="D49" s="284"/>
      <c r="AE49" s="961"/>
      <c r="AF49" s="1424"/>
      <c r="AG49" s="1424"/>
      <c r="AH49" s="961"/>
      <c r="AI49" s="961"/>
      <c r="AJ49" s="961"/>
      <c r="AK49" s="961"/>
      <c r="AL49" s="1424"/>
      <c r="AM49" s="961"/>
      <c r="AN49" s="961"/>
      <c r="AO49" s="476"/>
      <c r="AP49" s="961"/>
      <c r="AQ49" s="961"/>
      <c r="AR49" s="961"/>
      <c r="AS49" s="961"/>
      <c r="AT49" s="961"/>
      <c r="AU49" s="1420"/>
      <c r="AV49" s="498"/>
      <c r="AW49" s="498"/>
      <c r="AX49" s="498"/>
      <c r="AY49" s="498"/>
      <c r="AZ49" s="1429">
        <v>11</v>
      </c>
    </row>
    <row r="50" spans="1:52" s="1429" customFormat="1" ht="11.45" customHeight="1">
      <c r="A50" s="839"/>
      <c r="B50" s="1424"/>
      <c r="C50" s="1424"/>
      <c r="D50" s="284"/>
      <c r="AE50" s="961"/>
      <c r="AF50" s="1424"/>
      <c r="AG50" s="1424"/>
      <c r="AH50" s="961"/>
      <c r="AI50" s="961"/>
      <c r="AJ50" s="961"/>
      <c r="AK50" s="961"/>
      <c r="AL50" s="1424"/>
      <c r="AM50" s="961"/>
      <c r="AN50" s="961"/>
      <c r="AO50" s="476"/>
      <c r="AP50" s="961"/>
      <c r="AQ50" s="961"/>
      <c r="AR50" s="961"/>
      <c r="AS50" s="961"/>
      <c r="AT50" s="961"/>
      <c r="AU50" s="1420"/>
      <c r="AV50" s="498"/>
      <c r="AW50" s="498"/>
      <c r="AX50" s="498"/>
      <c r="AY50" s="498"/>
      <c r="AZ50" s="1429">
        <v>11</v>
      </c>
    </row>
    <row r="51" spans="1:52" s="1429" customFormat="1" ht="11.45" customHeight="1">
      <c r="A51" s="839"/>
      <c r="B51" s="1424"/>
      <c r="C51" s="1424"/>
      <c r="D51" s="284"/>
      <c r="AE51" s="961"/>
      <c r="AF51" s="1424"/>
      <c r="AG51" s="1424"/>
      <c r="AH51" s="961"/>
      <c r="AI51" s="961"/>
      <c r="AJ51" s="961"/>
      <c r="AK51" s="961"/>
      <c r="AL51" s="1424"/>
      <c r="AM51" s="961"/>
      <c r="AN51" s="961"/>
      <c r="AO51" s="476"/>
      <c r="AP51" s="961"/>
      <c r="AQ51" s="961"/>
      <c r="AR51" s="961"/>
      <c r="AS51" s="961"/>
      <c r="AT51" s="961"/>
      <c r="AU51" s="1420"/>
      <c r="AV51" s="498"/>
      <c r="AW51" s="498"/>
      <c r="AX51" s="498"/>
      <c r="AY51" s="498"/>
      <c r="AZ51" s="1429">
        <v>11</v>
      </c>
    </row>
    <row r="52" spans="1:52" s="1429" customFormat="1" ht="11.45" customHeight="1">
      <c r="A52" s="839"/>
      <c r="B52" s="1424"/>
      <c r="C52" s="1424"/>
      <c r="D52" s="284"/>
      <c r="AE52" s="961"/>
      <c r="AF52" s="1424"/>
      <c r="AG52" s="1424"/>
      <c r="AH52" s="961"/>
      <c r="AI52" s="961"/>
      <c r="AJ52" s="961"/>
      <c r="AK52" s="961"/>
      <c r="AL52" s="1424"/>
      <c r="AM52" s="961"/>
      <c r="AN52" s="961"/>
      <c r="AO52" s="476"/>
      <c r="AP52" s="961"/>
      <c r="AQ52" s="961"/>
      <c r="AR52" s="961"/>
      <c r="AS52" s="961"/>
      <c r="AT52" s="961"/>
      <c r="AU52" s="1420"/>
      <c r="AV52" s="498"/>
      <c r="AW52" s="498"/>
      <c r="AX52" s="498"/>
      <c r="AY52" s="498"/>
      <c r="AZ52" s="1429">
        <v>11</v>
      </c>
    </row>
    <row r="53" spans="1:52" s="1429" customFormat="1" ht="11.45" customHeight="1">
      <c r="A53" s="839"/>
      <c r="B53" s="1424"/>
      <c r="C53" s="1424"/>
      <c r="D53" s="284"/>
      <c r="AE53" s="961"/>
      <c r="AF53" s="1424"/>
      <c r="AG53" s="1424"/>
      <c r="AH53" s="961"/>
      <c r="AI53" s="961"/>
      <c r="AJ53" s="961"/>
      <c r="AK53" s="961"/>
      <c r="AL53" s="1424"/>
      <c r="AM53" s="961"/>
      <c r="AN53" s="961"/>
      <c r="AO53" s="476"/>
      <c r="AP53" s="961"/>
      <c r="AQ53" s="961"/>
      <c r="AR53" s="961"/>
      <c r="AS53" s="961"/>
      <c r="AT53" s="961"/>
      <c r="AU53" s="1420"/>
      <c r="AV53" s="498"/>
      <c r="AW53" s="498"/>
      <c r="AX53" s="498"/>
      <c r="AY53" s="498"/>
      <c r="AZ53" s="1429">
        <v>11</v>
      </c>
    </row>
    <row r="54" spans="1:52" s="1429" customFormat="1" ht="11.45" customHeight="1">
      <c r="A54" s="839"/>
      <c r="B54" s="1424"/>
      <c r="C54" s="1424"/>
      <c r="D54" s="284"/>
      <c r="AE54" s="961"/>
      <c r="AF54" s="1424"/>
      <c r="AG54" s="1424"/>
      <c r="AH54" s="961"/>
      <c r="AI54" s="961"/>
      <c r="AJ54" s="961"/>
      <c r="AK54" s="961"/>
      <c r="AL54" s="1424"/>
      <c r="AM54" s="961"/>
      <c r="AN54" s="961"/>
      <c r="AO54" s="476"/>
      <c r="AP54" s="961"/>
      <c r="AQ54" s="961"/>
      <c r="AR54" s="961"/>
      <c r="AS54" s="961"/>
      <c r="AT54" s="961"/>
      <c r="AU54" s="1420"/>
      <c r="AV54" s="498"/>
      <c r="AW54" s="498"/>
      <c r="AX54" s="498"/>
      <c r="AY54" s="498"/>
      <c r="AZ54" s="1429">
        <v>11</v>
      </c>
    </row>
    <row r="55" spans="1:52" s="1429" customFormat="1" ht="11.45" customHeight="1">
      <c r="A55" s="839"/>
      <c r="B55" s="1424"/>
      <c r="C55" s="1424"/>
      <c r="D55" s="284"/>
      <c r="AE55" s="961"/>
      <c r="AF55" s="1424"/>
      <c r="AG55" s="1424"/>
      <c r="AH55" s="961"/>
      <c r="AI55" s="961"/>
      <c r="AJ55" s="961"/>
      <c r="AK55" s="961"/>
      <c r="AL55" s="1424"/>
      <c r="AM55" s="961"/>
      <c r="AN55" s="961"/>
      <c r="AO55" s="476"/>
      <c r="AP55" s="961"/>
      <c r="AQ55" s="961"/>
      <c r="AR55" s="961"/>
      <c r="AS55" s="961"/>
      <c r="AT55" s="961"/>
      <c r="AU55" s="1420"/>
      <c r="AV55" s="498"/>
      <c r="AW55" s="498"/>
      <c r="AX55" s="498"/>
      <c r="AY55" s="498"/>
      <c r="AZ55" s="1429">
        <v>11</v>
      </c>
    </row>
    <row r="56" spans="1:52" s="1429" customFormat="1" ht="11.45" customHeight="1">
      <c r="A56" s="839"/>
      <c r="B56" s="1424"/>
      <c r="C56" s="1424"/>
      <c r="D56" s="284"/>
      <c r="AE56" s="961"/>
      <c r="AF56" s="1424"/>
      <c r="AG56" s="1424"/>
      <c r="AH56" s="961"/>
      <c r="AI56" s="961"/>
      <c r="AJ56" s="961"/>
      <c r="AK56" s="961"/>
      <c r="AL56" s="1424"/>
      <c r="AM56" s="961"/>
      <c r="AN56" s="961"/>
      <c r="AO56" s="476"/>
      <c r="AP56" s="961"/>
      <c r="AQ56" s="961"/>
      <c r="AR56" s="961"/>
      <c r="AS56" s="961"/>
      <c r="AT56" s="961"/>
      <c r="AU56" s="1420"/>
      <c r="AV56" s="498"/>
      <c r="AW56" s="498"/>
      <c r="AX56" s="498"/>
      <c r="AY56" s="498"/>
      <c r="AZ56" s="1429">
        <v>11</v>
      </c>
    </row>
    <row r="57" spans="1:52" s="1429" customFormat="1" ht="11.45" customHeight="1">
      <c r="A57" s="839"/>
      <c r="B57" s="1424"/>
      <c r="C57" s="1424"/>
      <c r="D57" s="284"/>
      <c r="AE57" s="961"/>
      <c r="AF57" s="1424"/>
      <c r="AG57" s="1424"/>
      <c r="AH57" s="961"/>
      <c r="AI57" s="961"/>
      <c r="AJ57" s="961"/>
      <c r="AK57" s="961"/>
      <c r="AL57" s="1424"/>
      <c r="AM57" s="961"/>
      <c r="AN57" s="961"/>
      <c r="AO57" s="476"/>
      <c r="AP57" s="961"/>
      <c r="AQ57" s="961"/>
      <c r="AR57" s="961"/>
      <c r="AS57" s="961"/>
      <c r="AT57" s="961"/>
      <c r="AU57" s="1420"/>
      <c r="AV57" s="498"/>
      <c r="AW57" s="498"/>
      <c r="AX57" s="498"/>
      <c r="AY57" s="498"/>
      <c r="AZ57" s="1429">
        <v>11</v>
      </c>
    </row>
    <row r="58" spans="1:52" s="1429" customFormat="1" ht="11.45" customHeight="1">
      <c r="A58" s="839"/>
      <c r="B58" s="1424"/>
      <c r="C58" s="1424"/>
      <c r="D58" s="284"/>
      <c r="AE58" s="961"/>
      <c r="AF58" s="1424"/>
      <c r="AG58" s="1424"/>
      <c r="AH58" s="961"/>
      <c r="AI58" s="961"/>
      <c r="AJ58" s="961"/>
      <c r="AK58" s="961"/>
      <c r="AL58" s="1424"/>
      <c r="AM58" s="961"/>
      <c r="AN58" s="961"/>
      <c r="AO58" s="476"/>
      <c r="AP58" s="961"/>
      <c r="AQ58" s="961"/>
      <c r="AR58" s="961"/>
      <c r="AS58" s="961"/>
      <c r="AT58" s="961"/>
      <c r="AU58" s="1420"/>
      <c r="AV58" s="498"/>
      <c r="AW58" s="498"/>
      <c r="AX58" s="498"/>
      <c r="AY58" s="498"/>
      <c r="AZ58" s="1429">
        <v>11</v>
      </c>
    </row>
    <row r="59" spans="1:52" s="1429" customFormat="1" ht="11.45" customHeight="1">
      <c r="A59" s="839"/>
      <c r="B59" s="1424"/>
      <c r="C59" s="1424"/>
      <c r="D59" s="284"/>
      <c r="AE59" s="961"/>
      <c r="AF59" s="1424"/>
      <c r="AG59" s="1424"/>
      <c r="AH59" s="961"/>
      <c r="AI59" s="961"/>
      <c r="AJ59" s="961"/>
      <c r="AK59" s="961"/>
      <c r="AL59" s="1424"/>
      <c r="AM59" s="961"/>
      <c r="AN59" s="961"/>
      <c r="AO59" s="476"/>
      <c r="AP59" s="961"/>
      <c r="AQ59" s="961"/>
      <c r="AR59" s="961"/>
      <c r="AS59" s="961"/>
      <c r="AT59" s="961"/>
      <c r="AU59" s="1420"/>
      <c r="AV59" s="498"/>
      <c r="AW59" s="498"/>
      <c r="AX59" s="498"/>
      <c r="AY59" s="498"/>
      <c r="AZ59" s="1429">
        <v>11</v>
      </c>
    </row>
    <row r="60" spans="1:52" s="1429" customFormat="1" ht="11.45" customHeight="1">
      <c r="A60" s="839"/>
      <c r="B60" s="1424"/>
      <c r="C60" s="1424"/>
      <c r="D60" s="284"/>
      <c r="AE60" s="961"/>
      <c r="AF60" s="1424"/>
      <c r="AG60" s="1424"/>
      <c r="AH60" s="961"/>
      <c r="AI60" s="961"/>
      <c r="AJ60" s="961"/>
      <c r="AK60" s="961"/>
      <c r="AL60" s="1424"/>
      <c r="AM60" s="961"/>
      <c r="AN60" s="961"/>
      <c r="AO60" s="476"/>
      <c r="AP60" s="961"/>
      <c r="AQ60" s="961"/>
      <c r="AR60" s="961"/>
      <c r="AS60" s="961"/>
      <c r="AT60" s="961"/>
      <c r="AU60" s="1420"/>
      <c r="AV60" s="498"/>
      <c r="AW60" s="498"/>
      <c r="AX60" s="498"/>
      <c r="AY60" s="498"/>
      <c r="AZ60" s="1429">
        <v>11</v>
      </c>
    </row>
    <row r="61" spans="1:52" s="1429" customFormat="1" ht="11.45" customHeight="1">
      <c r="A61" s="839"/>
      <c r="B61" s="1424"/>
      <c r="C61" s="1424"/>
      <c r="D61" s="284"/>
      <c r="AE61" s="961"/>
      <c r="AF61" s="1424"/>
      <c r="AG61" s="1424"/>
      <c r="AH61" s="961"/>
      <c r="AI61" s="961"/>
      <c r="AJ61" s="961"/>
      <c r="AK61" s="961"/>
      <c r="AL61" s="1424"/>
      <c r="AM61" s="961"/>
      <c r="AN61" s="961"/>
      <c r="AO61" s="476"/>
      <c r="AP61" s="961"/>
      <c r="AQ61" s="961"/>
      <c r="AR61" s="961"/>
      <c r="AS61" s="961"/>
      <c r="AT61" s="961"/>
      <c r="AU61" s="1420"/>
      <c r="AV61" s="498"/>
      <c r="AW61" s="498"/>
      <c r="AX61" s="498"/>
      <c r="AY61" s="498"/>
      <c r="AZ61" s="1429">
        <v>11</v>
      </c>
    </row>
    <row r="62" spans="1:52" s="1429" customFormat="1" ht="11.45" customHeight="1">
      <c r="A62" s="839"/>
      <c r="B62" s="1424"/>
      <c r="C62" s="1424"/>
      <c r="D62" s="284"/>
      <c r="AE62" s="961"/>
      <c r="AF62" s="1424"/>
      <c r="AG62" s="1424"/>
      <c r="AH62" s="961"/>
      <c r="AI62" s="961"/>
      <c r="AJ62" s="961"/>
      <c r="AK62" s="961"/>
      <c r="AL62" s="1424"/>
      <c r="AM62" s="961"/>
      <c r="AN62" s="961"/>
      <c r="AO62" s="476"/>
      <c r="AP62" s="961"/>
      <c r="AQ62" s="961"/>
      <c r="AR62" s="961"/>
      <c r="AS62" s="961"/>
      <c r="AT62" s="961"/>
      <c r="AU62" s="1420"/>
      <c r="AV62" s="498"/>
      <c r="AW62" s="498"/>
      <c r="AX62" s="498"/>
      <c r="AY62" s="498"/>
      <c r="AZ62" s="1429">
        <v>11</v>
      </c>
    </row>
    <row r="63" spans="1:52" s="1429" customFormat="1" ht="11.45" customHeight="1">
      <c r="A63" s="839"/>
      <c r="B63" s="1424"/>
      <c r="C63" s="1424"/>
      <c r="D63" s="284"/>
      <c r="AE63" s="961"/>
      <c r="AF63" s="1424"/>
      <c r="AG63" s="1424"/>
      <c r="AH63" s="961"/>
      <c r="AI63" s="961"/>
      <c r="AJ63" s="961"/>
      <c r="AK63" s="961"/>
      <c r="AL63" s="1424"/>
      <c r="AM63" s="961"/>
      <c r="AN63" s="961"/>
      <c r="AO63" s="476"/>
      <c r="AP63" s="961"/>
      <c r="AQ63" s="961"/>
      <c r="AR63" s="961"/>
      <c r="AS63" s="961"/>
      <c r="AT63" s="961"/>
      <c r="AU63" s="1420"/>
      <c r="AV63" s="498"/>
      <c r="AW63" s="498"/>
      <c r="AX63" s="498"/>
      <c r="AY63" s="498"/>
      <c r="AZ63" s="1429">
        <v>11</v>
      </c>
    </row>
    <row r="64" spans="1:52" s="1429" customFormat="1" ht="11.45" customHeight="1">
      <c r="A64" s="839"/>
      <c r="B64" s="1424"/>
      <c r="C64" s="1424"/>
      <c r="D64" s="284"/>
      <c r="AE64" s="961"/>
      <c r="AF64" s="1424"/>
      <c r="AG64" s="1424"/>
      <c r="AH64" s="961"/>
      <c r="AI64" s="961"/>
      <c r="AJ64" s="961"/>
      <c r="AK64" s="961"/>
      <c r="AL64" s="1424"/>
      <c r="AM64" s="961"/>
      <c r="AN64" s="961"/>
      <c r="AO64" s="476"/>
      <c r="AP64" s="961"/>
      <c r="AQ64" s="961"/>
      <c r="AR64" s="961"/>
      <c r="AS64" s="961"/>
      <c r="AT64" s="961"/>
      <c r="AU64" s="1420"/>
      <c r="AV64" s="498"/>
      <c r="AW64" s="498"/>
      <c r="AX64" s="498"/>
      <c r="AY64" s="498"/>
      <c r="AZ64" s="1429">
        <v>11</v>
      </c>
    </row>
    <row r="65" spans="1:52" s="1429" customFormat="1" ht="11.45" customHeight="1">
      <c r="A65" s="839"/>
      <c r="B65" s="1424"/>
      <c r="C65" s="1424"/>
      <c r="D65" s="284"/>
      <c r="AE65" s="961"/>
      <c r="AF65" s="1424"/>
      <c r="AG65" s="1424"/>
      <c r="AH65" s="961"/>
      <c r="AI65" s="961"/>
      <c r="AJ65" s="961"/>
      <c r="AK65" s="961"/>
      <c r="AL65" s="1424"/>
      <c r="AM65" s="961"/>
      <c r="AN65" s="961"/>
      <c r="AO65" s="476"/>
      <c r="AP65" s="961"/>
      <c r="AQ65" s="961"/>
      <c r="AR65" s="961"/>
      <c r="AS65" s="961"/>
      <c r="AT65" s="961"/>
      <c r="AU65" s="1420"/>
      <c r="AV65" s="498"/>
      <c r="AW65" s="498"/>
      <c r="AX65" s="498"/>
      <c r="AY65" s="498"/>
      <c r="AZ65" s="1429">
        <v>11</v>
      </c>
    </row>
    <row r="66" spans="1:52" s="1429" customFormat="1" ht="11.45" customHeight="1">
      <c r="A66" s="839"/>
      <c r="B66" s="1424"/>
      <c r="C66" s="1424"/>
      <c r="D66" s="284"/>
      <c r="AE66" s="961"/>
      <c r="AF66" s="1424"/>
      <c r="AG66" s="1424"/>
      <c r="AH66" s="961"/>
      <c r="AI66" s="961"/>
      <c r="AJ66" s="961"/>
      <c r="AK66" s="961"/>
      <c r="AL66" s="1424"/>
      <c r="AM66" s="961"/>
      <c r="AN66" s="961"/>
      <c r="AO66" s="476"/>
      <c r="AP66" s="961"/>
      <c r="AQ66" s="961"/>
      <c r="AR66" s="961"/>
      <c r="AS66" s="961"/>
      <c r="AT66" s="961"/>
      <c r="AU66" s="1420"/>
      <c r="AV66" s="498"/>
      <c r="AW66" s="498"/>
      <c r="AX66" s="498"/>
      <c r="AY66" s="498"/>
      <c r="AZ66" s="1429">
        <v>11</v>
      </c>
    </row>
    <row r="67" spans="1:52" s="1429" customFormat="1" ht="11.45" customHeight="1">
      <c r="A67" s="839"/>
      <c r="B67" s="1424"/>
      <c r="C67" s="1424"/>
      <c r="D67" s="284"/>
      <c r="AE67" s="961"/>
      <c r="AF67" s="1424"/>
      <c r="AG67" s="1424"/>
      <c r="AH67" s="961"/>
      <c r="AI67" s="961"/>
      <c r="AJ67" s="961"/>
      <c r="AK67" s="961"/>
      <c r="AL67" s="1424"/>
      <c r="AM67" s="961"/>
      <c r="AN67" s="961"/>
      <c r="AO67" s="476"/>
      <c r="AP67" s="961"/>
      <c r="AQ67" s="961"/>
      <c r="AR67" s="961"/>
      <c r="AS67" s="961"/>
      <c r="AT67" s="961"/>
      <c r="AU67" s="1420"/>
      <c r="AV67" s="498"/>
      <c r="AW67" s="498"/>
      <c r="AX67" s="498"/>
      <c r="AY67" s="498"/>
      <c r="AZ67" s="1429">
        <v>11</v>
      </c>
    </row>
    <row r="68" spans="1:52" s="1429" customFormat="1" ht="11.45" customHeight="1">
      <c r="A68" s="839"/>
      <c r="B68" s="1424"/>
      <c r="C68" s="1424"/>
      <c r="D68" s="284"/>
      <c r="AE68" s="961"/>
      <c r="AF68" s="1424"/>
      <c r="AG68" s="1424"/>
      <c r="AH68" s="961"/>
      <c r="AI68" s="961"/>
      <c r="AJ68" s="961"/>
      <c r="AK68" s="961"/>
      <c r="AL68" s="1424"/>
      <c r="AM68" s="961"/>
      <c r="AN68" s="961"/>
      <c r="AO68" s="476"/>
      <c r="AP68" s="961"/>
      <c r="AQ68" s="961"/>
      <c r="AR68" s="961"/>
      <c r="AS68" s="961"/>
      <c r="AT68" s="961"/>
      <c r="AU68" s="1420"/>
      <c r="AV68" s="498"/>
      <c r="AW68" s="498"/>
      <c r="AX68" s="498"/>
      <c r="AY68" s="498"/>
      <c r="AZ68" s="1429">
        <v>11</v>
      </c>
    </row>
    <row r="69" spans="1:52" s="1429" customFormat="1" ht="11.45" customHeight="1">
      <c r="A69" s="839"/>
      <c r="B69" s="1424"/>
      <c r="C69" s="1424"/>
      <c r="D69" s="284"/>
      <c r="AE69" s="961"/>
      <c r="AF69" s="1424"/>
      <c r="AG69" s="1424"/>
      <c r="AH69" s="961"/>
      <c r="AI69" s="961"/>
      <c r="AJ69" s="961"/>
      <c r="AK69" s="961"/>
      <c r="AL69" s="1424"/>
      <c r="AM69" s="961"/>
      <c r="AN69" s="961"/>
      <c r="AO69" s="476"/>
      <c r="AP69" s="961"/>
      <c r="AQ69" s="961"/>
      <c r="AR69" s="961"/>
      <c r="AS69" s="961"/>
      <c r="AT69" s="961"/>
      <c r="AU69" s="1420"/>
      <c r="AV69" s="498"/>
      <c r="AW69" s="498"/>
      <c r="AX69" s="498"/>
      <c r="AY69" s="498"/>
      <c r="AZ69" s="1429">
        <v>11</v>
      </c>
    </row>
    <row r="70" spans="1:52" s="1429" customFormat="1" ht="11.45" customHeight="1">
      <c r="A70" s="839"/>
      <c r="B70" s="1424"/>
      <c r="C70" s="1424"/>
      <c r="D70" s="284"/>
      <c r="AE70" s="961"/>
      <c r="AF70" s="1424"/>
      <c r="AG70" s="1424"/>
      <c r="AH70" s="961"/>
      <c r="AI70" s="961"/>
      <c r="AJ70" s="961"/>
      <c r="AK70" s="961"/>
      <c r="AL70" s="1424"/>
      <c r="AM70" s="961"/>
      <c r="AN70" s="961"/>
      <c r="AO70" s="476"/>
      <c r="AP70" s="961"/>
      <c r="AQ70" s="961"/>
      <c r="AR70" s="961"/>
      <c r="AS70" s="961"/>
      <c r="AT70" s="961"/>
      <c r="AU70" s="1420"/>
      <c r="AV70" s="498"/>
      <c r="AW70" s="498"/>
      <c r="AX70" s="498"/>
      <c r="AY70" s="498"/>
      <c r="AZ70" s="1429">
        <v>11</v>
      </c>
    </row>
    <row r="71" spans="1:52" s="1429" customFormat="1" ht="11.45" customHeight="1">
      <c r="A71" s="839"/>
      <c r="B71" s="1424"/>
      <c r="C71" s="1424"/>
      <c r="D71" s="284"/>
      <c r="AE71" s="961"/>
      <c r="AF71" s="1424"/>
      <c r="AG71" s="1424"/>
      <c r="AH71" s="961"/>
      <c r="AI71" s="961"/>
      <c r="AJ71" s="961"/>
      <c r="AK71" s="961"/>
      <c r="AL71" s="1424"/>
      <c r="AM71" s="961"/>
      <c r="AN71" s="961"/>
      <c r="AO71" s="476"/>
      <c r="AP71" s="961"/>
      <c r="AQ71" s="961"/>
      <c r="AR71" s="961"/>
      <c r="AS71" s="961"/>
      <c r="AT71" s="961"/>
      <c r="AU71" s="1420"/>
      <c r="AV71" s="498"/>
      <c r="AW71" s="498"/>
      <c r="AX71" s="498"/>
      <c r="AY71" s="498"/>
      <c r="AZ71" s="1429">
        <v>11</v>
      </c>
    </row>
    <row r="72" spans="1:52" s="1429" customFormat="1" ht="11.45" customHeight="1">
      <c r="A72" s="839"/>
      <c r="B72" s="1424"/>
      <c r="C72" s="1424"/>
      <c r="D72" s="284"/>
      <c r="AE72" s="961"/>
      <c r="AF72" s="1424"/>
      <c r="AG72" s="1424"/>
      <c r="AH72" s="961"/>
      <c r="AI72" s="961"/>
      <c r="AJ72" s="961"/>
      <c r="AK72" s="961"/>
      <c r="AL72" s="1424"/>
      <c r="AM72" s="961"/>
      <c r="AN72" s="961"/>
      <c r="AO72" s="476"/>
      <c r="AP72" s="961"/>
      <c r="AQ72" s="961"/>
      <c r="AR72" s="961"/>
      <c r="AS72" s="961"/>
      <c r="AT72" s="961"/>
      <c r="AU72" s="1420"/>
      <c r="AV72" s="498"/>
      <c r="AW72" s="498"/>
      <c r="AX72" s="498"/>
      <c r="AY72" s="498"/>
      <c r="AZ72" s="1429">
        <v>11</v>
      </c>
    </row>
    <row r="73" spans="1:52" s="1429" customFormat="1" ht="11.45" customHeight="1">
      <c r="A73" s="839"/>
      <c r="B73" s="1424"/>
      <c r="C73" s="1424"/>
      <c r="D73" s="284"/>
      <c r="AE73" s="961"/>
      <c r="AF73" s="1424"/>
      <c r="AG73" s="1424"/>
      <c r="AH73" s="961"/>
      <c r="AI73" s="961"/>
      <c r="AJ73" s="961"/>
      <c r="AK73" s="961"/>
      <c r="AL73" s="1424"/>
      <c r="AM73" s="961"/>
      <c r="AN73" s="961"/>
      <c r="AO73" s="476"/>
      <c r="AP73" s="961"/>
      <c r="AQ73" s="961"/>
      <c r="AR73" s="961"/>
      <c r="AS73" s="961"/>
      <c r="AT73" s="961"/>
      <c r="AU73" s="1420"/>
      <c r="AV73" s="498"/>
      <c r="AW73" s="498"/>
      <c r="AX73" s="498"/>
      <c r="AY73" s="498"/>
      <c r="AZ73" s="1429">
        <v>11</v>
      </c>
    </row>
    <row r="74" spans="1:52" s="1429" customFormat="1" ht="11.45" customHeight="1">
      <c r="A74" s="839"/>
      <c r="B74" s="1424"/>
      <c r="C74" s="1424"/>
      <c r="D74" s="284"/>
      <c r="AE74" s="961"/>
      <c r="AF74" s="1424"/>
      <c r="AG74" s="1424"/>
      <c r="AH74" s="961"/>
      <c r="AI74" s="961"/>
      <c r="AJ74" s="961"/>
      <c r="AK74" s="961"/>
      <c r="AL74" s="1424"/>
      <c r="AM74" s="961"/>
      <c r="AN74" s="961"/>
      <c r="AO74" s="476"/>
      <c r="AP74" s="961"/>
      <c r="AQ74" s="961"/>
      <c r="AR74" s="961"/>
      <c r="AS74" s="961"/>
      <c r="AT74" s="961"/>
      <c r="AU74" s="1420"/>
      <c r="AV74" s="498"/>
      <c r="AW74" s="498"/>
      <c r="AX74" s="498"/>
      <c r="AY74" s="498"/>
      <c r="AZ74" s="1429">
        <v>11</v>
      </c>
    </row>
    <row r="75" spans="1:52" s="1429" customFormat="1" ht="11.45" customHeight="1">
      <c r="A75" s="839"/>
      <c r="B75" s="1424"/>
      <c r="C75" s="1424"/>
      <c r="D75" s="284"/>
      <c r="AE75" s="961"/>
      <c r="AF75" s="1424"/>
      <c r="AG75" s="1424"/>
      <c r="AH75" s="961"/>
      <c r="AI75" s="961"/>
      <c r="AJ75" s="961"/>
      <c r="AK75" s="961"/>
      <c r="AL75" s="1424"/>
      <c r="AM75" s="961"/>
      <c r="AN75" s="961"/>
      <c r="AO75" s="476"/>
      <c r="AP75" s="961"/>
      <c r="AQ75" s="961"/>
      <c r="AR75" s="961"/>
      <c r="AS75" s="961"/>
      <c r="AT75" s="961"/>
      <c r="AU75" s="1420"/>
      <c r="AV75" s="498"/>
      <c r="AW75" s="498"/>
      <c r="AX75" s="498"/>
      <c r="AY75" s="498"/>
      <c r="AZ75" s="1429">
        <v>11</v>
      </c>
    </row>
    <row r="76" spans="1:52" s="1429" customFormat="1" ht="11.45" customHeight="1">
      <c r="A76" s="839"/>
      <c r="B76" s="1424"/>
      <c r="C76" s="1424"/>
      <c r="D76" s="284"/>
      <c r="AE76" s="961"/>
      <c r="AF76" s="1424"/>
      <c r="AG76" s="1424"/>
      <c r="AH76" s="961"/>
      <c r="AI76" s="961"/>
      <c r="AJ76" s="961"/>
      <c r="AK76" s="961"/>
      <c r="AL76" s="1424"/>
      <c r="AM76" s="961"/>
      <c r="AN76" s="961"/>
      <c r="AO76" s="476"/>
      <c r="AP76" s="961"/>
      <c r="AQ76" s="961"/>
      <c r="AR76" s="961"/>
      <c r="AS76" s="961"/>
      <c r="AT76" s="961"/>
      <c r="AU76" s="1420"/>
      <c r="AV76" s="498"/>
      <c r="AW76" s="498"/>
      <c r="AX76" s="498"/>
      <c r="AY76" s="498"/>
      <c r="AZ76" s="1429">
        <v>11</v>
      </c>
    </row>
    <row r="77" spans="1:52" s="1429" customFormat="1" ht="11.45" customHeight="1">
      <c r="A77" s="839"/>
      <c r="B77" s="1424"/>
      <c r="C77" s="1424"/>
      <c r="D77" s="284"/>
      <c r="AE77" s="961"/>
      <c r="AF77" s="1424"/>
      <c r="AG77" s="1424"/>
      <c r="AH77" s="961"/>
      <c r="AI77" s="961"/>
      <c r="AJ77" s="961"/>
      <c r="AK77" s="961"/>
      <c r="AL77" s="1424"/>
      <c r="AM77" s="961"/>
      <c r="AN77" s="961"/>
      <c r="AO77" s="476"/>
      <c r="AP77" s="961"/>
      <c r="AQ77" s="961"/>
      <c r="AR77" s="961"/>
      <c r="AS77" s="961"/>
      <c r="AT77" s="961"/>
      <c r="AU77" s="1420"/>
      <c r="AV77" s="498"/>
      <c r="AW77" s="498"/>
      <c r="AX77" s="498"/>
      <c r="AY77" s="498"/>
      <c r="AZ77" s="1429">
        <v>11</v>
      </c>
    </row>
    <row r="78" spans="1:52" s="1429" customFormat="1" ht="11.45" customHeight="1">
      <c r="A78" s="839"/>
      <c r="B78" s="1424"/>
      <c r="C78" s="1424"/>
      <c r="D78" s="284"/>
      <c r="AE78" s="961"/>
      <c r="AF78" s="1424"/>
      <c r="AG78" s="1424"/>
      <c r="AH78" s="961"/>
      <c r="AI78" s="961"/>
      <c r="AJ78" s="961"/>
      <c r="AK78" s="961"/>
      <c r="AL78" s="1424"/>
      <c r="AM78" s="961"/>
      <c r="AN78" s="961"/>
      <c r="AO78" s="476"/>
      <c r="AP78" s="961"/>
      <c r="AQ78" s="961"/>
      <c r="AR78" s="961"/>
      <c r="AS78" s="961"/>
      <c r="AT78" s="961"/>
      <c r="AU78" s="1420"/>
      <c r="AV78" s="498"/>
      <c r="AW78" s="498"/>
      <c r="AX78" s="498"/>
      <c r="AY78" s="498"/>
      <c r="AZ78" s="1429">
        <v>11</v>
      </c>
    </row>
    <row r="79" spans="1:52" s="1429" customFormat="1" ht="11.45" customHeight="1">
      <c r="A79" s="839"/>
      <c r="B79" s="1424"/>
      <c r="C79" s="1424"/>
      <c r="D79" s="284"/>
      <c r="AE79" s="961"/>
      <c r="AF79" s="1424"/>
      <c r="AG79" s="1424"/>
      <c r="AH79" s="961"/>
      <c r="AI79" s="961"/>
      <c r="AJ79" s="961"/>
      <c r="AK79" s="961"/>
      <c r="AL79" s="1424"/>
      <c r="AM79" s="961"/>
      <c r="AN79" s="961"/>
      <c r="AO79" s="476"/>
      <c r="AP79" s="961"/>
      <c r="AQ79" s="961"/>
      <c r="AR79" s="961"/>
      <c r="AS79" s="961"/>
      <c r="AT79" s="961"/>
      <c r="AU79" s="1420"/>
      <c r="AV79" s="498"/>
      <c r="AW79" s="498"/>
      <c r="AX79" s="498"/>
      <c r="AY79" s="498"/>
      <c r="AZ79" s="1429">
        <v>11</v>
      </c>
    </row>
    <row r="80" spans="1:52" s="1429" customFormat="1" ht="11.45" customHeight="1">
      <c r="A80" s="839"/>
      <c r="B80" s="1424"/>
      <c r="C80" s="1424"/>
      <c r="D80" s="284"/>
      <c r="AE80" s="961"/>
      <c r="AF80" s="1424"/>
      <c r="AG80" s="1424"/>
      <c r="AH80" s="961"/>
      <c r="AI80" s="961"/>
      <c r="AJ80" s="961"/>
      <c r="AK80" s="961"/>
      <c r="AL80" s="1424"/>
      <c r="AM80" s="961"/>
      <c r="AN80" s="961"/>
      <c r="AO80" s="476"/>
      <c r="AP80" s="961"/>
      <c r="AQ80" s="961"/>
      <c r="AR80" s="961"/>
      <c r="AS80" s="961"/>
      <c r="AT80" s="961"/>
      <c r="AU80" s="1420"/>
      <c r="AV80" s="498"/>
      <c r="AW80" s="498"/>
      <c r="AX80" s="498"/>
      <c r="AY80" s="498"/>
      <c r="AZ80" s="1429">
        <v>11</v>
      </c>
    </row>
    <row r="81" spans="1:52" s="1429" customFormat="1" ht="11.45" customHeight="1">
      <c r="A81" s="839"/>
      <c r="B81" s="1424"/>
      <c r="C81" s="1424"/>
      <c r="D81" s="284"/>
      <c r="AE81" s="961"/>
      <c r="AF81" s="1424"/>
      <c r="AG81" s="1424"/>
      <c r="AH81" s="961"/>
      <c r="AI81" s="961"/>
      <c r="AJ81" s="961"/>
      <c r="AK81" s="961"/>
      <c r="AL81" s="1424"/>
      <c r="AM81" s="961"/>
      <c r="AN81" s="961"/>
      <c r="AO81" s="476"/>
      <c r="AP81" s="961"/>
      <c r="AQ81" s="961"/>
      <c r="AR81" s="961"/>
      <c r="AS81" s="961"/>
      <c r="AT81" s="961"/>
      <c r="AU81" s="1420"/>
      <c r="AV81" s="498"/>
      <c r="AW81" s="498"/>
      <c r="AX81" s="498"/>
      <c r="AY81" s="498"/>
      <c r="AZ81" s="1429">
        <v>11</v>
      </c>
    </row>
    <row r="82" spans="1:52" s="1429" customFormat="1" ht="11.45" customHeight="1">
      <c r="A82" s="839"/>
      <c r="B82" s="1424"/>
      <c r="C82" s="1424"/>
      <c r="D82" s="284"/>
      <c r="AE82" s="961"/>
      <c r="AF82" s="1424"/>
      <c r="AG82" s="1424"/>
      <c r="AH82" s="961"/>
      <c r="AI82" s="961"/>
      <c r="AJ82" s="961"/>
      <c r="AK82" s="961"/>
      <c r="AL82" s="1424"/>
      <c r="AM82" s="961"/>
      <c r="AN82" s="961"/>
      <c r="AO82" s="476"/>
      <c r="AP82" s="961"/>
      <c r="AQ82" s="961"/>
      <c r="AR82" s="961"/>
      <c r="AS82" s="961"/>
      <c r="AT82" s="961"/>
      <c r="AU82" s="1420"/>
      <c r="AV82" s="498"/>
      <c r="AW82" s="498"/>
      <c r="AX82" s="498"/>
      <c r="AY82" s="498"/>
      <c r="AZ82" s="1429">
        <v>11</v>
      </c>
    </row>
    <row r="83" spans="1:52" s="1429" customFormat="1" ht="11.45" customHeight="1">
      <c r="A83" s="839"/>
      <c r="B83" s="1424"/>
      <c r="C83" s="1424"/>
      <c r="D83" s="284"/>
      <c r="AE83" s="961"/>
      <c r="AF83" s="1424"/>
      <c r="AG83" s="1424"/>
      <c r="AH83" s="961"/>
      <c r="AI83" s="961"/>
      <c r="AJ83" s="961"/>
      <c r="AK83" s="961"/>
      <c r="AL83" s="1424"/>
      <c r="AM83" s="961"/>
      <c r="AN83" s="961"/>
      <c r="AO83" s="476"/>
      <c r="AP83" s="961"/>
      <c r="AQ83" s="961"/>
      <c r="AR83" s="961"/>
      <c r="AS83" s="961"/>
      <c r="AT83" s="961"/>
      <c r="AU83" s="1420"/>
      <c r="AV83" s="498"/>
      <c r="AW83" s="498"/>
      <c r="AX83" s="498"/>
      <c r="AY83" s="498"/>
      <c r="AZ83" s="1429">
        <v>11</v>
      </c>
    </row>
    <row r="84" spans="1:52" s="1429" customFormat="1" ht="11.45" customHeight="1">
      <c r="A84" s="839"/>
      <c r="B84" s="1424"/>
      <c r="C84" s="1424"/>
      <c r="D84" s="284"/>
      <c r="AE84" s="961"/>
      <c r="AF84" s="1424"/>
      <c r="AG84" s="1424"/>
      <c r="AH84" s="961"/>
      <c r="AI84" s="961"/>
      <c r="AJ84" s="961"/>
      <c r="AK84" s="961"/>
      <c r="AL84" s="1424"/>
      <c r="AM84" s="961"/>
      <c r="AN84" s="961"/>
      <c r="AO84" s="476"/>
      <c r="AP84" s="961"/>
      <c r="AQ84" s="961"/>
      <c r="AR84" s="961"/>
      <c r="AS84" s="961"/>
      <c r="AT84" s="961"/>
      <c r="AU84" s="1420"/>
      <c r="AV84" s="498"/>
      <c r="AW84" s="498"/>
      <c r="AX84" s="498"/>
      <c r="AY84" s="498"/>
      <c r="AZ84" s="1429">
        <v>11</v>
      </c>
    </row>
    <row r="85" spans="1:52" s="1429" customFormat="1" ht="11.45" customHeight="1">
      <c r="A85" s="839"/>
      <c r="B85" s="1424"/>
      <c r="C85" s="1424"/>
      <c r="D85" s="284"/>
      <c r="AE85" s="961"/>
      <c r="AF85" s="1424"/>
      <c r="AG85" s="1424"/>
      <c r="AH85" s="961"/>
      <c r="AI85" s="961"/>
      <c r="AJ85" s="961"/>
      <c r="AK85" s="961"/>
      <c r="AL85" s="1424"/>
      <c r="AM85" s="961"/>
      <c r="AN85" s="961"/>
      <c r="AO85" s="476"/>
      <c r="AP85" s="961"/>
      <c r="AQ85" s="961"/>
      <c r="AR85" s="961"/>
      <c r="AS85" s="961"/>
      <c r="AT85" s="961"/>
      <c r="AU85" s="1420"/>
      <c r="AV85" s="498"/>
      <c r="AW85" s="498"/>
      <c r="AX85" s="498"/>
      <c r="AY85" s="498"/>
      <c r="AZ85" s="1429">
        <v>11</v>
      </c>
    </row>
    <row r="86" spans="1:52" s="1429" customFormat="1" ht="11.45" customHeight="1">
      <c r="A86" s="839"/>
      <c r="B86" s="1424"/>
      <c r="C86" s="1424"/>
      <c r="D86" s="284"/>
      <c r="AE86" s="961"/>
      <c r="AF86" s="1424"/>
      <c r="AG86" s="1424"/>
      <c r="AH86" s="961"/>
      <c r="AI86" s="961"/>
      <c r="AJ86" s="961"/>
      <c r="AK86" s="961"/>
      <c r="AL86" s="1424"/>
      <c r="AM86" s="961"/>
      <c r="AN86" s="961"/>
      <c r="AO86" s="476"/>
      <c r="AP86" s="961"/>
      <c r="AQ86" s="961"/>
      <c r="AR86" s="961"/>
      <c r="AS86" s="961"/>
      <c r="AT86" s="961"/>
      <c r="AU86" s="1420"/>
      <c r="AV86" s="498"/>
      <c r="AW86" s="498"/>
      <c r="AX86" s="498"/>
      <c r="AY86" s="498"/>
      <c r="AZ86" s="1429">
        <v>11</v>
      </c>
    </row>
    <row r="87" spans="1:52" s="1429" customFormat="1" ht="11.45" customHeight="1">
      <c r="A87" s="839"/>
      <c r="B87" s="1424"/>
      <c r="C87" s="1424"/>
      <c r="D87" s="284"/>
      <c r="AE87" s="961"/>
      <c r="AF87" s="1424"/>
      <c r="AG87" s="1424"/>
      <c r="AH87" s="961"/>
      <c r="AI87" s="961"/>
      <c r="AJ87" s="961"/>
      <c r="AK87" s="961"/>
      <c r="AL87" s="1424"/>
      <c r="AM87" s="961"/>
      <c r="AN87" s="961"/>
      <c r="AO87" s="476"/>
      <c r="AP87" s="961"/>
      <c r="AQ87" s="961"/>
      <c r="AR87" s="961"/>
      <c r="AS87" s="961"/>
      <c r="AT87" s="961"/>
      <c r="AU87" s="1420"/>
      <c r="AV87" s="498"/>
      <c r="AW87" s="498"/>
      <c r="AX87" s="498"/>
      <c r="AY87" s="498"/>
      <c r="AZ87" s="1429">
        <v>11</v>
      </c>
    </row>
    <row r="88" spans="1:52" s="1429" customFormat="1" ht="11.45" customHeight="1">
      <c r="A88" s="839"/>
      <c r="B88" s="1424"/>
      <c r="C88" s="1424"/>
      <c r="D88" s="284"/>
      <c r="AE88" s="961"/>
      <c r="AF88" s="1424"/>
      <c r="AG88" s="1424"/>
      <c r="AH88" s="961"/>
      <c r="AI88" s="961"/>
      <c r="AJ88" s="961"/>
      <c r="AK88" s="961"/>
      <c r="AL88" s="1424"/>
      <c r="AM88" s="961"/>
      <c r="AN88" s="961"/>
      <c r="AO88" s="476"/>
      <c r="AP88" s="961"/>
      <c r="AQ88" s="961"/>
      <c r="AR88" s="961"/>
      <c r="AS88" s="961"/>
      <c r="AT88" s="961"/>
      <c r="AU88" s="1420"/>
      <c r="AV88" s="498"/>
      <c r="AW88" s="498"/>
      <c r="AX88" s="498"/>
      <c r="AY88" s="498"/>
      <c r="AZ88" s="1429">
        <v>11</v>
      </c>
    </row>
    <row r="89" spans="1:52" s="1429" customFormat="1" ht="11.45" customHeight="1">
      <c r="A89" s="839"/>
      <c r="B89" s="1424"/>
      <c r="C89" s="1424"/>
      <c r="D89" s="284"/>
      <c r="AE89" s="961"/>
      <c r="AF89" s="1424"/>
      <c r="AG89" s="1424"/>
      <c r="AH89" s="961"/>
      <c r="AI89" s="961"/>
      <c r="AJ89" s="961"/>
      <c r="AK89" s="961"/>
      <c r="AL89" s="1424"/>
      <c r="AM89" s="961"/>
      <c r="AN89" s="961"/>
      <c r="AO89" s="476"/>
      <c r="AP89" s="961"/>
      <c r="AQ89" s="961"/>
      <c r="AR89" s="961"/>
      <c r="AS89" s="961"/>
      <c r="AT89" s="961"/>
      <c r="AU89" s="1420"/>
      <c r="AV89" s="498"/>
      <c r="AW89" s="498"/>
      <c r="AX89" s="498"/>
      <c r="AY89" s="498"/>
      <c r="AZ89" s="1429">
        <v>11</v>
      </c>
    </row>
    <row r="90" spans="1:52" s="1429" customFormat="1" ht="11.45" customHeight="1">
      <c r="A90" s="839"/>
      <c r="B90" s="1424"/>
      <c r="C90" s="1424"/>
      <c r="D90" s="284"/>
      <c r="AE90" s="961"/>
      <c r="AF90" s="1424"/>
      <c r="AG90" s="1424"/>
      <c r="AH90" s="961"/>
      <c r="AI90" s="961"/>
      <c r="AJ90" s="961"/>
      <c r="AK90" s="961"/>
      <c r="AL90" s="1424"/>
      <c r="AM90" s="961"/>
      <c r="AN90" s="961"/>
      <c r="AO90" s="476"/>
      <c r="AP90" s="961"/>
      <c r="AQ90" s="961"/>
      <c r="AR90" s="961"/>
      <c r="AS90" s="961"/>
      <c r="AT90" s="961"/>
      <c r="AU90" s="1420"/>
      <c r="AV90" s="498"/>
      <c r="AW90" s="498"/>
      <c r="AX90" s="498"/>
      <c r="AY90" s="498"/>
      <c r="AZ90" s="1429">
        <v>11</v>
      </c>
    </row>
    <row r="91" spans="1:52" s="1429" customFormat="1" ht="11.45" customHeight="1">
      <c r="A91" s="839"/>
      <c r="B91" s="1424"/>
      <c r="C91" s="1424"/>
      <c r="D91" s="284"/>
      <c r="AE91" s="961"/>
      <c r="AF91" s="1424"/>
      <c r="AG91" s="1424"/>
      <c r="AH91" s="961"/>
      <c r="AI91" s="961"/>
      <c r="AJ91" s="961"/>
      <c r="AK91" s="961"/>
      <c r="AL91" s="1424"/>
      <c r="AM91" s="961"/>
      <c r="AN91" s="961"/>
      <c r="AO91" s="476"/>
      <c r="AP91" s="961"/>
      <c r="AQ91" s="961"/>
      <c r="AR91" s="961"/>
      <c r="AS91" s="961"/>
      <c r="AT91" s="961"/>
      <c r="AU91" s="1420"/>
      <c r="AV91" s="498"/>
      <c r="AW91" s="498"/>
      <c r="AX91" s="498"/>
      <c r="AY91" s="498"/>
      <c r="AZ91" s="1429">
        <v>11</v>
      </c>
    </row>
    <row r="92" spans="1:52" s="1429" customFormat="1" ht="11.45" customHeight="1">
      <c r="A92" s="839"/>
      <c r="B92" s="1424"/>
      <c r="C92" s="1424"/>
      <c r="D92" s="284"/>
      <c r="AE92" s="961"/>
      <c r="AF92" s="1424"/>
      <c r="AG92" s="1424"/>
      <c r="AH92" s="961"/>
      <c r="AI92" s="961"/>
      <c r="AJ92" s="961"/>
      <c r="AK92" s="961"/>
      <c r="AL92" s="1424"/>
      <c r="AM92" s="961"/>
      <c r="AN92" s="961"/>
      <c r="AO92" s="476"/>
      <c r="AP92" s="961"/>
      <c r="AQ92" s="961"/>
      <c r="AR92" s="961"/>
      <c r="AS92" s="961"/>
      <c r="AT92" s="961"/>
      <c r="AU92" s="1420"/>
      <c r="AV92" s="498"/>
      <c r="AW92" s="498"/>
      <c r="AX92" s="498"/>
      <c r="AY92" s="498"/>
      <c r="AZ92" s="1429">
        <v>11</v>
      </c>
    </row>
    <row r="93" spans="1:52" s="1429" customFormat="1" ht="11.45" customHeight="1">
      <c r="A93" s="839"/>
      <c r="B93" s="1424"/>
      <c r="C93" s="1424"/>
      <c r="D93" s="284"/>
      <c r="AE93" s="961"/>
      <c r="AF93" s="1424"/>
      <c r="AG93" s="1424"/>
      <c r="AH93" s="961"/>
      <c r="AI93" s="961"/>
      <c r="AJ93" s="961"/>
      <c r="AK93" s="961"/>
      <c r="AL93" s="1424"/>
      <c r="AM93" s="961"/>
      <c r="AN93" s="961"/>
      <c r="AO93" s="476"/>
      <c r="AP93" s="961"/>
      <c r="AQ93" s="961"/>
      <c r="AR93" s="961"/>
      <c r="AS93" s="961"/>
      <c r="AT93" s="961"/>
      <c r="AU93" s="1420"/>
      <c r="AV93" s="498"/>
      <c r="AW93" s="498"/>
      <c r="AX93" s="498"/>
      <c r="AY93" s="498"/>
      <c r="AZ93" s="1429">
        <v>11</v>
      </c>
    </row>
    <row r="94" spans="1:52" s="1429" customFormat="1" ht="11.45" customHeight="1">
      <c r="A94" s="839"/>
      <c r="B94" s="1424"/>
      <c r="C94" s="1424"/>
      <c r="D94" s="284"/>
      <c r="AE94" s="961"/>
      <c r="AF94" s="1424"/>
      <c r="AG94" s="1424"/>
      <c r="AH94" s="961"/>
      <c r="AI94" s="961"/>
      <c r="AJ94" s="961"/>
      <c r="AK94" s="961"/>
      <c r="AL94" s="1424"/>
      <c r="AM94" s="961"/>
      <c r="AN94" s="961"/>
      <c r="AO94" s="476"/>
      <c r="AP94" s="961"/>
      <c r="AQ94" s="961"/>
      <c r="AR94" s="961"/>
      <c r="AS94" s="961"/>
      <c r="AT94" s="961"/>
      <c r="AU94" s="1420"/>
      <c r="AV94" s="498"/>
      <c r="AW94" s="498"/>
      <c r="AX94" s="498"/>
      <c r="AY94" s="498"/>
      <c r="AZ94" s="1429">
        <v>11</v>
      </c>
    </row>
    <row r="95" spans="1:52" s="1429" customFormat="1" ht="11.45" customHeight="1">
      <c r="A95" s="839"/>
      <c r="B95" s="1424"/>
      <c r="C95" s="1424"/>
      <c r="D95" s="284"/>
      <c r="AE95" s="961"/>
      <c r="AF95" s="1424"/>
      <c r="AG95" s="1424"/>
      <c r="AH95" s="961"/>
      <c r="AI95" s="961"/>
      <c r="AJ95" s="961"/>
      <c r="AK95" s="961"/>
      <c r="AL95" s="1424"/>
      <c r="AM95" s="961"/>
      <c r="AN95" s="961"/>
      <c r="AO95" s="476"/>
      <c r="AP95" s="961"/>
      <c r="AQ95" s="961"/>
      <c r="AR95" s="961"/>
      <c r="AS95" s="961"/>
      <c r="AT95" s="961"/>
      <c r="AU95" s="1420"/>
      <c r="AV95" s="498"/>
      <c r="AW95" s="498"/>
      <c r="AX95" s="498"/>
      <c r="AY95" s="498"/>
      <c r="AZ95" s="1429">
        <v>11</v>
      </c>
    </row>
    <row r="96" spans="1:52" s="1429" customFormat="1" ht="11.45" customHeight="1">
      <c r="A96" s="839"/>
      <c r="B96" s="1424"/>
      <c r="C96" s="1424"/>
      <c r="D96" s="284"/>
      <c r="AE96" s="961"/>
      <c r="AF96" s="1424"/>
      <c r="AG96" s="1424"/>
      <c r="AH96" s="961"/>
      <c r="AI96" s="961"/>
      <c r="AJ96" s="961"/>
      <c r="AK96" s="961"/>
      <c r="AL96" s="1424"/>
      <c r="AM96" s="961"/>
      <c r="AN96" s="961"/>
      <c r="AO96" s="476"/>
      <c r="AP96" s="961"/>
      <c r="AQ96" s="961"/>
      <c r="AR96" s="961"/>
      <c r="AS96" s="961"/>
      <c r="AT96" s="961"/>
      <c r="AU96" s="1420"/>
      <c r="AV96" s="498"/>
      <c r="AW96" s="498"/>
      <c r="AX96" s="498"/>
      <c r="AY96" s="498"/>
      <c r="AZ96" s="1429">
        <v>11</v>
      </c>
    </row>
    <row r="97" spans="1:52" s="1429" customFormat="1" ht="11.45" customHeight="1">
      <c r="A97" s="839"/>
      <c r="B97" s="1424"/>
      <c r="C97" s="1424"/>
      <c r="D97" s="284"/>
      <c r="AE97" s="961"/>
      <c r="AF97" s="1424"/>
      <c r="AG97" s="1424"/>
      <c r="AH97" s="961"/>
      <c r="AI97" s="961"/>
      <c r="AJ97" s="961"/>
      <c r="AK97" s="961"/>
      <c r="AL97" s="1424"/>
      <c r="AM97" s="961"/>
      <c r="AN97" s="961"/>
      <c r="AO97" s="476"/>
      <c r="AP97" s="961"/>
      <c r="AQ97" s="961"/>
      <c r="AR97" s="961"/>
      <c r="AS97" s="961"/>
      <c r="AT97" s="961"/>
      <c r="AU97" s="1420"/>
      <c r="AV97" s="498"/>
      <c r="AW97" s="498"/>
      <c r="AX97" s="498"/>
      <c r="AY97" s="498"/>
      <c r="AZ97" s="1429">
        <v>11</v>
      </c>
    </row>
    <row r="98" spans="1:52" s="1429" customFormat="1" ht="11.45" customHeight="1">
      <c r="A98" s="839"/>
      <c r="B98" s="1424"/>
      <c r="C98" s="1424"/>
      <c r="D98" s="284"/>
      <c r="AE98" s="961"/>
      <c r="AF98" s="1424"/>
      <c r="AG98" s="1424"/>
      <c r="AH98" s="961"/>
      <c r="AI98" s="961"/>
      <c r="AJ98" s="961"/>
      <c r="AK98" s="961"/>
      <c r="AL98" s="1424"/>
      <c r="AM98" s="961"/>
      <c r="AN98" s="961"/>
      <c r="AO98" s="476"/>
      <c r="AP98" s="961"/>
      <c r="AQ98" s="961"/>
      <c r="AR98" s="961"/>
      <c r="AS98" s="961"/>
      <c r="AT98" s="961"/>
      <c r="AU98" s="1420"/>
      <c r="AV98" s="498"/>
      <c r="AW98" s="498"/>
      <c r="AX98" s="498"/>
      <c r="AY98" s="498"/>
      <c r="AZ98" s="1429">
        <v>11</v>
      </c>
    </row>
    <row r="99" spans="1:52" s="1429" customFormat="1" ht="11.45" customHeight="1">
      <c r="A99" s="839"/>
      <c r="B99" s="1424"/>
      <c r="C99" s="1424"/>
      <c r="D99" s="284"/>
      <c r="AE99" s="961"/>
      <c r="AF99" s="1424"/>
      <c r="AG99" s="1424"/>
      <c r="AH99" s="961"/>
      <c r="AI99" s="961"/>
      <c r="AJ99" s="961"/>
      <c r="AK99" s="961"/>
      <c r="AL99" s="1424"/>
      <c r="AM99" s="961"/>
      <c r="AN99" s="961"/>
      <c r="AO99" s="476"/>
      <c r="AP99" s="961"/>
      <c r="AQ99" s="961"/>
      <c r="AR99" s="961"/>
      <c r="AS99" s="961"/>
      <c r="AT99" s="961"/>
      <c r="AU99" s="1420"/>
      <c r="AV99" s="498"/>
      <c r="AW99" s="498"/>
      <c r="AX99" s="498"/>
      <c r="AY99" s="498"/>
      <c r="AZ99" s="1429">
        <v>11</v>
      </c>
    </row>
    <row r="100" spans="1:52" s="1429" customFormat="1" ht="11.45" customHeight="1">
      <c r="A100" s="839"/>
      <c r="B100" s="1424"/>
      <c r="C100" s="1424"/>
      <c r="D100" s="284"/>
      <c r="AE100" s="961"/>
      <c r="AF100" s="1424"/>
      <c r="AG100" s="1424"/>
      <c r="AH100" s="961"/>
      <c r="AI100" s="961"/>
      <c r="AJ100" s="961"/>
      <c r="AK100" s="961"/>
      <c r="AL100" s="1424"/>
      <c r="AM100" s="961"/>
      <c r="AN100" s="961"/>
      <c r="AO100" s="476"/>
      <c r="AP100" s="961"/>
      <c r="AQ100" s="961"/>
      <c r="AR100" s="961"/>
      <c r="AS100" s="961"/>
      <c r="AT100" s="961"/>
      <c r="AU100" s="1420"/>
      <c r="AV100" s="498"/>
      <c r="AW100" s="498"/>
      <c r="AX100" s="498"/>
      <c r="AY100" s="498"/>
      <c r="AZ100" s="1429">
        <v>11</v>
      </c>
    </row>
    <row r="101" spans="1:52" s="1429" customFormat="1" ht="11.45" customHeight="1">
      <c r="A101" s="839"/>
      <c r="B101" s="1424"/>
      <c r="C101" s="1424"/>
      <c r="D101" s="284"/>
      <c r="AE101" s="961"/>
      <c r="AF101" s="1424"/>
      <c r="AG101" s="1424"/>
      <c r="AH101" s="961"/>
      <c r="AI101" s="961"/>
      <c r="AJ101" s="961"/>
      <c r="AK101" s="961"/>
      <c r="AL101" s="1424"/>
      <c r="AM101" s="961"/>
      <c r="AN101" s="961"/>
      <c r="AO101" s="476"/>
      <c r="AP101" s="961"/>
      <c r="AQ101" s="961"/>
      <c r="AR101" s="961"/>
      <c r="AS101" s="961"/>
      <c r="AT101" s="961"/>
      <c r="AU101" s="1420"/>
      <c r="AV101" s="498"/>
      <c r="AW101" s="498"/>
      <c r="AX101" s="498"/>
      <c r="AY101" s="498"/>
      <c r="AZ101" s="1429">
        <v>11</v>
      </c>
    </row>
    <row r="102" spans="1:52" s="1429" customFormat="1" ht="11.45" customHeight="1">
      <c r="A102" s="839"/>
      <c r="B102" s="1424"/>
      <c r="C102" s="1424"/>
      <c r="D102" s="284"/>
      <c r="AE102" s="961"/>
      <c r="AF102" s="1424"/>
      <c r="AG102" s="1424"/>
      <c r="AH102" s="961"/>
      <c r="AI102" s="961"/>
      <c r="AJ102" s="961"/>
      <c r="AK102" s="961"/>
      <c r="AL102" s="1424"/>
      <c r="AM102" s="961"/>
      <c r="AN102" s="961"/>
      <c r="AO102" s="476"/>
      <c r="AP102" s="961"/>
      <c r="AQ102" s="961"/>
      <c r="AR102" s="961"/>
      <c r="AS102" s="961"/>
      <c r="AT102" s="961"/>
      <c r="AU102" s="1420"/>
      <c r="AV102" s="498"/>
      <c r="AW102" s="498"/>
      <c r="AX102" s="498"/>
      <c r="AY102" s="498"/>
      <c r="AZ102" s="1429">
        <v>11</v>
      </c>
    </row>
    <row r="103" spans="1:52" s="1429" customFormat="1" ht="11.45" customHeight="1">
      <c r="A103" s="839"/>
      <c r="B103" s="1424"/>
      <c r="C103" s="1424"/>
      <c r="D103" s="284"/>
      <c r="AE103" s="961"/>
      <c r="AF103" s="1424"/>
      <c r="AG103" s="1424"/>
      <c r="AH103" s="961"/>
      <c r="AI103" s="961"/>
      <c r="AJ103" s="961"/>
      <c r="AK103" s="961"/>
      <c r="AL103" s="1424"/>
      <c r="AM103" s="961"/>
      <c r="AN103" s="961"/>
      <c r="AO103" s="476"/>
      <c r="AP103" s="961"/>
      <c r="AQ103" s="961"/>
      <c r="AR103" s="961"/>
      <c r="AS103" s="961"/>
      <c r="AT103" s="961"/>
      <c r="AU103" s="1420"/>
      <c r="AV103" s="498"/>
      <c r="AW103" s="498"/>
      <c r="AX103" s="498"/>
      <c r="AY103" s="498"/>
      <c r="AZ103" s="1429">
        <v>11</v>
      </c>
    </row>
    <row r="104" spans="1:52" s="1429" customFormat="1" ht="11.45" customHeight="1">
      <c r="A104" s="839"/>
      <c r="B104" s="1424"/>
      <c r="C104" s="1424"/>
      <c r="D104" s="284"/>
      <c r="AE104" s="961"/>
      <c r="AF104" s="1424"/>
      <c r="AG104" s="1424"/>
      <c r="AH104" s="961"/>
      <c r="AI104" s="961"/>
      <c r="AJ104" s="961"/>
      <c r="AK104" s="961"/>
      <c r="AL104" s="1424"/>
      <c r="AM104" s="961"/>
      <c r="AN104" s="961"/>
      <c r="AO104" s="476"/>
      <c r="AP104" s="961"/>
      <c r="AQ104" s="961"/>
      <c r="AR104" s="961"/>
      <c r="AS104" s="961"/>
      <c r="AT104" s="961"/>
      <c r="AU104" s="1420"/>
      <c r="AV104" s="498"/>
      <c r="AW104" s="498"/>
      <c r="AX104" s="498"/>
      <c r="AY104" s="498"/>
      <c r="AZ104" s="1429">
        <v>11</v>
      </c>
    </row>
    <row r="105" spans="1:52" s="1429" customFormat="1" ht="11.45" customHeight="1">
      <c r="A105" s="839"/>
      <c r="B105" s="1424"/>
      <c r="C105" s="1424"/>
      <c r="D105" s="284"/>
      <c r="AE105" s="961"/>
      <c r="AF105" s="1424"/>
      <c r="AG105" s="1424"/>
      <c r="AH105" s="961"/>
      <c r="AI105" s="961"/>
      <c r="AJ105" s="961"/>
      <c r="AK105" s="961"/>
      <c r="AL105" s="1424"/>
      <c r="AM105" s="961"/>
      <c r="AN105" s="961"/>
      <c r="AO105" s="476"/>
      <c r="AP105" s="961"/>
      <c r="AQ105" s="961"/>
      <c r="AR105" s="961"/>
      <c r="AS105" s="961"/>
      <c r="AT105" s="961"/>
      <c r="AU105" s="1420"/>
      <c r="AV105" s="498"/>
      <c r="AW105" s="498"/>
      <c r="AX105" s="498"/>
      <c r="AY105" s="498"/>
      <c r="AZ105" s="1429">
        <v>11</v>
      </c>
    </row>
    <row r="106" spans="1:52" s="1429" customFormat="1" ht="11.45" customHeight="1">
      <c r="A106" s="839"/>
      <c r="B106" s="1424"/>
      <c r="C106" s="1424"/>
      <c r="D106" s="284"/>
      <c r="AE106" s="961"/>
      <c r="AF106" s="1424"/>
      <c r="AG106" s="1424"/>
      <c r="AH106" s="961"/>
      <c r="AI106" s="961"/>
      <c r="AJ106" s="961"/>
      <c r="AK106" s="961"/>
      <c r="AL106" s="1424"/>
      <c r="AM106" s="961"/>
      <c r="AN106" s="961"/>
      <c r="AO106" s="476"/>
      <c r="AP106" s="961"/>
      <c r="AQ106" s="961"/>
      <c r="AR106" s="961"/>
      <c r="AS106" s="961"/>
      <c r="AT106" s="961"/>
      <c r="AU106" s="1420"/>
      <c r="AV106" s="498"/>
      <c r="AW106" s="498"/>
      <c r="AX106" s="498"/>
      <c r="AY106" s="498"/>
      <c r="AZ106" s="1429">
        <v>11</v>
      </c>
    </row>
    <row r="107" spans="1:52" s="1429" customFormat="1" ht="11.45" customHeight="1">
      <c r="A107" s="839"/>
      <c r="B107" s="1424"/>
      <c r="C107" s="1424"/>
      <c r="D107" s="284"/>
      <c r="AE107" s="961"/>
      <c r="AF107" s="1424"/>
      <c r="AG107" s="1424"/>
      <c r="AH107" s="961"/>
      <c r="AI107" s="961"/>
      <c r="AJ107" s="961"/>
      <c r="AK107" s="961"/>
      <c r="AL107" s="1424"/>
      <c r="AM107" s="961"/>
      <c r="AN107" s="961"/>
      <c r="AO107" s="476"/>
      <c r="AP107" s="961"/>
      <c r="AQ107" s="961"/>
      <c r="AR107" s="961"/>
      <c r="AS107" s="961"/>
      <c r="AT107" s="961"/>
      <c r="AU107" s="1420"/>
      <c r="AV107" s="498"/>
      <c r="AW107" s="498"/>
      <c r="AX107" s="498"/>
      <c r="AY107" s="498"/>
      <c r="AZ107" s="1429">
        <v>11</v>
      </c>
    </row>
    <row r="108" spans="1:52" s="1429" customFormat="1" ht="11.45" customHeight="1">
      <c r="A108" s="839"/>
      <c r="B108" s="1424"/>
      <c r="C108" s="1424"/>
      <c r="D108" s="284"/>
      <c r="AE108" s="961"/>
      <c r="AF108" s="1424"/>
      <c r="AG108" s="1424"/>
      <c r="AH108" s="961"/>
      <c r="AI108" s="961"/>
      <c r="AJ108" s="961"/>
      <c r="AK108" s="961"/>
      <c r="AL108" s="1424"/>
      <c r="AM108" s="961"/>
      <c r="AN108" s="961"/>
      <c r="AO108" s="476"/>
      <c r="AP108" s="961"/>
      <c r="AQ108" s="961"/>
      <c r="AR108" s="961"/>
      <c r="AS108" s="961"/>
      <c r="AT108" s="961"/>
      <c r="AU108" s="1420"/>
      <c r="AV108" s="498"/>
      <c r="AW108" s="498"/>
      <c r="AX108" s="498"/>
      <c r="AY108" s="498"/>
      <c r="AZ108" s="1429">
        <v>11</v>
      </c>
    </row>
    <row r="109" spans="1:52" s="1429" customFormat="1" ht="11.45" customHeight="1">
      <c r="A109" s="839"/>
      <c r="B109" s="1424"/>
      <c r="C109" s="1424"/>
      <c r="D109" s="284"/>
      <c r="AE109" s="961"/>
      <c r="AF109" s="1424"/>
      <c r="AG109" s="1424"/>
      <c r="AH109" s="961"/>
      <c r="AI109" s="961"/>
      <c r="AJ109" s="961"/>
      <c r="AK109" s="961"/>
      <c r="AL109" s="1424"/>
      <c r="AM109" s="961"/>
      <c r="AN109" s="961"/>
      <c r="AO109" s="476"/>
      <c r="AP109" s="961"/>
      <c r="AQ109" s="961"/>
      <c r="AR109" s="961"/>
      <c r="AS109" s="961"/>
      <c r="AT109" s="961"/>
      <c r="AU109" s="1420"/>
      <c r="AV109" s="498"/>
      <c r="AW109" s="498"/>
      <c r="AX109" s="498"/>
      <c r="AY109" s="498"/>
      <c r="AZ109" s="1429">
        <v>11</v>
      </c>
    </row>
    <row r="110" spans="1:52" s="1429" customFormat="1" ht="11.45" customHeight="1">
      <c r="A110" s="839"/>
      <c r="B110" s="1424"/>
      <c r="C110" s="1424"/>
      <c r="D110" s="284"/>
      <c r="AE110" s="961"/>
      <c r="AF110" s="1424"/>
      <c r="AG110" s="1424"/>
      <c r="AH110" s="961"/>
      <c r="AI110" s="961"/>
      <c r="AJ110" s="961"/>
      <c r="AK110" s="961"/>
      <c r="AL110" s="1424"/>
      <c r="AM110" s="961"/>
      <c r="AN110" s="961"/>
      <c r="AO110" s="476"/>
      <c r="AP110" s="961"/>
      <c r="AQ110" s="961"/>
      <c r="AR110" s="961"/>
      <c r="AS110" s="961"/>
      <c r="AT110" s="961"/>
      <c r="AU110" s="1420"/>
      <c r="AV110" s="498"/>
      <c r="AW110" s="498"/>
      <c r="AX110" s="498"/>
      <c r="AY110" s="498"/>
      <c r="AZ110" s="1429">
        <v>11</v>
      </c>
    </row>
    <row r="111" spans="1:52" s="1429" customFormat="1" ht="11.45" customHeight="1">
      <c r="A111" s="839"/>
      <c r="B111" s="1424"/>
      <c r="C111" s="1424"/>
      <c r="D111" s="284"/>
      <c r="AE111" s="961"/>
      <c r="AF111" s="1424"/>
      <c r="AG111" s="1424"/>
      <c r="AH111" s="961"/>
      <c r="AI111" s="961"/>
      <c r="AJ111" s="961"/>
      <c r="AK111" s="961"/>
      <c r="AL111" s="1424"/>
      <c r="AM111" s="961"/>
      <c r="AN111" s="961"/>
      <c r="AO111" s="476"/>
      <c r="AP111" s="961"/>
      <c r="AQ111" s="961"/>
      <c r="AR111" s="961"/>
      <c r="AS111" s="961"/>
      <c r="AT111" s="961"/>
      <c r="AU111" s="1420"/>
      <c r="AV111" s="498"/>
      <c r="AW111" s="498"/>
      <c r="AX111" s="498"/>
      <c r="AY111" s="498"/>
      <c r="AZ111" s="1429">
        <v>11</v>
      </c>
    </row>
    <row r="112" spans="1:52" s="1429" customFormat="1" ht="11.45" customHeight="1">
      <c r="A112" s="839"/>
      <c r="B112" s="1424"/>
      <c r="C112" s="1424"/>
      <c r="D112" s="284"/>
      <c r="AE112" s="961"/>
      <c r="AF112" s="1424"/>
      <c r="AG112" s="1424"/>
      <c r="AH112" s="961"/>
      <c r="AI112" s="961"/>
      <c r="AJ112" s="961"/>
      <c r="AK112" s="961"/>
      <c r="AL112" s="1424"/>
      <c r="AM112" s="961"/>
      <c r="AN112" s="961"/>
      <c r="AO112" s="476"/>
      <c r="AP112" s="961"/>
      <c r="AQ112" s="961"/>
      <c r="AR112" s="961"/>
      <c r="AS112" s="961"/>
      <c r="AT112" s="961"/>
      <c r="AU112" s="1420"/>
      <c r="AV112" s="498"/>
      <c r="AW112" s="498"/>
      <c r="AX112" s="498"/>
      <c r="AY112" s="498"/>
      <c r="AZ112" s="1429">
        <v>11</v>
      </c>
    </row>
    <row r="113" spans="1:52" s="1429" customFormat="1" ht="11.45" customHeight="1">
      <c r="A113" s="839"/>
      <c r="B113" s="1424"/>
      <c r="C113" s="1424"/>
      <c r="D113" s="284"/>
      <c r="AE113" s="961"/>
      <c r="AF113" s="1424"/>
      <c r="AG113" s="1424"/>
      <c r="AH113" s="961"/>
      <c r="AI113" s="961"/>
      <c r="AJ113" s="961"/>
      <c r="AK113" s="961"/>
      <c r="AL113" s="1424"/>
      <c r="AM113" s="961"/>
      <c r="AN113" s="961"/>
      <c r="AO113" s="476"/>
      <c r="AP113" s="961"/>
      <c r="AQ113" s="961"/>
      <c r="AR113" s="961"/>
      <c r="AS113" s="961"/>
      <c r="AT113" s="961"/>
      <c r="AU113" s="1420"/>
      <c r="AV113" s="498"/>
      <c r="AW113" s="498"/>
      <c r="AX113" s="498"/>
      <c r="AY113" s="498"/>
      <c r="AZ113" s="1429">
        <v>11</v>
      </c>
    </row>
    <row r="114" spans="1:52" s="1429" customFormat="1" ht="11.45" customHeight="1">
      <c r="A114" s="839"/>
      <c r="B114" s="1424"/>
      <c r="C114" s="1424"/>
      <c r="D114" s="284"/>
      <c r="AE114" s="961"/>
      <c r="AF114" s="1424"/>
      <c r="AG114" s="1424"/>
      <c r="AH114" s="961"/>
      <c r="AI114" s="961"/>
      <c r="AJ114" s="961"/>
      <c r="AK114" s="961"/>
      <c r="AL114" s="1424"/>
      <c r="AM114" s="961"/>
      <c r="AN114" s="961"/>
      <c r="AO114" s="476"/>
      <c r="AP114" s="961"/>
      <c r="AQ114" s="961"/>
      <c r="AR114" s="961"/>
      <c r="AS114" s="961"/>
      <c r="AT114" s="961"/>
      <c r="AU114" s="1420"/>
      <c r="AV114" s="498"/>
      <c r="AW114" s="498"/>
      <c r="AX114" s="498"/>
      <c r="AY114" s="498"/>
      <c r="AZ114" s="1429">
        <v>11</v>
      </c>
    </row>
    <row r="115" spans="1:52" s="1429" customFormat="1" ht="11.45" customHeight="1">
      <c r="A115" s="839"/>
      <c r="B115" s="1424"/>
      <c r="C115" s="1424"/>
      <c r="D115" s="284"/>
      <c r="AE115" s="961"/>
      <c r="AF115" s="1424"/>
      <c r="AG115" s="1424"/>
      <c r="AH115" s="961"/>
      <c r="AI115" s="961"/>
      <c r="AJ115" s="961"/>
      <c r="AK115" s="961"/>
      <c r="AL115" s="1424"/>
      <c r="AM115" s="961"/>
      <c r="AN115" s="961"/>
      <c r="AO115" s="476"/>
      <c r="AP115" s="961"/>
      <c r="AQ115" s="961"/>
      <c r="AR115" s="961"/>
      <c r="AS115" s="961"/>
      <c r="AT115" s="961"/>
      <c r="AU115" s="1420"/>
      <c r="AV115" s="498"/>
      <c r="AW115" s="498"/>
      <c r="AX115" s="498"/>
      <c r="AY115" s="498"/>
      <c r="AZ115" s="1429">
        <v>11</v>
      </c>
    </row>
    <row r="116" spans="1:52" s="1429" customFormat="1" ht="11.45" customHeight="1">
      <c r="A116" s="839"/>
      <c r="B116" s="1424"/>
      <c r="C116" s="1424"/>
      <c r="D116" s="284"/>
      <c r="AE116" s="961"/>
      <c r="AF116" s="1424"/>
      <c r="AG116" s="1424"/>
      <c r="AH116" s="961"/>
      <c r="AI116" s="961"/>
      <c r="AJ116" s="961"/>
      <c r="AK116" s="961"/>
      <c r="AL116" s="1424"/>
      <c r="AM116" s="961"/>
      <c r="AN116" s="961"/>
      <c r="AO116" s="476"/>
      <c r="AP116" s="961"/>
      <c r="AQ116" s="961"/>
      <c r="AR116" s="961"/>
      <c r="AS116" s="961"/>
      <c r="AT116" s="961"/>
      <c r="AU116" s="1420"/>
      <c r="AV116" s="498"/>
      <c r="AW116" s="498"/>
      <c r="AX116" s="498"/>
      <c r="AY116" s="498"/>
      <c r="AZ116" s="1429">
        <v>11</v>
      </c>
    </row>
    <row r="117" spans="1:52" s="1429" customFormat="1" ht="11.45" customHeight="1">
      <c r="A117" s="839"/>
      <c r="B117" s="1424"/>
      <c r="C117" s="1424"/>
      <c r="D117" s="284"/>
      <c r="AE117" s="961"/>
      <c r="AF117" s="1424"/>
      <c r="AG117" s="1424"/>
      <c r="AH117" s="961"/>
      <c r="AI117" s="961"/>
      <c r="AJ117" s="961"/>
      <c r="AK117" s="961"/>
      <c r="AL117" s="1424"/>
      <c r="AM117" s="961"/>
      <c r="AN117" s="961"/>
      <c r="AO117" s="476"/>
      <c r="AP117" s="961"/>
      <c r="AQ117" s="961"/>
      <c r="AR117" s="961"/>
      <c r="AS117" s="961"/>
      <c r="AT117" s="961"/>
      <c r="AU117" s="1420"/>
      <c r="AV117" s="498"/>
      <c r="AW117" s="498"/>
      <c r="AX117" s="498"/>
      <c r="AY117" s="498"/>
      <c r="AZ117" s="1429">
        <v>11</v>
      </c>
    </row>
    <row r="118" spans="1:52" s="1429" customFormat="1" ht="11.45" customHeight="1">
      <c r="A118" s="839"/>
      <c r="B118" s="1424"/>
      <c r="C118" s="1424"/>
      <c r="D118" s="284"/>
      <c r="AE118" s="961"/>
      <c r="AF118" s="1424"/>
      <c r="AG118" s="1424"/>
      <c r="AH118" s="961"/>
      <c r="AI118" s="961"/>
      <c r="AJ118" s="961"/>
      <c r="AK118" s="961"/>
      <c r="AL118" s="1424"/>
      <c r="AM118" s="961"/>
      <c r="AN118" s="961"/>
      <c r="AO118" s="476"/>
      <c r="AP118" s="961"/>
      <c r="AQ118" s="961"/>
      <c r="AR118" s="961"/>
      <c r="AS118" s="961"/>
      <c r="AT118" s="961"/>
      <c r="AU118" s="1420"/>
      <c r="AV118" s="498"/>
      <c r="AW118" s="498"/>
      <c r="AX118" s="498"/>
      <c r="AY118" s="498"/>
      <c r="AZ118" s="1429">
        <v>11</v>
      </c>
    </row>
    <row r="119" spans="1:52" s="1429" customFormat="1" ht="11.45" customHeight="1">
      <c r="A119" s="839"/>
      <c r="B119" s="1424"/>
      <c r="C119" s="1424"/>
      <c r="D119" s="284"/>
      <c r="AE119" s="961"/>
      <c r="AF119" s="1424"/>
      <c r="AG119" s="1424"/>
      <c r="AH119" s="961"/>
      <c r="AI119" s="961"/>
      <c r="AJ119" s="961"/>
      <c r="AK119" s="961"/>
      <c r="AL119" s="1424"/>
      <c r="AM119" s="961"/>
      <c r="AN119" s="961"/>
      <c r="AO119" s="476"/>
      <c r="AP119" s="961"/>
      <c r="AQ119" s="961"/>
      <c r="AR119" s="961"/>
      <c r="AS119" s="961"/>
      <c r="AT119" s="961"/>
      <c r="AU119" s="1420"/>
      <c r="AV119" s="498"/>
      <c r="AW119" s="498"/>
      <c r="AX119" s="498"/>
      <c r="AY119" s="498"/>
      <c r="AZ119" s="1429">
        <v>11</v>
      </c>
    </row>
    <row r="120" spans="1:52" s="1429" customFormat="1" ht="11.45" customHeight="1">
      <c r="A120" s="839"/>
      <c r="B120" s="1424"/>
      <c r="C120" s="1424"/>
      <c r="D120" s="284"/>
      <c r="AE120" s="961"/>
      <c r="AF120" s="1424"/>
      <c r="AG120" s="1424"/>
      <c r="AH120" s="961"/>
      <c r="AI120" s="961"/>
      <c r="AJ120" s="961"/>
      <c r="AK120" s="961"/>
      <c r="AL120" s="1424"/>
      <c r="AM120" s="961"/>
      <c r="AN120" s="961"/>
      <c r="AO120" s="476"/>
      <c r="AP120" s="961"/>
      <c r="AQ120" s="961"/>
      <c r="AR120" s="961"/>
      <c r="AS120" s="961"/>
      <c r="AT120" s="961"/>
      <c r="AU120" s="1420"/>
      <c r="AV120" s="498"/>
      <c r="AW120" s="498"/>
      <c r="AX120" s="498"/>
      <c r="AY120" s="498"/>
      <c r="AZ120" s="1429">
        <v>11</v>
      </c>
    </row>
    <row r="121" spans="1:52" s="1429" customFormat="1" ht="11.45" customHeight="1">
      <c r="A121" s="839"/>
      <c r="B121" s="1424"/>
      <c r="C121" s="1424"/>
      <c r="D121" s="284"/>
      <c r="AE121" s="961"/>
      <c r="AF121" s="1424"/>
      <c r="AG121" s="1424"/>
      <c r="AH121" s="961"/>
      <c r="AI121" s="961"/>
      <c r="AJ121" s="961"/>
      <c r="AK121" s="961"/>
      <c r="AL121" s="1424"/>
      <c r="AM121" s="961"/>
      <c r="AN121" s="961"/>
      <c r="AO121" s="476"/>
      <c r="AP121" s="961"/>
      <c r="AQ121" s="961"/>
      <c r="AR121" s="961"/>
      <c r="AS121" s="961"/>
      <c r="AT121" s="961"/>
      <c r="AU121" s="1420"/>
      <c r="AV121" s="498"/>
      <c r="AW121" s="498"/>
      <c r="AX121" s="498"/>
      <c r="AY121" s="498"/>
      <c r="AZ121" s="1429">
        <v>11</v>
      </c>
    </row>
    <row r="122" spans="1:52" s="1429" customFormat="1" ht="11.45" customHeight="1">
      <c r="A122" s="839"/>
      <c r="B122" s="1424"/>
      <c r="C122" s="1424"/>
      <c r="D122" s="284"/>
      <c r="AE122" s="961"/>
      <c r="AF122" s="1424"/>
      <c r="AG122" s="1424"/>
      <c r="AH122" s="961"/>
      <c r="AI122" s="961"/>
      <c r="AJ122" s="961"/>
      <c r="AK122" s="961"/>
      <c r="AL122" s="1424"/>
      <c r="AM122" s="961"/>
      <c r="AN122" s="961"/>
      <c r="AO122" s="476"/>
      <c r="AP122" s="961"/>
      <c r="AQ122" s="961"/>
      <c r="AR122" s="961"/>
      <c r="AS122" s="961"/>
      <c r="AT122" s="961"/>
      <c r="AU122" s="1420"/>
      <c r="AV122" s="498"/>
      <c r="AW122" s="498"/>
      <c r="AX122" s="498"/>
      <c r="AY122" s="498"/>
      <c r="AZ122" s="1429">
        <v>11</v>
      </c>
    </row>
    <row r="123" spans="1:52" s="1429" customFormat="1" ht="11.45" customHeight="1">
      <c r="A123" s="839"/>
      <c r="B123" s="1424"/>
      <c r="C123" s="1424"/>
      <c r="D123" s="284"/>
      <c r="AE123" s="961"/>
      <c r="AF123" s="1424"/>
      <c r="AG123" s="1424"/>
      <c r="AH123" s="961"/>
      <c r="AI123" s="961"/>
      <c r="AJ123" s="961"/>
      <c r="AK123" s="961"/>
      <c r="AL123" s="1424"/>
      <c r="AM123" s="961"/>
      <c r="AN123" s="961"/>
      <c r="AO123" s="476"/>
      <c r="AP123" s="961"/>
      <c r="AQ123" s="961"/>
      <c r="AR123" s="961"/>
      <c r="AS123" s="961"/>
      <c r="AT123" s="961"/>
      <c r="AU123" s="1420"/>
      <c r="AV123" s="498"/>
      <c r="AW123" s="498"/>
      <c r="AX123" s="498"/>
      <c r="AY123" s="498"/>
      <c r="AZ123" s="1429">
        <v>11</v>
      </c>
    </row>
    <row r="124" spans="1:52" s="1429" customFormat="1" ht="11.45" customHeight="1">
      <c r="A124" s="839"/>
      <c r="B124" s="1424"/>
      <c r="C124" s="1424"/>
      <c r="D124" s="284"/>
      <c r="AE124" s="961"/>
      <c r="AF124" s="1424"/>
      <c r="AG124" s="1424"/>
      <c r="AH124" s="961"/>
      <c r="AI124" s="961"/>
      <c r="AJ124" s="961"/>
      <c r="AK124" s="961"/>
      <c r="AL124" s="1424"/>
      <c r="AM124" s="961"/>
      <c r="AN124" s="961"/>
      <c r="AO124" s="476"/>
      <c r="AP124" s="961"/>
      <c r="AQ124" s="961"/>
      <c r="AR124" s="961"/>
      <c r="AS124" s="961"/>
      <c r="AT124" s="961"/>
      <c r="AU124" s="1420"/>
      <c r="AV124" s="498"/>
      <c r="AW124" s="498"/>
      <c r="AX124" s="498"/>
      <c r="AY124" s="498"/>
      <c r="AZ124" s="1429">
        <v>11</v>
      </c>
    </row>
    <row r="125" spans="1:52" s="1429" customFormat="1" ht="11.45" customHeight="1">
      <c r="A125" s="839"/>
      <c r="B125" s="1424"/>
      <c r="C125" s="1424"/>
      <c r="D125" s="284"/>
      <c r="AE125" s="961"/>
      <c r="AF125" s="1424"/>
      <c r="AG125" s="1424"/>
      <c r="AH125" s="961"/>
      <c r="AI125" s="961"/>
      <c r="AJ125" s="961"/>
      <c r="AK125" s="961"/>
      <c r="AL125" s="1424"/>
      <c r="AM125" s="961"/>
      <c r="AN125" s="961"/>
      <c r="AO125" s="476"/>
      <c r="AP125" s="961"/>
      <c r="AQ125" s="961"/>
      <c r="AR125" s="961"/>
      <c r="AS125" s="961"/>
      <c r="AT125" s="961"/>
      <c r="AU125" s="1420"/>
      <c r="AV125" s="498"/>
      <c r="AW125" s="498"/>
      <c r="AX125" s="498"/>
      <c r="AY125" s="498"/>
      <c r="AZ125" s="1429">
        <v>11</v>
      </c>
    </row>
    <row r="126" spans="1:52" s="1429" customFormat="1" ht="11.45" customHeight="1">
      <c r="A126" s="839"/>
      <c r="B126" s="1424"/>
      <c r="C126" s="1424"/>
      <c r="D126" s="284"/>
      <c r="AE126" s="961"/>
      <c r="AF126" s="1424"/>
      <c r="AG126" s="1424"/>
      <c r="AH126" s="961"/>
      <c r="AI126" s="961"/>
      <c r="AJ126" s="961"/>
      <c r="AK126" s="961"/>
      <c r="AL126" s="1424"/>
      <c r="AM126" s="961"/>
      <c r="AN126" s="961"/>
      <c r="AO126" s="476"/>
      <c r="AP126" s="961"/>
      <c r="AQ126" s="961"/>
      <c r="AR126" s="961"/>
      <c r="AS126" s="961"/>
      <c r="AT126" s="961"/>
      <c r="AU126" s="1420"/>
      <c r="AV126" s="498"/>
      <c r="AW126" s="498"/>
      <c r="AX126" s="498"/>
      <c r="AY126" s="498"/>
      <c r="AZ126" s="1429">
        <v>11</v>
      </c>
    </row>
    <row r="127" spans="1:52" s="1429" customFormat="1" ht="11.45" customHeight="1">
      <c r="A127" s="839"/>
      <c r="B127" s="1424"/>
      <c r="C127" s="1424"/>
      <c r="D127" s="284"/>
      <c r="AE127" s="961"/>
      <c r="AF127" s="1424"/>
      <c r="AG127" s="1424"/>
      <c r="AH127" s="961"/>
      <c r="AI127" s="961"/>
      <c r="AJ127" s="961"/>
      <c r="AK127" s="961"/>
      <c r="AL127" s="1424"/>
      <c r="AM127" s="961"/>
      <c r="AN127" s="961"/>
      <c r="AO127" s="476"/>
      <c r="AP127" s="961"/>
      <c r="AQ127" s="961"/>
      <c r="AR127" s="961"/>
      <c r="AS127" s="961"/>
      <c r="AT127" s="961"/>
      <c r="AU127" s="1420"/>
      <c r="AV127" s="498"/>
      <c r="AW127" s="498"/>
      <c r="AX127" s="498"/>
      <c r="AY127" s="498"/>
      <c r="AZ127" s="1429">
        <v>11</v>
      </c>
    </row>
    <row r="128" spans="1:52" s="1429" customFormat="1" ht="11.45" customHeight="1">
      <c r="A128" s="839"/>
      <c r="B128" s="1424"/>
      <c r="C128" s="1424"/>
      <c r="D128" s="284"/>
      <c r="AE128" s="961"/>
      <c r="AF128" s="1424"/>
      <c r="AG128" s="1424"/>
      <c r="AH128" s="961"/>
      <c r="AI128" s="961"/>
      <c r="AJ128" s="961"/>
      <c r="AK128" s="961"/>
      <c r="AL128" s="1424"/>
      <c r="AM128" s="961"/>
      <c r="AN128" s="961"/>
      <c r="AO128" s="476"/>
      <c r="AP128" s="961"/>
      <c r="AQ128" s="961"/>
      <c r="AR128" s="961"/>
      <c r="AS128" s="961"/>
      <c r="AT128" s="961"/>
      <c r="AU128" s="1420"/>
      <c r="AV128" s="498"/>
      <c r="AW128" s="498"/>
      <c r="AX128" s="498"/>
      <c r="AY128" s="498"/>
      <c r="AZ128" s="1429">
        <v>11</v>
      </c>
    </row>
    <row r="129" spans="1:52" s="1429" customFormat="1" ht="11.45" customHeight="1">
      <c r="A129" s="839"/>
      <c r="B129" s="1424"/>
      <c r="C129" s="1424"/>
      <c r="D129" s="284"/>
      <c r="AE129" s="961"/>
      <c r="AF129" s="1424"/>
      <c r="AG129" s="1424"/>
      <c r="AH129" s="961"/>
      <c r="AI129" s="961"/>
      <c r="AJ129" s="961"/>
      <c r="AK129" s="961"/>
      <c r="AL129" s="1424"/>
      <c r="AM129" s="961"/>
      <c r="AN129" s="961"/>
      <c r="AO129" s="476"/>
      <c r="AP129" s="961"/>
      <c r="AQ129" s="961"/>
      <c r="AR129" s="961"/>
      <c r="AS129" s="961"/>
      <c r="AT129" s="961"/>
      <c r="AU129" s="1420"/>
      <c r="AV129" s="498"/>
      <c r="AW129" s="498"/>
      <c r="AX129" s="498"/>
      <c r="AY129" s="498"/>
      <c r="AZ129" s="1429">
        <v>11</v>
      </c>
    </row>
    <row r="130" spans="1:52" s="1429" customFormat="1" ht="11.45" customHeight="1">
      <c r="A130" s="839"/>
      <c r="B130" s="1424"/>
      <c r="C130" s="1424"/>
      <c r="D130" s="284"/>
      <c r="AE130" s="961"/>
      <c r="AF130" s="1424"/>
      <c r="AG130" s="1424"/>
      <c r="AH130" s="961"/>
      <c r="AI130" s="961"/>
      <c r="AJ130" s="961"/>
      <c r="AK130" s="961"/>
      <c r="AL130" s="1424"/>
      <c r="AM130" s="961"/>
      <c r="AN130" s="961"/>
      <c r="AO130" s="476"/>
      <c r="AP130" s="961"/>
      <c r="AQ130" s="961"/>
      <c r="AR130" s="961"/>
      <c r="AS130" s="961"/>
      <c r="AT130" s="961"/>
      <c r="AU130" s="1420"/>
      <c r="AV130" s="498"/>
      <c r="AW130" s="498"/>
      <c r="AX130" s="498"/>
      <c r="AY130" s="498"/>
      <c r="AZ130" s="1429">
        <v>11</v>
      </c>
    </row>
    <row r="131" spans="1:52" s="1429" customFormat="1" ht="11.45" customHeight="1">
      <c r="A131" s="839"/>
      <c r="B131" s="1424"/>
      <c r="C131" s="1424"/>
      <c r="D131" s="284"/>
      <c r="AE131" s="961"/>
      <c r="AF131" s="1424"/>
      <c r="AG131" s="1424"/>
      <c r="AH131" s="961"/>
      <c r="AI131" s="961"/>
      <c r="AJ131" s="961"/>
      <c r="AK131" s="961"/>
      <c r="AL131" s="1424"/>
      <c r="AM131" s="961"/>
      <c r="AN131" s="961"/>
      <c r="AO131" s="476"/>
      <c r="AP131" s="961"/>
      <c r="AQ131" s="961"/>
      <c r="AR131" s="961"/>
      <c r="AS131" s="961"/>
      <c r="AT131" s="961"/>
      <c r="AU131" s="1420"/>
      <c r="AV131" s="498"/>
      <c r="AW131" s="498"/>
      <c r="AX131" s="498"/>
      <c r="AY131" s="498"/>
      <c r="AZ131" s="1429">
        <v>11</v>
      </c>
    </row>
    <row r="132" spans="1:52" s="1429" customFormat="1" ht="11.45" customHeight="1">
      <c r="A132" s="839"/>
      <c r="B132" s="1424"/>
      <c r="C132" s="1424"/>
      <c r="D132" s="284"/>
      <c r="AE132" s="961"/>
      <c r="AF132" s="1424"/>
      <c r="AG132" s="1424"/>
      <c r="AH132" s="961"/>
      <c r="AI132" s="961"/>
      <c r="AJ132" s="961"/>
      <c r="AK132" s="961"/>
      <c r="AL132" s="1424"/>
      <c r="AM132" s="961"/>
      <c r="AN132" s="961"/>
      <c r="AO132" s="476"/>
      <c r="AP132" s="961"/>
      <c r="AQ132" s="961"/>
      <c r="AR132" s="961"/>
      <c r="AS132" s="961"/>
      <c r="AT132" s="961"/>
      <c r="AU132" s="1420"/>
      <c r="AV132" s="498"/>
      <c r="AW132" s="498"/>
      <c r="AX132" s="498"/>
      <c r="AY132" s="498"/>
      <c r="AZ132" s="1429">
        <v>11</v>
      </c>
    </row>
    <row r="133" spans="1:52" s="1429" customFormat="1" ht="11.45" customHeight="1">
      <c r="A133" s="839"/>
      <c r="B133" s="1424"/>
      <c r="C133" s="1424"/>
      <c r="D133" s="284"/>
      <c r="AE133" s="961"/>
      <c r="AF133" s="1424"/>
      <c r="AG133" s="1424"/>
      <c r="AH133" s="961"/>
      <c r="AI133" s="961"/>
      <c r="AJ133" s="961"/>
      <c r="AK133" s="961"/>
      <c r="AL133" s="1424"/>
      <c r="AM133" s="961"/>
      <c r="AN133" s="961"/>
      <c r="AO133" s="476"/>
      <c r="AP133" s="961"/>
      <c r="AQ133" s="961"/>
      <c r="AR133" s="961"/>
      <c r="AS133" s="961"/>
      <c r="AT133" s="961"/>
      <c r="AU133" s="1420"/>
      <c r="AV133" s="498"/>
      <c r="AW133" s="498"/>
      <c r="AX133" s="498"/>
      <c r="AY133" s="498"/>
      <c r="AZ133" s="1429">
        <v>11</v>
      </c>
    </row>
    <row r="134" spans="1:52" s="1429" customFormat="1" ht="11.45" customHeight="1">
      <c r="A134" s="839"/>
      <c r="B134" s="1424"/>
      <c r="C134" s="1424"/>
      <c r="D134" s="284"/>
      <c r="AE134" s="961"/>
      <c r="AF134" s="1424"/>
      <c r="AG134" s="1424"/>
      <c r="AH134" s="961"/>
      <c r="AI134" s="961"/>
      <c r="AJ134" s="961"/>
      <c r="AK134" s="961"/>
      <c r="AL134" s="1424"/>
      <c r="AM134" s="961"/>
      <c r="AN134" s="961"/>
      <c r="AO134" s="476"/>
      <c r="AP134" s="961"/>
      <c r="AQ134" s="961"/>
      <c r="AR134" s="961"/>
      <c r="AS134" s="961"/>
      <c r="AT134" s="961"/>
      <c r="AU134" s="1420"/>
      <c r="AV134" s="498"/>
      <c r="AW134" s="498"/>
      <c r="AX134" s="498"/>
      <c r="AY134" s="498"/>
      <c r="AZ134" s="1429">
        <v>11</v>
      </c>
    </row>
    <row r="135" spans="1:52" s="1429" customFormat="1" ht="11.45" customHeight="1">
      <c r="A135" s="839"/>
      <c r="B135" s="1424"/>
      <c r="C135" s="1424"/>
      <c r="D135" s="284"/>
      <c r="AE135" s="961"/>
      <c r="AF135" s="1424"/>
      <c r="AG135" s="1424"/>
      <c r="AH135" s="961"/>
      <c r="AI135" s="961"/>
      <c r="AJ135" s="961"/>
      <c r="AK135" s="961"/>
      <c r="AL135" s="1424"/>
      <c r="AM135" s="961"/>
      <c r="AN135" s="961"/>
      <c r="AO135" s="476"/>
      <c r="AP135" s="961"/>
      <c r="AQ135" s="961"/>
      <c r="AR135" s="961"/>
      <c r="AS135" s="961"/>
      <c r="AT135" s="961"/>
      <c r="AU135" s="1420"/>
      <c r="AV135" s="498"/>
      <c r="AW135" s="498"/>
      <c r="AX135" s="498"/>
      <c r="AY135" s="498"/>
      <c r="AZ135" s="1429">
        <v>11</v>
      </c>
    </row>
    <row r="136" spans="1:52" s="1429" customFormat="1" ht="11.45" customHeight="1">
      <c r="A136" s="839"/>
      <c r="B136" s="1424"/>
      <c r="C136" s="1424"/>
      <c r="D136" s="284"/>
      <c r="AE136" s="961"/>
      <c r="AF136" s="1424"/>
      <c r="AG136" s="1424"/>
      <c r="AH136" s="961"/>
      <c r="AI136" s="961"/>
      <c r="AJ136" s="961"/>
      <c r="AK136" s="961"/>
      <c r="AL136" s="1424"/>
      <c r="AM136" s="961"/>
      <c r="AN136" s="961"/>
      <c r="AO136" s="476"/>
      <c r="AP136" s="961"/>
      <c r="AQ136" s="961"/>
      <c r="AR136" s="961"/>
      <c r="AS136" s="961"/>
      <c r="AT136" s="961"/>
      <c r="AU136" s="1420"/>
      <c r="AV136" s="498"/>
      <c r="AW136" s="498"/>
      <c r="AX136" s="498"/>
      <c r="AY136" s="498"/>
      <c r="AZ136" s="1429">
        <v>11</v>
      </c>
    </row>
    <row r="137" spans="1:52" s="1429" customFormat="1" ht="11.45" customHeight="1">
      <c r="A137" s="839"/>
      <c r="B137" s="1424"/>
      <c r="C137" s="1424"/>
      <c r="D137" s="284"/>
      <c r="AE137" s="961"/>
      <c r="AF137" s="1424"/>
      <c r="AG137" s="1424"/>
      <c r="AH137" s="961"/>
      <c r="AI137" s="961"/>
      <c r="AJ137" s="961"/>
      <c r="AK137" s="961"/>
      <c r="AL137" s="1424"/>
      <c r="AM137" s="961"/>
      <c r="AN137" s="961"/>
      <c r="AO137" s="476"/>
      <c r="AP137" s="961"/>
      <c r="AQ137" s="961"/>
      <c r="AR137" s="961"/>
      <c r="AS137" s="961"/>
      <c r="AT137" s="961"/>
      <c r="AU137" s="1420"/>
      <c r="AV137" s="498"/>
      <c r="AW137" s="498"/>
      <c r="AX137" s="498"/>
      <c r="AY137" s="498"/>
      <c r="AZ137" s="1429">
        <v>11</v>
      </c>
    </row>
    <row r="138" spans="1:52" s="1429" customFormat="1" ht="11.45" customHeight="1">
      <c r="A138" s="839"/>
      <c r="B138" s="1424"/>
      <c r="C138" s="1424"/>
      <c r="D138" s="284"/>
      <c r="AE138" s="961"/>
      <c r="AF138" s="1424"/>
      <c r="AG138" s="1424"/>
      <c r="AH138" s="961"/>
      <c r="AI138" s="961"/>
      <c r="AJ138" s="961"/>
      <c r="AK138" s="961"/>
      <c r="AL138" s="1424"/>
      <c r="AM138" s="961"/>
      <c r="AN138" s="961"/>
      <c r="AO138" s="476"/>
      <c r="AP138" s="961"/>
      <c r="AQ138" s="961"/>
      <c r="AR138" s="961"/>
      <c r="AS138" s="961"/>
      <c r="AT138" s="961"/>
      <c r="AU138" s="1420"/>
      <c r="AV138" s="498"/>
      <c r="AW138" s="498"/>
      <c r="AX138" s="498"/>
      <c r="AY138" s="498"/>
      <c r="AZ138" s="1429">
        <v>11</v>
      </c>
    </row>
    <row r="139" spans="1:52" s="1429" customFormat="1" ht="11.45" customHeight="1">
      <c r="A139" s="839"/>
      <c r="B139" s="1424"/>
      <c r="C139" s="1424"/>
      <c r="D139" s="284"/>
      <c r="AE139" s="961"/>
      <c r="AF139" s="1424"/>
      <c r="AG139" s="1424"/>
      <c r="AH139" s="961"/>
      <c r="AI139" s="961"/>
      <c r="AJ139" s="961"/>
      <c r="AK139" s="961"/>
      <c r="AL139" s="1424"/>
      <c r="AM139" s="961"/>
      <c r="AN139" s="961"/>
      <c r="AO139" s="476"/>
      <c r="AP139" s="961"/>
      <c r="AQ139" s="961"/>
      <c r="AR139" s="961"/>
      <c r="AS139" s="961"/>
      <c r="AT139" s="961"/>
      <c r="AU139" s="1420"/>
      <c r="AV139" s="498"/>
      <c r="AW139" s="498"/>
      <c r="AX139" s="498"/>
      <c r="AY139" s="498"/>
      <c r="AZ139" s="1429">
        <v>11</v>
      </c>
    </row>
    <row r="140" spans="1:52" s="1429" customFormat="1" ht="11.45" customHeight="1">
      <c r="A140" s="839"/>
      <c r="B140" s="1424"/>
      <c r="C140" s="1424"/>
      <c r="D140" s="284"/>
      <c r="AE140" s="961"/>
      <c r="AF140" s="1424"/>
      <c r="AG140" s="1424"/>
      <c r="AH140" s="961"/>
      <c r="AI140" s="961"/>
      <c r="AJ140" s="961"/>
      <c r="AK140" s="961"/>
      <c r="AL140" s="1424"/>
      <c r="AM140" s="961"/>
      <c r="AN140" s="961"/>
      <c r="AO140" s="476"/>
      <c r="AP140" s="961"/>
      <c r="AQ140" s="961"/>
      <c r="AR140" s="961"/>
      <c r="AS140" s="961"/>
      <c r="AT140" s="961"/>
      <c r="AU140" s="1420"/>
      <c r="AV140" s="498"/>
      <c r="AW140" s="498"/>
      <c r="AX140" s="498"/>
      <c r="AY140" s="498"/>
      <c r="AZ140" s="1429">
        <v>11</v>
      </c>
    </row>
    <row r="141" spans="1:52" s="1429" customFormat="1" ht="11.45" customHeight="1">
      <c r="A141" s="839"/>
      <c r="B141" s="1424"/>
      <c r="C141" s="1424"/>
      <c r="D141" s="284"/>
      <c r="AE141" s="961"/>
      <c r="AF141" s="1424"/>
      <c r="AG141" s="1424"/>
      <c r="AH141" s="961"/>
      <c r="AI141" s="961"/>
      <c r="AJ141" s="961"/>
      <c r="AK141" s="961"/>
      <c r="AL141" s="1424"/>
      <c r="AM141" s="961"/>
      <c r="AN141" s="961"/>
      <c r="AO141" s="476"/>
      <c r="AP141" s="961"/>
      <c r="AQ141" s="961"/>
      <c r="AR141" s="961"/>
      <c r="AS141" s="961"/>
      <c r="AT141" s="961"/>
      <c r="AU141" s="1420"/>
      <c r="AV141" s="498"/>
      <c r="AW141" s="498"/>
      <c r="AX141" s="498"/>
      <c r="AY141" s="498"/>
      <c r="AZ141" s="1429">
        <v>11</v>
      </c>
    </row>
    <row r="142" spans="1:52" s="1429" customFormat="1" ht="11.45" customHeight="1">
      <c r="A142" s="839"/>
      <c r="B142" s="1424"/>
      <c r="C142" s="1424"/>
      <c r="D142" s="284"/>
      <c r="AE142" s="961"/>
      <c r="AF142" s="1424"/>
      <c r="AG142" s="1424"/>
      <c r="AH142" s="961"/>
      <c r="AI142" s="961"/>
      <c r="AJ142" s="961"/>
      <c r="AK142" s="961"/>
      <c r="AL142" s="1424"/>
      <c r="AM142" s="961"/>
      <c r="AN142" s="961"/>
      <c r="AO142" s="476"/>
      <c r="AP142" s="961"/>
      <c r="AQ142" s="961"/>
      <c r="AR142" s="961"/>
      <c r="AS142" s="961"/>
      <c r="AT142" s="961"/>
      <c r="AU142" s="1420"/>
      <c r="AV142" s="498"/>
      <c r="AW142" s="498"/>
      <c r="AX142" s="498"/>
      <c r="AY142" s="498"/>
      <c r="AZ142" s="1429">
        <v>11</v>
      </c>
    </row>
    <row r="143" spans="1:52" s="1429" customFormat="1" ht="11.45" customHeight="1">
      <c r="A143" s="839"/>
      <c r="B143" s="1424"/>
      <c r="C143" s="1424"/>
      <c r="D143" s="284"/>
      <c r="AE143" s="961"/>
      <c r="AF143" s="1424"/>
      <c r="AG143" s="1424"/>
      <c r="AH143" s="961"/>
      <c r="AI143" s="961"/>
      <c r="AJ143" s="961"/>
      <c r="AK143" s="961"/>
      <c r="AL143" s="1424"/>
      <c r="AM143" s="961"/>
      <c r="AN143" s="961"/>
      <c r="AO143" s="476"/>
      <c r="AP143" s="961"/>
      <c r="AQ143" s="961"/>
      <c r="AR143" s="961"/>
      <c r="AS143" s="961"/>
      <c r="AT143" s="961"/>
      <c r="AU143" s="1420"/>
      <c r="AV143" s="498"/>
      <c r="AW143" s="498"/>
      <c r="AX143" s="498"/>
      <c r="AY143" s="498"/>
      <c r="AZ143" s="1429">
        <v>11</v>
      </c>
    </row>
    <row r="144" spans="1:52" s="1429" customFormat="1" ht="11.45" customHeight="1">
      <c r="A144" s="839"/>
      <c r="B144" s="1424"/>
      <c r="C144" s="1424"/>
      <c r="D144" s="284"/>
      <c r="AE144" s="961"/>
      <c r="AF144" s="1424"/>
      <c r="AG144" s="1424"/>
      <c r="AH144" s="961"/>
      <c r="AI144" s="961"/>
      <c r="AJ144" s="961"/>
      <c r="AK144" s="961"/>
      <c r="AL144" s="1424"/>
      <c r="AM144" s="961"/>
      <c r="AN144" s="961"/>
      <c r="AO144" s="476"/>
      <c r="AP144" s="961"/>
      <c r="AQ144" s="961"/>
      <c r="AR144" s="961"/>
      <c r="AS144" s="961"/>
      <c r="AT144" s="961"/>
      <c r="AU144" s="1420"/>
      <c r="AV144" s="498"/>
      <c r="AW144" s="498"/>
      <c r="AX144" s="498"/>
      <c r="AY144" s="498"/>
      <c r="AZ144" s="1429">
        <v>11</v>
      </c>
    </row>
    <row r="145" spans="1:52" s="1429" customFormat="1" ht="11.45" customHeight="1">
      <c r="A145" s="839"/>
      <c r="B145" s="1424"/>
      <c r="C145" s="1424"/>
      <c r="D145" s="284"/>
      <c r="AE145" s="961"/>
      <c r="AF145" s="1424"/>
      <c r="AG145" s="1424"/>
      <c r="AH145" s="961"/>
      <c r="AI145" s="961"/>
      <c r="AJ145" s="961"/>
      <c r="AK145" s="961"/>
      <c r="AL145" s="1424"/>
      <c r="AM145" s="961"/>
      <c r="AN145" s="961"/>
      <c r="AO145" s="476"/>
      <c r="AP145" s="961"/>
      <c r="AQ145" s="961"/>
      <c r="AR145" s="961"/>
      <c r="AS145" s="961"/>
      <c r="AT145" s="961"/>
      <c r="AU145" s="1420"/>
      <c r="AV145" s="498"/>
      <c r="AW145" s="498"/>
      <c r="AX145" s="498"/>
      <c r="AY145" s="498"/>
      <c r="AZ145" s="1429">
        <v>11</v>
      </c>
    </row>
    <row r="146" spans="1:52" s="1429" customFormat="1" ht="11.45" customHeight="1">
      <c r="A146" s="839"/>
      <c r="B146" s="1424"/>
      <c r="C146" s="1424"/>
      <c r="D146" s="284"/>
      <c r="AE146" s="961"/>
      <c r="AF146" s="1424"/>
      <c r="AG146" s="1424"/>
      <c r="AH146" s="961"/>
      <c r="AI146" s="961"/>
      <c r="AJ146" s="961"/>
      <c r="AK146" s="961"/>
      <c r="AL146" s="1424"/>
      <c r="AM146" s="961"/>
      <c r="AN146" s="961"/>
      <c r="AO146" s="476"/>
      <c r="AP146" s="961"/>
      <c r="AQ146" s="961"/>
      <c r="AR146" s="961"/>
      <c r="AS146" s="961"/>
      <c r="AT146" s="961"/>
      <c r="AU146" s="1420"/>
      <c r="AV146" s="498"/>
      <c r="AW146" s="498"/>
      <c r="AX146" s="498"/>
      <c r="AY146" s="498"/>
      <c r="AZ146" s="1429">
        <v>11</v>
      </c>
    </row>
    <row r="147" spans="1:52" s="1429" customFormat="1" ht="11.45" customHeight="1">
      <c r="A147" s="839"/>
      <c r="B147" s="1424"/>
      <c r="C147" s="1424"/>
      <c r="D147" s="284"/>
      <c r="AE147" s="961"/>
      <c r="AF147" s="1424"/>
      <c r="AG147" s="1424"/>
      <c r="AH147" s="961"/>
      <c r="AI147" s="961"/>
      <c r="AJ147" s="961"/>
      <c r="AK147" s="961"/>
      <c r="AL147" s="1424"/>
      <c r="AM147" s="961"/>
      <c r="AN147" s="961"/>
      <c r="AO147" s="476"/>
      <c r="AP147" s="961"/>
      <c r="AQ147" s="961"/>
      <c r="AR147" s="961"/>
      <c r="AS147" s="961"/>
      <c r="AT147" s="961"/>
      <c r="AU147" s="1420"/>
      <c r="AV147" s="498"/>
      <c r="AW147" s="498"/>
      <c r="AX147" s="498"/>
      <c r="AY147" s="498"/>
      <c r="AZ147" s="1429">
        <v>11</v>
      </c>
    </row>
    <row r="148" spans="1:52" s="1429" customFormat="1" ht="11.45" customHeight="1">
      <c r="A148" s="839"/>
      <c r="B148" s="1424"/>
      <c r="C148" s="1424"/>
      <c r="D148" s="284"/>
      <c r="AE148" s="961"/>
      <c r="AF148" s="1424"/>
      <c r="AG148" s="1424"/>
      <c r="AH148" s="961"/>
      <c r="AI148" s="961"/>
      <c r="AJ148" s="961"/>
      <c r="AK148" s="961"/>
      <c r="AL148" s="1424"/>
      <c r="AM148" s="961"/>
      <c r="AN148" s="961"/>
      <c r="AO148" s="476"/>
      <c r="AP148" s="961"/>
      <c r="AQ148" s="961"/>
      <c r="AR148" s="961"/>
      <c r="AS148" s="961"/>
      <c r="AT148" s="961"/>
      <c r="AU148" s="1420"/>
      <c r="AV148" s="498"/>
      <c r="AW148" s="498"/>
      <c r="AX148" s="498"/>
      <c r="AY148" s="498"/>
      <c r="AZ148" s="1429">
        <v>11</v>
      </c>
    </row>
    <row r="149" spans="1:52" s="1429" customFormat="1" ht="11.45" customHeight="1">
      <c r="A149" s="839"/>
      <c r="B149" s="1424"/>
      <c r="C149" s="1424"/>
      <c r="D149" s="284"/>
      <c r="AE149" s="961"/>
      <c r="AF149" s="1424"/>
      <c r="AG149" s="1424"/>
      <c r="AH149" s="961"/>
      <c r="AI149" s="961"/>
      <c r="AJ149" s="961"/>
      <c r="AK149" s="961"/>
      <c r="AL149" s="1424"/>
      <c r="AM149" s="961"/>
      <c r="AN149" s="961"/>
      <c r="AO149" s="476"/>
      <c r="AP149" s="961"/>
      <c r="AQ149" s="961"/>
      <c r="AR149" s="961"/>
      <c r="AS149" s="961"/>
      <c r="AT149" s="961"/>
      <c r="AU149" s="1420"/>
      <c r="AV149" s="498"/>
      <c r="AW149" s="498"/>
      <c r="AX149" s="498"/>
      <c r="AY149" s="498"/>
      <c r="AZ149" s="1429">
        <v>11</v>
      </c>
    </row>
    <row r="150" spans="1:52" s="1429" customFormat="1" ht="11.45" customHeight="1">
      <c r="A150" s="839"/>
      <c r="B150" s="1424"/>
      <c r="C150" s="1424"/>
      <c r="D150" s="284"/>
      <c r="AE150" s="961"/>
      <c r="AF150" s="1424"/>
      <c r="AG150" s="1424"/>
      <c r="AH150" s="961"/>
      <c r="AI150" s="961"/>
      <c r="AJ150" s="961"/>
      <c r="AK150" s="961"/>
      <c r="AL150" s="1424"/>
      <c r="AM150" s="961"/>
      <c r="AN150" s="961"/>
      <c r="AO150" s="476"/>
      <c r="AP150" s="961"/>
      <c r="AQ150" s="961"/>
      <c r="AR150" s="961"/>
      <c r="AS150" s="961"/>
      <c r="AT150" s="961"/>
      <c r="AU150" s="1420"/>
      <c r="AV150" s="498"/>
      <c r="AW150" s="498"/>
      <c r="AX150" s="498"/>
      <c r="AY150" s="498"/>
      <c r="AZ150" s="1429">
        <v>11</v>
      </c>
    </row>
    <row r="151" spans="1:52" s="1429" customFormat="1" ht="11.45" customHeight="1">
      <c r="A151" s="839"/>
      <c r="B151" s="1424"/>
      <c r="C151" s="1424"/>
      <c r="D151" s="284"/>
      <c r="AE151" s="961"/>
      <c r="AF151" s="1424"/>
      <c r="AG151" s="1424"/>
      <c r="AH151" s="961"/>
      <c r="AI151" s="961"/>
      <c r="AJ151" s="961"/>
      <c r="AK151" s="961"/>
      <c r="AL151" s="1424"/>
      <c r="AM151" s="961"/>
      <c r="AN151" s="961"/>
      <c r="AO151" s="476"/>
      <c r="AP151" s="961"/>
      <c r="AQ151" s="961"/>
      <c r="AR151" s="961"/>
      <c r="AS151" s="961"/>
      <c r="AT151" s="961"/>
      <c r="AU151" s="1420"/>
      <c r="AV151" s="498"/>
      <c r="AW151" s="498"/>
      <c r="AX151" s="498"/>
      <c r="AY151" s="498"/>
      <c r="AZ151" s="1429">
        <v>11</v>
      </c>
    </row>
    <row r="152" spans="1:52" s="1429" customFormat="1" ht="11.45" customHeight="1">
      <c r="A152" s="839"/>
      <c r="B152" s="1424"/>
      <c r="C152" s="1424"/>
      <c r="D152" s="284"/>
      <c r="AE152" s="961"/>
      <c r="AF152" s="1424"/>
      <c r="AG152" s="1424"/>
      <c r="AH152" s="961"/>
      <c r="AI152" s="961"/>
      <c r="AJ152" s="961"/>
      <c r="AK152" s="961"/>
      <c r="AL152" s="1424"/>
      <c r="AM152" s="961"/>
      <c r="AN152" s="961"/>
      <c r="AO152" s="476"/>
      <c r="AP152" s="961"/>
      <c r="AQ152" s="961"/>
      <c r="AR152" s="961"/>
      <c r="AS152" s="961"/>
      <c r="AT152" s="961"/>
      <c r="AU152" s="1420"/>
      <c r="AV152" s="498"/>
      <c r="AW152" s="498"/>
      <c r="AX152" s="498"/>
      <c r="AY152" s="498"/>
      <c r="AZ152" s="1429">
        <v>11</v>
      </c>
    </row>
    <row r="153" spans="1:52" s="1429" customFormat="1" ht="11.45" customHeight="1">
      <c r="A153" s="839"/>
      <c r="B153" s="1424"/>
      <c r="C153" s="1424"/>
      <c r="D153" s="284"/>
      <c r="AE153" s="961"/>
      <c r="AF153" s="1424"/>
      <c r="AG153" s="1424"/>
      <c r="AH153" s="961"/>
      <c r="AI153" s="961"/>
      <c r="AJ153" s="961"/>
      <c r="AK153" s="961"/>
      <c r="AL153" s="1424"/>
      <c r="AM153" s="961"/>
      <c r="AN153" s="961"/>
      <c r="AO153" s="476"/>
      <c r="AP153" s="961"/>
      <c r="AQ153" s="961"/>
      <c r="AR153" s="961"/>
      <c r="AS153" s="961"/>
      <c r="AT153" s="961"/>
      <c r="AU153" s="1420"/>
      <c r="AV153" s="498"/>
      <c r="AW153" s="498"/>
      <c r="AX153" s="498"/>
      <c r="AY153" s="498"/>
      <c r="AZ153" s="1429">
        <v>11</v>
      </c>
    </row>
    <row r="154" spans="1:52" s="1429" customFormat="1" ht="11.45" customHeight="1">
      <c r="A154" s="839"/>
      <c r="B154" s="1424"/>
      <c r="C154" s="1424"/>
      <c r="D154" s="284"/>
      <c r="AE154" s="961"/>
      <c r="AF154" s="1424"/>
      <c r="AG154" s="1424"/>
      <c r="AH154" s="961"/>
      <c r="AI154" s="961"/>
      <c r="AJ154" s="961"/>
      <c r="AK154" s="961"/>
      <c r="AL154" s="1424"/>
      <c r="AM154" s="961"/>
      <c r="AN154" s="961"/>
      <c r="AO154" s="476"/>
      <c r="AP154" s="961"/>
      <c r="AQ154" s="961"/>
      <c r="AR154" s="961"/>
      <c r="AS154" s="961"/>
      <c r="AT154" s="961"/>
      <c r="AU154" s="1420"/>
      <c r="AV154" s="498"/>
      <c r="AW154" s="498"/>
      <c r="AX154" s="498"/>
      <c r="AY154" s="498"/>
      <c r="AZ154" s="1429">
        <v>11</v>
      </c>
    </row>
    <row r="155" spans="1:52" s="1429" customFormat="1" ht="11.45" customHeight="1">
      <c r="A155" s="839"/>
      <c r="B155" s="1424"/>
      <c r="C155" s="1424"/>
      <c r="D155" s="284"/>
      <c r="AE155" s="961"/>
      <c r="AF155" s="1424"/>
      <c r="AG155" s="1424"/>
      <c r="AH155" s="961"/>
      <c r="AI155" s="961"/>
      <c r="AJ155" s="961"/>
      <c r="AK155" s="961"/>
      <c r="AL155" s="1424"/>
      <c r="AM155" s="961"/>
      <c r="AN155" s="961"/>
      <c r="AO155" s="476"/>
      <c r="AP155" s="961"/>
      <c r="AQ155" s="961"/>
      <c r="AR155" s="961"/>
      <c r="AS155" s="961"/>
      <c r="AT155" s="961"/>
      <c r="AU155" s="1420"/>
      <c r="AV155" s="498"/>
      <c r="AW155" s="498"/>
      <c r="AX155" s="498"/>
      <c r="AY155" s="498"/>
      <c r="AZ155" s="1429">
        <v>11</v>
      </c>
    </row>
    <row r="156" spans="1:52" s="1429" customFormat="1" ht="11.45" customHeight="1">
      <c r="A156" s="839"/>
      <c r="B156" s="1424"/>
      <c r="C156" s="1424"/>
      <c r="D156" s="284"/>
      <c r="AE156" s="961"/>
      <c r="AF156" s="1424"/>
      <c r="AG156" s="1424"/>
      <c r="AH156" s="961"/>
      <c r="AI156" s="961"/>
      <c r="AJ156" s="961"/>
      <c r="AK156" s="961"/>
      <c r="AL156" s="1424"/>
      <c r="AM156" s="961"/>
      <c r="AN156" s="961"/>
      <c r="AO156" s="476"/>
      <c r="AP156" s="961"/>
      <c r="AQ156" s="961"/>
      <c r="AR156" s="961"/>
      <c r="AS156" s="961"/>
      <c r="AT156" s="961"/>
      <c r="AU156" s="1420"/>
      <c r="AV156" s="498"/>
      <c r="AW156" s="498"/>
      <c r="AX156" s="498"/>
      <c r="AY156" s="498"/>
      <c r="AZ156" s="1429">
        <v>11</v>
      </c>
    </row>
    <row r="157" spans="1:52" s="1429" customFormat="1" ht="11.45" customHeight="1">
      <c r="A157" s="839"/>
      <c r="B157" s="1424"/>
      <c r="C157" s="1424"/>
      <c r="D157" s="284"/>
      <c r="AE157" s="961"/>
      <c r="AF157" s="1424"/>
      <c r="AG157" s="1424"/>
      <c r="AH157" s="961"/>
      <c r="AI157" s="961"/>
      <c r="AJ157" s="961"/>
      <c r="AK157" s="961"/>
      <c r="AL157" s="1424"/>
      <c r="AM157" s="961"/>
      <c r="AN157" s="961"/>
      <c r="AO157" s="476"/>
      <c r="AP157" s="961"/>
      <c r="AQ157" s="961"/>
      <c r="AR157" s="961"/>
      <c r="AS157" s="961"/>
      <c r="AT157" s="961"/>
      <c r="AU157" s="1420"/>
      <c r="AV157" s="498"/>
      <c r="AW157" s="498"/>
      <c r="AX157" s="498"/>
      <c r="AY157" s="498"/>
      <c r="AZ157" s="1429">
        <v>11</v>
      </c>
    </row>
    <row r="158" spans="1:52" s="1429" customFormat="1" ht="11.45" customHeight="1">
      <c r="A158" s="839"/>
      <c r="B158" s="1424"/>
      <c r="C158" s="1424"/>
      <c r="D158" s="284"/>
      <c r="AE158" s="961"/>
      <c r="AF158" s="1424"/>
      <c r="AG158" s="1424"/>
      <c r="AH158" s="961"/>
      <c r="AI158" s="961"/>
      <c r="AJ158" s="961"/>
      <c r="AK158" s="961"/>
      <c r="AL158" s="1424"/>
      <c r="AM158" s="961"/>
      <c r="AN158" s="961"/>
      <c r="AO158" s="476"/>
      <c r="AP158" s="961"/>
      <c r="AQ158" s="961"/>
      <c r="AR158" s="961"/>
      <c r="AS158" s="961"/>
      <c r="AT158" s="961"/>
      <c r="AU158" s="1420"/>
      <c r="AV158" s="498"/>
      <c r="AW158" s="498"/>
      <c r="AX158" s="498"/>
      <c r="AY158" s="498"/>
      <c r="AZ158" s="1429">
        <v>11</v>
      </c>
    </row>
    <row r="159" spans="1:52" s="1429" customFormat="1" ht="11.45" customHeight="1">
      <c r="A159" s="839"/>
      <c r="B159" s="1424"/>
      <c r="C159" s="1424"/>
      <c r="D159" s="284"/>
      <c r="AE159" s="961"/>
      <c r="AF159" s="1424"/>
      <c r="AG159" s="1424"/>
      <c r="AH159" s="961"/>
      <c r="AI159" s="961"/>
      <c r="AJ159" s="961"/>
      <c r="AK159" s="961"/>
      <c r="AL159" s="1424"/>
      <c r="AM159" s="961"/>
      <c r="AN159" s="961"/>
      <c r="AO159" s="476"/>
      <c r="AP159" s="961"/>
      <c r="AQ159" s="961"/>
      <c r="AR159" s="961"/>
      <c r="AS159" s="961"/>
      <c r="AT159" s="961"/>
      <c r="AU159" s="1420"/>
      <c r="AV159" s="498"/>
      <c r="AW159" s="498"/>
      <c r="AX159" s="498"/>
      <c r="AY159" s="498"/>
      <c r="AZ159" s="1429">
        <v>11</v>
      </c>
    </row>
    <row r="160" spans="1:52" s="1429" customFormat="1" ht="11.45" customHeight="1">
      <c r="A160" s="839"/>
      <c r="B160" s="1424"/>
      <c r="C160" s="1424"/>
      <c r="D160" s="284"/>
      <c r="AE160" s="961"/>
      <c r="AF160" s="1424"/>
      <c r="AG160" s="1424"/>
      <c r="AH160" s="961"/>
      <c r="AI160" s="961"/>
      <c r="AJ160" s="961"/>
      <c r="AK160" s="961"/>
      <c r="AL160" s="1424"/>
      <c r="AM160" s="961"/>
      <c r="AN160" s="961"/>
      <c r="AO160" s="476"/>
      <c r="AP160" s="961"/>
      <c r="AQ160" s="961"/>
      <c r="AR160" s="961"/>
      <c r="AS160" s="961"/>
      <c r="AT160" s="961"/>
      <c r="AU160" s="1420"/>
      <c r="AV160" s="498"/>
      <c r="AW160" s="498"/>
      <c r="AX160" s="498"/>
      <c r="AY160" s="498"/>
      <c r="AZ160" s="1429">
        <v>11</v>
      </c>
    </row>
    <row r="161" spans="1:52" s="1429" customFormat="1" ht="11.45" customHeight="1">
      <c r="A161" s="839"/>
      <c r="B161" s="1424"/>
      <c r="C161" s="1424"/>
      <c r="D161" s="284"/>
      <c r="AE161" s="961"/>
      <c r="AF161" s="1424"/>
      <c r="AG161" s="1424"/>
      <c r="AH161" s="961"/>
      <c r="AI161" s="961"/>
      <c r="AJ161" s="961"/>
      <c r="AK161" s="961"/>
      <c r="AL161" s="1424"/>
      <c r="AM161" s="961"/>
      <c r="AN161" s="961"/>
      <c r="AO161" s="476"/>
      <c r="AP161" s="961"/>
      <c r="AQ161" s="961"/>
      <c r="AR161" s="961"/>
      <c r="AS161" s="961"/>
      <c r="AT161" s="961"/>
      <c r="AU161" s="1420"/>
      <c r="AV161" s="498"/>
      <c r="AW161" s="498"/>
      <c r="AX161" s="498"/>
      <c r="AY161" s="498"/>
      <c r="AZ161" s="1429">
        <v>11</v>
      </c>
    </row>
    <row r="162" spans="1:52" s="1429" customFormat="1" ht="11.45" customHeight="1">
      <c r="A162" s="839"/>
      <c r="B162" s="1424"/>
      <c r="C162" s="1424"/>
      <c r="D162" s="284"/>
      <c r="AE162" s="961"/>
      <c r="AF162" s="1424"/>
      <c r="AG162" s="1424"/>
      <c r="AH162" s="961"/>
      <c r="AI162" s="961"/>
      <c r="AJ162" s="961"/>
      <c r="AK162" s="961"/>
      <c r="AL162" s="1424"/>
      <c r="AM162" s="961"/>
      <c r="AN162" s="961"/>
      <c r="AO162" s="476"/>
      <c r="AP162" s="961"/>
      <c r="AQ162" s="961"/>
      <c r="AR162" s="961"/>
      <c r="AS162" s="961"/>
      <c r="AT162" s="961"/>
      <c r="AU162" s="1420"/>
      <c r="AV162" s="498"/>
      <c r="AW162" s="498"/>
      <c r="AX162" s="498"/>
      <c r="AY162" s="498"/>
      <c r="AZ162" s="1429">
        <v>11</v>
      </c>
    </row>
    <row r="163" spans="1:52" s="1429" customFormat="1" ht="11.45" customHeight="1">
      <c r="A163" s="839"/>
      <c r="B163" s="1424"/>
      <c r="C163" s="1424"/>
      <c r="D163" s="284"/>
      <c r="AE163" s="961"/>
      <c r="AF163" s="1424"/>
      <c r="AG163" s="1424"/>
      <c r="AH163" s="961"/>
      <c r="AI163" s="961"/>
      <c r="AJ163" s="961"/>
      <c r="AK163" s="961"/>
      <c r="AL163" s="1424"/>
      <c r="AM163" s="961"/>
      <c r="AN163" s="961"/>
      <c r="AO163" s="476"/>
      <c r="AP163" s="961"/>
      <c r="AQ163" s="961"/>
      <c r="AR163" s="961"/>
      <c r="AS163" s="961"/>
      <c r="AT163" s="961"/>
      <c r="AU163" s="1420"/>
      <c r="AV163" s="498"/>
      <c r="AW163" s="498"/>
      <c r="AX163" s="498"/>
      <c r="AY163" s="498"/>
      <c r="AZ163" s="1429">
        <v>11</v>
      </c>
    </row>
    <row r="164" spans="1:52" s="1429" customFormat="1" ht="11.45" customHeight="1">
      <c r="A164" s="839"/>
      <c r="B164" s="1424"/>
      <c r="C164" s="1424"/>
      <c r="D164" s="284"/>
      <c r="AE164" s="961"/>
      <c r="AF164" s="1424"/>
      <c r="AG164" s="1424"/>
      <c r="AH164" s="961"/>
      <c r="AI164" s="961"/>
      <c r="AJ164" s="961"/>
      <c r="AK164" s="961"/>
      <c r="AL164" s="1424"/>
      <c r="AM164" s="961"/>
      <c r="AN164" s="961"/>
      <c r="AO164" s="476"/>
      <c r="AP164" s="961"/>
      <c r="AQ164" s="961"/>
      <c r="AR164" s="961"/>
      <c r="AS164" s="961"/>
      <c r="AT164" s="961"/>
      <c r="AU164" s="1420"/>
      <c r="AV164" s="498"/>
      <c r="AW164" s="498"/>
      <c r="AX164" s="498"/>
      <c r="AY164" s="498"/>
      <c r="AZ164" s="1429">
        <v>11</v>
      </c>
    </row>
    <row r="165" spans="1:52" s="1429" customFormat="1" ht="11.45" customHeight="1">
      <c r="A165" s="839"/>
      <c r="B165" s="1424"/>
      <c r="C165" s="1424"/>
      <c r="D165" s="284"/>
      <c r="AE165" s="961"/>
      <c r="AF165" s="1424"/>
      <c r="AG165" s="1424"/>
      <c r="AH165" s="961"/>
      <c r="AI165" s="961"/>
      <c r="AJ165" s="961"/>
      <c r="AK165" s="961"/>
      <c r="AL165" s="1424"/>
      <c r="AM165" s="961"/>
      <c r="AN165" s="961"/>
      <c r="AO165" s="476"/>
      <c r="AP165" s="961"/>
      <c r="AQ165" s="961"/>
      <c r="AR165" s="961"/>
      <c r="AS165" s="961"/>
      <c r="AT165" s="961"/>
      <c r="AU165" s="1420"/>
      <c r="AV165" s="498"/>
      <c r="AW165" s="498"/>
      <c r="AX165" s="498"/>
      <c r="AY165" s="498"/>
      <c r="AZ165" s="1429">
        <v>11</v>
      </c>
    </row>
    <row r="166" spans="1:52" s="1429" customFormat="1" ht="11.45" customHeight="1">
      <c r="A166" s="839"/>
      <c r="B166" s="1424"/>
      <c r="C166" s="1424"/>
      <c r="D166" s="284"/>
      <c r="AE166" s="961"/>
      <c r="AF166" s="1424"/>
      <c r="AG166" s="1424"/>
      <c r="AH166" s="961"/>
      <c r="AI166" s="961"/>
      <c r="AJ166" s="961"/>
      <c r="AK166" s="961"/>
      <c r="AL166" s="1424"/>
      <c r="AM166" s="961"/>
      <c r="AN166" s="961"/>
      <c r="AO166" s="476"/>
      <c r="AP166" s="961"/>
      <c r="AQ166" s="961"/>
      <c r="AR166" s="961"/>
      <c r="AS166" s="961"/>
      <c r="AT166" s="961"/>
      <c r="AU166" s="1420"/>
      <c r="AV166" s="498"/>
      <c r="AW166" s="498"/>
      <c r="AX166" s="498"/>
      <c r="AY166" s="498"/>
      <c r="AZ166" s="1429">
        <v>11</v>
      </c>
    </row>
    <row r="167" spans="1:52" s="1429" customFormat="1" ht="11.45" customHeight="1">
      <c r="A167" s="839"/>
      <c r="B167" s="1424"/>
      <c r="C167" s="1424"/>
      <c r="D167" s="284"/>
      <c r="AE167" s="961"/>
      <c r="AF167" s="1424"/>
      <c r="AG167" s="1424"/>
      <c r="AH167" s="961"/>
      <c r="AI167" s="961"/>
      <c r="AJ167" s="961"/>
      <c r="AK167" s="961"/>
      <c r="AL167" s="1424"/>
      <c r="AM167" s="961"/>
      <c r="AN167" s="961"/>
      <c r="AO167" s="476"/>
      <c r="AP167" s="961"/>
      <c r="AQ167" s="961"/>
      <c r="AR167" s="961"/>
      <c r="AS167" s="961"/>
      <c r="AT167" s="961"/>
      <c r="AU167" s="1420"/>
      <c r="AV167" s="498"/>
      <c r="AW167" s="498"/>
      <c r="AX167" s="498"/>
      <c r="AY167" s="498"/>
      <c r="AZ167" s="1429">
        <v>11</v>
      </c>
    </row>
    <row r="168" spans="1:52" s="1429" customFormat="1" ht="11.45" customHeight="1">
      <c r="A168" s="839"/>
      <c r="B168" s="1424"/>
      <c r="C168" s="1424"/>
      <c r="D168" s="284"/>
      <c r="AE168" s="961"/>
      <c r="AF168" s="1424"/>
      <c r="AG168" s="1424"/>
      <c r="AH168" s="961"/>
      <c r="AI168" s="961"/>
      <c r="AJ168" s="961"/>
      <c r="AK168" s="961"/>
      <c r="AL168" s="1424"/>
      <c r="AM168" s="961"/>
      <c r="AN168" s="961"/>
      <c r="AO168" s="476"/>
      <c r="AP168" s="961"/>
      <c r="AQ168" s="961"/>
      <c r="AR168" s="961"/>
      <c r="AS168" s="961"/>
      <c r="AT168" s="961"/>
      <c r="AU168" s="1420"/>
      <c r="AV168" s="498"/>
      <c r="AW168" s="498"/>
      <c r="AX168" s="498"/>
      <c r="AY168" s="498"/>
      <c r="AZ168" s="1429">
        <v>11</v>
      </c>
    </row>
    <row r="169" spans="1:52" s="1429" customFormat="1" ht="11.45" customHeight="1">
      <c r="A169" s="839"/>
      <c r="B169" s="1424"/>
      <c r="C169" s="1424"/>
      <c r="D169" s="284"/>
      <c r="AE169" s="961"/>
      <c r="AF169" s="1424"/>
      <c r="AG169" s="1424"/>
      <c r="AH169" s="961"/>
      <c r="AI169" s="961"/>
      <c r="AJ169" s="961"/>
      <c r="AK169" s="961"/>
      <c r="AL169" s="1424"/>
      <c r="AM169" s="961"/>
      <c r="AN169" s="961"/>
      <c r="AO169" s="476"/>
      <c r="AP169" s="961"/>
      <c r="AQ169" s="961"/>
      <c r="AR169" s="961"/>
      <c r="AS169" s="961"/>
      <c r="AT169" s="961"/>
      <c r="AU169" s="1420"/>
      <c r="AV169" s="498"/>
      <c r="AW169" s="498"/>
      <c r="AX169" s="498"/>
      <c r="AY169" s="498"/>
      <c r="AZ169" s="1429">
        <v>11</v>
      </c>
    </row>
    <row r="170" spans="1:52" s="1429" customFormat="1" ht="11.45" customHeight="1">
      <c r="A170" s="839"/>
      <c r="B170" s="1424"/>
      <c r="C170" s="1424"/>
      <c r="D170" s="284"/>
      <c r="AE170" s="961"/>
      <c r="AF170" s="1424"/>
      <c r="AG170" s="1424"/>
      <c r="AH170" s="961"/>
      <c r="AI170" s="961"/>
      <c r="AJ170" s="961"/>
      <c r="AK170" s="961"/>
      <c r="AL170" s="1424"/>
      <c r="AM170" s="961"/>
      <c r="AN170" s="961"/>
      <c r="AO170" s="476"/>
      <c r="AP170" s="961"/>
      <c r="AQ170" s="961"/>
      <c r="AR170" s="961"/>
      <c r="AS170" s="961"/>
      <c r="AT170" s="961"/>
      <c r="AU170" s="1420"/>
      <c r="AV170" s="498"/>
      <c r="AW170" s="498"/>
      <c r="AX170" s="498"/>
      <c r="AY170" s="498"/>
      <c r="AZ170" s="1429">
        <v>11</v>
      </c>
    </row>
    <row r="171" spans="1:52" s="1429" customFormat="1" ht="11.45" customHeight="1">
      <c r="A171" s="839"/>
      <c r="B171" s="1424"/>
      <c r="C171" s="1424"/>
      <c r="D171" s="284"/>
      <c r="AE171" s="961"/>
      <c r="AF171" s="1424"/>
      <c r="AG171" s="1424"/>
      <c r="AH171" s="961"/>
      <c r="AI171" s="961"/>
      <c r="AJ171" s="961"/>
      <c r="AK171" s="961"/>
      <c r="AL171" s="1424"/>
      <c r="AM171" s="961"/>
      <c r="AN171" s="961"/>
      <c r="AO171" s="476"/>
      <c r="AP171" s="961"/>
      <c r="AQ171" s="961"/>
      <c r="AR171" s="961"/>
      <c r="AS171" s="961"/>
      <c r="AT171" s="961"/>
      <c r="AU171" s="1420"/>
      <c r="AV171" s="498"/>
      <c r="AW171" s="498"/>
      <c r="AX171" s="498"/>
      <c r="AY171" s="498"/>
      <c r="AZ171" s="1429">
        <v>11</v>
      </c>
    </row>
    <row r="172" spans="1:52" s="1429" customFormat="1" ht="11.45" customHeight="1">
      <c r="A172" s="839"/>
      <c r="B172" s="1424"/>
      <c r="C172" s="1424"/>
      <c r="D172" s="284"/>
      <c r="AE172" s="961"/>
      <c r="AF172" s="1424"/>
      <c r="AG172" s="1424"/>
      <c r="AH172" s="961"/>
      <c r="AI172" s="961"/>
      <c r="AJ172" s="961"/>
      <c r="AK172" s="961"/>
      <c r="AL172" s="1424"/>
      <c r="AM172" s="961"/>
      <c r="AN172" s="961"/>
      <c r="AO172" s="476"/>
      <c r="AP172" s="961"/>
      <c r="AQ172" s="961"/>
      <c r="AR172" s="961"/>
      <c r="AS172" s="961"/>
      <c r="AT172" s="961"/>
      <c r="AU172" s="1420"/>
      <c r="AV172" s="498"/>
      <c r="AW172" s="498"/>
      <c r="AX172" s="498"/>
      <c r="AY172" s="498"/>
      <c r="AZ172" s="1429">
        <v>11</v>
      </c>
    </row>
    <row r="173" spans="1:52" s="1429" customFormat="1" ht="11.45" customHeight="1">
      <c r="A173" s="839"/>
      <c r="B173" s="1424"/>
      <c r="C173" s="1424"/>
      <c r="D173" s="284"/>
      <c r="AE173" s="961"/>
      <c r="AF173" s="1424"/>
      <c r="AG173" s="1424"/>
      <c r="AH173" s="961"/>
      <c r="AI173" s="961"/>
      <c r="AJ173" s="961"/>
      <c r="AK173" s="961"/>
      <c r="AL173" s="1424"/>
      <c r="AM173" s="961"/>
      <c r="AN173" s="961"/>
      <c r="AO173" s="476"/>
      <c r="AP173" s="961"/>
      <c r="AQ173" s="961"/>
      <c r="AR173" s="961"/>
      <c r="AS173" s="961"/>
      <c r="AT173" s="961"/>
      <c r="AU173" s="1420"/>
      <c r="AV173" s="498"/>
      <c r="AW173" s="498"/>
      <c r="AX173" s="498"/>
      <c r="AY173" s="498"/>
      <c r="AZ173" s="1429">
        <v>11</v>
      </c>
    </row>
    <row r="174" spans="1:52" s="1429" customFormat="1" ht="11.45" customHeight="1">
      <c r="A174" s="839"/>
      <c r="B174" s="1424"/>
      <c r="C174" s="1424"/>
      <c r="D174" s="284"/>
      <c r="AE174" s="961"/>
      <c r="AF174" s="1424"/>
      <c r="AG174" s="1424"/>
      <c r="AH174" s="961"/>
      <c r="AI174" s="961"/>
      <c r="AJ174" s="961"/>
      <c r="AK174" s="961"/>
      <c r="AL174" s="1424"/>
      <c r="AM174" s="961"/>
      <c r="AN174" s="961"/>
      <c r="AO174" s="476"/>
      <c r="AP174" s="961"/>
      <c r="AQ174" s="961"/>
      <c r="AR174" s="961"/>
      <c r="AS174" s="961"/>
      <c r="AT174" s="961"/>
      <c r="AU174" s="1420"/>
      <c r="AV174" s="498"/>
      <c r="AW174" s="498"/>
      <c r="AX174" s="498"/>
      <c r="AY174" s="498"/>
      <c r="AZ174" s="1429">
        <v>11</v>
      </c>
    </row>
    <row r="175" spans="1:52" s="1429" customFormat="1" ht="11.45" customHeight="1">
      <c r="A175" s="839"/>
      <c r="B175" s="1424"/>
      <c r="C175" s="1424"/>
      <c r="D175" s="284"/>
      <c r="AE175" s="961"/>
      <c r="AF175" s="1424"/>
      <c r="AG175" s="1424"/>
      <c r="AH175" s="961"/>
      <c r="AI175" s="961"/>
      <c r="AJ175" s="961"/>
      <c r="AK175" s="961"/>
      <c r="AL175" s="1424"/>
      <c r="AM175" s="961"/>
      <c r="AN175" s="961"/>
      <c r="AO175" s="476"/>
      <c r="AP175" s="961"/>
      <c r="AQ175" s="961"/>
      <c r="AR175" s="961"/>
      <c r="AS175" s="961"/>
      <c r="AT175" s="961"/>
      <c r="AU175" s="1420"/>
      <c r="AV175" s="498"/>
      <c r="AW175" s="498"/>
      <c r="AX175" s="498"/>
      <c r="AY175" s="498"/>
      <c r="AZ175" s="1429">
        <v>11</v>
      </c>
    </row>
    <row r="176" spans="1:52" s="1429" customFormat="1" ht="11.45" customHeight="1">
      <c r="A176" s="839"/>
      <c r="B176" s="1424"/>
      <c r="C176" s="1424"/>
      <c r="D176" s="284"/>
      <c r="AE176" s="961"/>
      <c r="AF176" s="1424"/>
      <c r="AG176" s="1424"/>
      <c r="AH176" s="961"/>
      <c r="AI176" s="961"/>
      <c r="AJ176" s="961"/>
      <c r="AK176" s="961"/>
      <c r="AL176" s="1424"/>
      <c r="AM176" s="961"/>
      <c r="AN176" s="961"/>
      <c r="AO176" s="476"/>
      <c r="AP176" s="961"/>
      <c r="AQ176" s="961"/>
      <c r="AR176" s="961"/>
      <c r="AS176" s="961"/>
      <c r="AT176" s="961"/>
      <c r="AU176" s="1420"/>
      <c r="AV176" s="498"/>
      <c r="AW176" s="498"/>
      <c r="AX176" s="498"/>
      <c r="AY176" s="498"/>
      <c r="AZ176" s="1429">
        <v>11</v>
      </c>
    </row>
    <row r="177" spans="1:52" s="1429" customFormat="1" ht="11.45" customHeight="1">
      <c r="A177" s="839"/>
      <c r="B177" s="1424"/>
      <c r="C177" s="1424"/>
      <c r="D177" s="284"/>
      <c r="AE177" s="961"/>
      <c r="AF177" s="1424"/>
      <c r="AG177" s="1424"/>
      <c r="AH177" s="961"/>
      <c r="AI177" s="961"/>
      <c r="AJ177" s="961"/>
      <c r="AK177" s="961"/>
      <c r="AL177" s="1424"/>
      <c r="AM177" s="961"/>
      <c r="AN177" s="961"/>
      <c r="AO177" s="476"/>
      <c r="AP177" s="961"/>
      <c r="AQ177" s="961"/>
      <c r="AR177" s="961"/>
      <c r="AS177" s="961"/>
      <c r="AT177" s="961"/>
      <c r="AU177" s="1420"/>
      <c r="AV177" s="498"/>
      <c r="AW177" s="498"/>
      <c r="AX177" s="498"/>
      <c r="AY177" s="498"/>
      <c r="AZ177" s="1429">
        <v>11</v>
      </c>
    </row>
    <row r="178" spans="1:52" s="1429" customFormat="1" ht="11.45" customHeight="1">
      <c r="A178" s="839"/>
      <c r="B178" s="1424"/>
      <c r="C178" s="1424"/>
      <c r="D178" s="284"/>
      <c r="AE178" s="961"/>
      <c r="AF178" s="1424"/>
      <c r="AG178" s="1424"/>
      <c r="AH178" s="961"/>
      <c r="AI178" s="961"/>
      <c r="AJ178" s="961"/>
      <c r="AK178" s="961"/>
      <c r="AL178" s="1424"/>
      <c r="AM178" s="961"/>
      <c r="AN178" s="961"/>
      <c r="AO178" s="476"/>
      <c r="AP178" s="961"/>
      <c r="AQ178" s="961"/>
      <c r="AR178" s="961"/>
      <c r="AS178" s="961"/>
      <c r="AT178" s="961"/>
      <c r="AU178" s="1420"/>
      <c r="AV178" s="498"/>
      <c r="AW178" s="498"/>
      <c r="AX178" s="498"/>
      <c r="AY178" s="498"/>
      <c r="AZ178" s="1429">
        <v>11</v>
      </c>
    </row>
    <row r="179" spans="1:52" s="1429" customFormat="1" ht="11.45" customHeight="1">
      <c r="A179" s="839"/>
      <c r="B179" s="1424"/>
      <c r="C179" s="1424"/>
      <c r="D179" s="284"/>
      <c r="AE179" s="961"/>
      <c r="AF179" s="1424"/>
      <c r="AG179" s="1424"/>
      <c r="AH179" s="961"/>
      <c r="AI179" s="961"/>
      <c r="AJ179" s="961"/>
      <c r="AK179" s="961"/>
      <c r="AL179" s="1424"/>
      <c r="AM179" s="961"/>
      <c r="AN179" s="961"/>
      <c r="AO179" s="476"/>
      <c r="AP179" s="961"/>
      <c r="AQ179" s="961"/>
      <c r="AR179" s="961"/>
      <c r="AS179" s="961"/>
      <c r="AT179" s="961"/>
      <c r="AU179" s="1420"/>
      <c r="AV179" s="498"/>
      <c r="AW179" s="498"/>
      <c r="AX179" s="498"/>
      <c r="AY179" s="498"/>
      <c r="AZ179" s="1429">
        <v>11</v>
      </c>
    </row>
    <row r="180" spans="1:52" s="1429" customFormat="1" ht="11.45" customHeight="1">
      <c r="A180" s="839"/>
      <c r="B180" s="1424"/>
      <c r="C180" s="1424"/>
      <c r="D180" s="284"/>
      <c r="AE180" s="961"/>
      <c r="AF180" s="1424"/>
      <c r="AG180" s="1424"/>
      <c r="AH180" s="961"/>
      <c r="AI180" s="961"/>
      <c r="AJ180" s="961"/>
      <c r="AK180" s="961"/>
      <c r="AL180" s="1424"/>
      <c r="AM180" s="961"/>
      <c r="AN180" s="961"/>
      <c r="AO180" s="476"/>
      <c r="AP180" s="961"/>
      <c r="AQ180" s="961"/>
      <c r="AR180" s="961"/>
      <c r="AS180" s="961"/>
      <c r="AT180" s="961"/>
      <c r="AU180" s="1420"/>
      <c r="AV180" s="498"/>
      <c r="AW180" s="498"/>
      <c r="AX180" s="498"/>
      <c r="AY180" s="498"/>
      <c r="AZ180" s="1429">
        <v>11</v>
      </c>
    </row>
    <row r="181" spans="1:52" s="1429" customFormat="1" ht="11.45" customHeight="1">
      <c r="A181" s="839"/>
      <c r="B181" s="1424"/>
      <c r="C181" s="1424"/>
      <c r="D181" s="284"/>
      <c r="AE181" s="961"/>
      <c r="AF181" s="1424"/>
      <c r="AG181" s="1424"/>
      <c r="AH181" s="961"/>
      <c r="AI181" s="961"/>
      <c r="AJ181" s="961"/>
      <c r="AK181" s="961"/>
      <c r="AL181" s="1424"/>
      <c r="AM181" s="961"/>
      <c r="AN181" s="961"/>
      <c r="AO181" s="476"/>
      <c r="AP181" s="961"/>
      <c r="AQ181" s="961"/>
      <c r="AR181" s="961"/>
      <c r="AS181" s="961"/>
      <c r="AT181" s="961"/>
      <c r="AU181" s="1420"/>
      <c r="AV181" s="498"/>
      <c r="AW181" s="498"/>
      <c r="AX181" s="498"/>
      <c r="AY181" s="498"/>
      <c r="AZ181" s="1429">
        <v>11</v>
      </c>
    </row>
    <row r="182" spans="1:52" s="1429" customFormat="1" ht="11.45" customHeight="1">
      <c r="A182" s="839"/>
      <c r="B182" s="1424"/>
      <c r="C182" s="1424"/>
      <c r="D182" s="284"/>
      <c r="AE182" s="961"/>
      <c r="AF182" s="1424"/>
      <c r="AG182" s="1424"/>
      <c r="AH182" s="961"/>
      <c r="AI182" s="961"/>
      <c r="AJ182" s="961"/>
      <c r="AK182" s="961"/>
      <c r="AL182" s="1424"/>
      <c r="AM182" s="961"/>
      <c r="AN182" s="961"/>
      <c r="AO182" s="476"/>
      <c r="AP182" s="961"/>
      <c r="AQ182" s="961"/>
      <c r="AR182" s="961"/>
      <c r="AS182" s="961"/>
      <c r="AT182" s="961"/>
      <c r="AU182" s="1420"/>
      <c r="AV182" s="498"/>
      <c r="AW182" s="498"/>
      <c r="AX182" s="498"/>
      <c r="AY182" s="498"/>
      <c r="AZ182" s="1429">
        <v>11</v>
      </c>
    </row>
    <row r="183" spans="1:52" s="1429" customFormat="1" ht="11.45" customHeight="1">
      <c r="A183" s="839"/>
      <c r="B183" s="1424"/>
      <c r="C183" s="1424"/>
      <c r="D183" s="284"/>
      <c r="AE183" s="961"/>
      <c r="AF183" s="1424"/>
      <c r="AG183" s="1424"/>
      <c r="AH183" s="961"/>
      <c r="AI183" s="961"/>
      <c r="AJ183" s="961"/>
      <c r="AK183" s="961"/>
      <c r="AL183" s="1424"/>
      <c r="AM183" s="961"/>
      <c r="AN183" s="961"/>
      <c r="AO183" s="476"/>
      <c r="AP183" s="961"/>
      <c r="AQ183" s="961"/>
      <c r="AR183" s="961"/>
      <c r="AS183" s="961"/>
      <c r="AT183" s="961"/>
      <c r="AU183" s="1420"/>
      <c r="AV183" s="498"/>
      <c r="AW183" s="498"/>
      <c r="AX183" s="498"/>
      <c r="AY183" s="498"/>
      <c r="AZ183" s="1429">
        <v>11</v>
      </c>
    </row>
    <row r="184" spans="1:52" s="1429" customFormat="1" ht="11.45" customHeight="1">
      <c r="A184" s="839"/>
      <c r="B184" s="1424"/>
      <c r="C184" s="1424"/>
      <c r="D184" s="284"/>
      <c r="AE184" s="961"/>
      <c r="AF184" s="1424"/>
      <c r="AG184" s="1424"/>
      <c r="AH184" s="961"/>
      <c r="AI184" s="961"/>
      <c r="AJ184" s="961"/>
      <c r="AK184" s="961"/>
      <c r="AL184" s="1424"/>
      <c r="AM184" s="961"/>
      <c r="AN184" s="961"/>
      <c r="AO184" s="476"/>
      <c r="AP184" s="961"/>
      <c r="AQ184" s="961"/>
      <c r="AR184" s="961"/>
      <c r="AS184" s="961"/>
      <c r="AT184" s="961"/>
      <c r="AU184" s="1420"/>
      <c r="AV184" s="498"/>
      <c r="AW184" s="498"/>
      <c r="AX184" s="498"/>
      <c r="AY184" s="498"/>
      <c r="AZ184" s="1429">
        <v>11</v>
      </c>
    </row>
    <row r="185" spans="1:52" s="1429" customFormat="1" ht="11.45" customHeight="1">
      <c r="A185" s="839"/>
      <c r="B185" s="1424"/>
      <c r="C185" s="1424"/>
      <c r="D185" s="284"/>
      <c r="AE185" s="961"/>
      <c r="AF185" s="1424"/>
      <c r="AG185" s="1424"/>
      <c r="AH185" s="961"/>
      <c r="AI185" s="961"/>
      <c r="AJ185" s="961"/>
      <c r="AK185" s="961"/>
      <c r="AL185" s="1424"/>
      <c r="AM185" s="961"/>
      <c r="AN185" s="961"/>
      <c r="AO185" s="476"/>
      <c r="AP185" s="961"/>
      <c r="AQ185" s="961"/>
      <c r="AR185" s="961"/>
      <c r="AS185" s="961"/>
      <c r="AT185" s="961"/>
      <c r="AU185" s="1420"/>
      <c r="AV185" s="498"/>
      <c r="AW185" s="498"/>
      <c r="AX185" s="498"/>
      <c r="AY185" s="498"/>
      <c r="AZ185" s="1429">
        <v>11</v>
      </c>
    </row>
    <row r="186" spans="1:52" s="1429" customFormat="1" ht="11.45" customHeight="1">
      <c r="A186" s="839"/>
      <c r="B186" s="1424"/>
      <c r="C186" s="1424"/>
      <c r="D186" s="284"/>
      <c r="AE186" s="961"/>
      <c r="AF186" s="1424"/>
      <c r="AG186" s="1424"/>
      <c r="AH186" s="961"/>
      <c r="AI186" s="961"/>
      <c r="AJ186" s="961"/>
      <c r="AK186" s="961"/>
      <c r="AL186" s="1424"/>
      <c r="AM186" s="961"/>
      <c r="AN186" s="961"/>
      <c r="AO186" s="476"/>
      <c r="AP186" s="961"/>
      <c r="AQ186" s="961"/>
      <c r="AR186" s="961"/>
      <c r="AS186" s="961"/>
      <c r="AT186" s="961"/>
      <c r="AU186" s="1420"/>
      <c r="AV186" s="498"/>
      <c r="AW186" s="498"/>
      <c r="AX186" s="498"/>
      <c r="AY186" s="498"/>
      <c r="AZ186" s="1429">
        <v>11</v>
      </c>
    </row>
    <row r="187" spans="1:52" s="1429" customFormat="1" ht="11.45" customHeight="1">
      <c r="A187" s="839"/>
      <c r="B187" s="1424"/>
      <c r="C187" s="1424"/>
      <c r="D187" s="284"/>
      <c r="AE187" s="961"/>
      <c r="AF187" s="1424"/>
      <c r="AG187" s="1424"/>
      <c r="AH187" s="961"/>
      <c r="AI187" s="961"/>
      <c r="AJ187" s="961"/>
      <c r="AK187" s="961"/>
      <c r="AL187" s="1424"/>
      <c r="AM187" s="961"/>
      <c r="AN187" s="961"/>
      <c r="AO187" s="476"/>
      <c r="AP187" s="961"/>
      <c r="AQ187" s="961"/>
      <c r="AR187" s="961"/>
      <c r="AS187" s="961"/>
      <c r="AT187" s="961"/>
      <c r="AU187" s="1420"/>
      <c r="AV187" s="498"/>
      <c r="AW187" s="498"/>
      <c r="AX187" s="498"/>
      <c r="AY187" s="498"/>
      <c r="AZ187" s="1429">
        <v>11</v>
      </c>
    </row>
    <row r="188" spans="1:52" s="1429" customFormat="1" ht="11.45" customHeight="1">
      <c r="A188" s="839"/>
      <c r="B188" s="1424"/>
      <c r="C188" s="1424"/>
      <c r="D188" s="284"/>
      <c r="AE188" s="961"/>
      <c r="AF188" s="1424"/>
      <c r="AG188" s="1424"/>
      <c r="AH188" s="961"/>
      <c r="AI188" s="961"/>
      <c r="AJ188" s="961"/>
      <c r="AK188" s="961"/>
      <c r="AL188" s="1424"/>
      <c r="AM188" s="961"/>
      <c r="AN188" s="961"/>
      <c r="AO188" s="476"/>
      <c r="AP188" s="961"/>
      <c r="AQ188" s="961"/>
      <c r="AR188" s="961"/>
      <c r="AS188" s="961"/>
      <c r="AT188" s="961"/>
      <c r="AU188" s="1420"/>
      <c r="AV188" s="498"/>
      <c r="AW188" s="498"/>
      <c r="AX188" s="498"/>
      <c r="AY188" s="498"/>
      <c r="AZ188" s="1429">
        <v>11</v>
      </c>
    </row>
    <row r="189" spans="1:52" s="1429" customFormat="1" ht="11.45" customHeight="1">
      <c r="A189" s="839"/>
      <c r="B189" s="1424"/>
      <c r="C189" s="1424"/>
      <c r="D189" s="284"/>
      <c r="AE189" s="961"/>
      <c r="AF189" s="1424"/>
      <c r="AG189" s="1424"/>
      <c r="AH189" s="961"/>
      <c r="AI189" s="961"/>
      <c r="AJ189" s="961"/>
      <c r="AK189" s="961"/>
      <c r="AL189" s="1424"/>
      <c r="AM189" s="961"/>
      <c r="AN189" s="961"/>
      <c r="AO189" s="476"/>
      <c r="AP189" s="961"/>
      <c r="AQ189" s="961"/>
      <c r="AR189" s="961"/>
      <c r="AS189" s="961"/>
      <c r="AT189" s="961"/>
      <c r="AU189" s="1420"/>
      <c r="AV189" s="498"/>
      <c r="AW189" s="498"/>
      <c r="AX189" s="498"/>
      <c r="AY189" s="498"/>
      <c r="AZ189" s="1429">
        <v>11</v>
      </c>
    </row>
    <row r="190" spans="1:52" s="1429" customFormat="1" ht="11.45" customHeight="1">
      <c r="A190" s="839"/>
      <c r="B190" s="1424"/>
      <c r="C190" s="1424"/>
      <c r="D190" s="284"/>
      <c r="AE190" s="961"/>
      <c r="AF190" s="1424"/>
      <c r="AG190" s="1424"/>
      <c r="AH190" s="961"/>
      <c r="AI190" s="961"/>
      <c r="AJ190" s="961"/>
      <c r="AK190" s="961"/>
      <c r="AL190" s="1424"/>
      <c r="AM190" s="961"/>
      <c r="AN190" s="961"/>
      <c r="AO190" s="476"/>
      <c r="AP190" s="961"/>
      <c r="AQ190" s="961"/>
      <c r="AR190" s="961"/>
      <c r="AS190" s="961"/>
      <c r="AT190" s="961"/>
      <c r="AU190" s="1420"/>
      <c r="AV190" s="498"/>
      <c r="AW190" s="498"/>
      <c r="AX190" s="498"/>
      <c r="AY190" s="498"/>
      <c r="AZ190" s="1429">
        <v>11</v>
      </c>
    </row>
    <row r="191" spans="1:52" s="1429" customFormat="1" ht="11.45" customHeight="1">
      <c r="A191" s="839"/>
      <c r="B191" s="1424"/>
      <c r="C191" s="1424"/>
      <c r="D191" s="284"/>
      <c r="AE191" s="961"/>
      <c r="AF191" s="1424"/>
      <c r="AG191" s="1424"/>
      <c r="AH191" s="961"/>
      <c r="AI191" s="961"/>
      <c r="AJ191" s="961"/>
      <c r="AK191" s="961"/>
      <c r="AL191" s="1424"/>
      <c r="AM191" s="961"/>
      <c r="AN191" s="961"/>
      <c r="AO191" s="476"/>
      <c r="AP191" s="961"/>
      <c r="AQ191" s="961"/>
      <c r="AR191" s="961"/>
      <c r="AS191" s="961"/>
      <c r="AT191" s="961"/>
      <c r="AU191" s="1420"/>
      <c r="AV191" s="498"/>
      <c r="AW191" s="498"/>
      <c r="AX191" s="498"/>
      <c r="AY191" s="498"/>
      <c r="AZ191" s="1429">
        <v>11</v>
      </c>
    </row>
    <row r="192" spans="1:52" s="1429" customFormat="1" ht="11.45" customHeight="1">
      <c r="A192" s="839"/>
      <c r="B192" s="1424"/>
      <c r="C192" s="1424"/>
      <c r="D192" s="284"/>
      <c r="AE192" s="961"/>
      <c r="AF192" s="1424"/>
      <c r="AG192" s="1424"/>
      <c r="AH192" s="961"/>
      <c r="AI192" s="961"/>
      <c r="AJ192" s="961"/>
      <c r="AK192" s="961"/>
      <c r="AL192" s="1424"/>
      <c r="AM192" s="961"/>
      <c r="AN192" s="961"/>
      <c r="AO192" s="476"/>
      <c r="AP192" s="961"/>
      <c r="AQ192" s="961"/>
      <c r="AR192" s="961"/>
      <c r="AS192" s="961"/>
      <c r="AT192" s="961"/>
      <c r="AU192" s="1420"/>
      <c r="AV192" s="498"/>
      <c r="AW192" s="498"/>
      <c r="AX192" s="498"/>
      <c r="AY192" s="498"/>
      <c r="AZ192" s="1429">
        <v>11</v>
      </c>
    </row>
    <row r="193" spans="1:52" s="1429" customFormat="1" ht="11.45" customHeight="1">
      <c r="A193" s="839"/>
      <c r="B193" s="1424"/>
      <c r="C193" s="1424"/>
      <c r="D193" s="284"/>
      <c r="AE193" s="961"/>
      <c r="AF193" s="1424"/>
      <c r="AG193" s="1424"/>
      <c r="AH193" s="961"/>
      <c r="AI193" s="961"/>
      <c r="AJ193" s="961"/>
      <c r="AK193" s="961"/>
      <c r="AL193" s="1424"/>
      <c r="AM193" s="961"/>
      <c r="AN193" s="961"/>
      <c r="AO193" s="476"/>
      <c r="AP193" s="961"/>
      <c r="AQ193" s="961"/>
      <c r="AR193" s="961"/>
      <c r="AS193" s="961"/>
      <c r="AT193" s="961"/>
      <c r="AU193" s="1420"/>
      <c r="AV193" s="498"/>
      <c r="AW193" s="498"/>
      <c r="AX193" s="498"/>
      <c r="AY193" s="498"/>
      <c r="AZ193" s="1429">
        <v>11</v>
      </c>
    </row>
    <row r="194" spans="1:52" s="1429" customFormat="1" ht="11.45" customHeight="1">
      <c r="A194" s="839"/>
      <c r="B194" s="1424"/>
      <c r="C194" s="1424"/>
      <c r="D194" s="284"/>
      <c r="AE194" s="961"/>
      <c r="AF194" s="1424"/>
      <c r="AG194" s="1424"/>
      <c r="AH194" s="961"/>
      <c r="AI194" s="961"/>
      <c r="AJ194" s="961"/>
      <c r="AK194" s="961"/>
      <c r="AL194" s="1424"/>
      <c r="AM194" s="961"/>
      <c r="AN194" s="961"/>
      <c r="AO194" s="476"/>
      <c r="AP194" s="961"/>
      <c r="AQ194" s="961"/>
      <c r="AR194" s="961"/>
      <c r="AS194" s="961"/>
      <c r="AT194" s="961"/>
      <c r="AU194" s="1420"/>
      <c r="AV194" s="498"/>
      <c r="AW194" s="498"/>
      <c r="AX194" s="498"/>
      <c r="AY194" s="498"/>
      <c r="AZ194" s="1429">
        <v>11</v>
      </c>
    </row>
    <row r="195" spans="1:52" s="1429" customFormat="1" ht="11.45" customHeight="1">
      <c r="A195" s="839"/>
      <c r="B195" s="1424"/>
      <c r="C195" s="1424"/>
      <c r="D195" s="284"/>
      <c r="AE195" s="961"/>
      <c r="AF195" s="1424"/>
      <c r="AG195" s="1424"/>
      <c r="AH195" s="961"/>
      <c r="AI195" s="961"/>
      <c r="AJ195" s="961"/>
      <c r="AK195" s="961"/>
      <c r="AL195" s="1424"/>
      <c r="AM195" s="961"/>
      <c r="AN195" s="961"/>
      <c r="AO195" s="476"/>
      <c r="AP195" s="961"/>
      <c r="AQ195" s="961"/>
      <c r="AR195" s="961"/>
      <c r="AS195" s="961"/>
      <c r="AT195" s="961"/>
      <c r="AU195" s="1420"/>
      <c r="AV195" s="498"/>
      <c r="AW195" s="498"/>
      <c r="AX195" s="498"/>
      <c r="AY195" s="498"/>
      <c r="AZ195" s="1429">
        <v>11</v>
      </c>
    </row>
    <row r="196" spans="1:52" s="1429" customFormat="1" ht="11.45" customHeight="1">
      <c r="A196" s="839"/>
      <c r="B196" s="1424"/>
      <c r="C196" s="1424"/>
      <c r="D196" s="284"/>
      <c r="AE196" s="961"/>
      <c r="AF196" s="1424"/>
      <c r="AG196" s="1424"/>
      <c r="AH196" s="961"/>
      <c r="AI196" s="961"/>
      <c r="AJ196" s="961"/>
      <c r="AK196" s="961"/>
      <c r="AL196" s="1424"/>
      <c r="AM196" s="961"/>
      <c r="AN196" s="961"/>
      <c r="AO196" s="476"/>
      <c r="AP196" s="961"/>
      <c r="AQ196" s="961"/>
      <c r="AR196" s="961"/>
      <c r="AS196" s="961"/>
      <c r="AT196" s="961"/>
      <c r="AU196" s="1420"/>
      <c r="AV196" s="498"/>
      <c r="AW196" s="498"/>
      <c r="AX196" s="498"/>
      <c r="AY196" s="498"/>
      <c r="AZ196" s="1429">
        <v>11</v>
      </c>
    </row>
    <row r="197" spans="1:52" s="1429" customFormat="1" ht="11.45" customHeight="1">
      <c r="A197" s="839"/>
      <c r="B197" s="1424"/>
      <c r="C197" s="1424"/>
      <c r="D197" s="284"/>
      <c r="AE197" s="961"/>
      <c r="AF197" s="1424"/>
      <c r="AG197" s="1424"/>
      <c r="AH197" s="961"/>
      <c r="AI197" s="961"/>
      <c r="AJ197" s="961"/>
      <c r="AK197" s="961"/>
      <c r="AL197" s="1424"/>
      <c r="AM197" s="961"/>
      <c r="AN197" s="961"/>
      <c r="AO197" s="476"/>
      <c r="AP197" s="961"/>
      <c r="AQ197" s="961"/>
      <c r="AR197" s="961"/>
      <c r="AS197" s="961"/>
      <c r="AT197" s="961"/>
      <c r="AU197" s="1420"/>
      <c r="AV197" s="498"/>
      <c r="AW197" s="498"/>
      <c r="AX197" s="498"/>
      <c r="AY197" s="498"/>
      <c r="AZ197" s="1429">
        <v>11</v>
      </c>
    </row>
    <row r="198" spans="1:52" s="1429" customFormat="1" ht="11.45" customHeight="1">
      <c r="A198" s="839"/>
      <c r="B198" s="1424"/>
      <c r="C198" s="1424"/>
      <c r="D198" s="284"/>
      <c r="AE198" s="961"/>
      <c r="AF198" s="1424"/>
      <c r="AG198" s="1424"/>
      <c r="AH198" s="961"/>
      <c r="AI198" s="961"/>
      <c r="AJ198" s="961"/>
      <c r="AK198" s="961"/>
      <c r="AL198" s="1424"/>
      <c r="AM198" s="961"/>
      <c r="AN198" s="961"/>
      <c r="AO198" s="476"/>
      <c r="AP198" s="961"/>
      <c r="AQ198" s="961"/>
      <c r="AR198" s="961"/>
      <c r="AS198" s="961"/>
      <c r="AT198" s="961"/>
      <c r="AU198" s="1420"/>
      <c r="AV198" s="498"/>
      <c r="AW198" s="498"/>
      <c r="AX198" s="498"/>
      <c r="AY198" s="498"/>
      <c r="AZ198" s="1429">
        <v>11</v>
      </c>
    </row>
    <row r="199" spans="1:52" s="1429" customFormat="1" ht="11.45" customHeight="1">
      <c r="A199" s="839"/>
      <c r="B199" s="1424"/>
      <c r="C199" s="1424"/>
      <c r="D199" s="284"/>
      <c r="AE199" s="961"/>
      <c r="AF199" s="1424"/>
      <c r="AG199" s="1424"/>
      <c r="AH199" s="961"/>
      <c r="AI199" s="961"/>
      <c r="AJ199" s="961"/>
      <c r="AK199" s="961"/>
      <c r="AL199" s="1424"/>
      <c r="AM199" s="961"/>
      <c r="AN199" s="961"/>
      <c r="AO199" s="476"/>
      <c r="AP199" s="961"/>
      <c r="AQ199" s="961"/>
      <c r="AR199" s="961"/>
      <c r="AS199" s="961"/>
      <c r="AT199" s="961"/>
      <c r="AU199" s="1420"/>
      <c r="AV199" s="498"/>
      <c r="AW199" s="498"/>
      <c r="AX199" s="498"/>
      <c r="AY199" s="498"/>
      <c r="AZ199" s="1429">
        <v>11</v>
      </c>
    </row>
    <row r="200" spans="1:52" s="1429" customFormat="1" ht="11.45" customHeight="1">
      <c r="A200" s="839"/>
      <c r="B200" s="1424"/>
      <c r="C200" s="1424"/>
      <c r="D200" s="284"/>
      <c r="AE200" s="961"/>
      <c r="AF200" s="1424"/>
      <c r="AG200" s="1424"/>
      <c r="AH200" s="961"/>
      <c r="AI200" s="961"/>
      <c r="AJ200" s="961"/>
      <c r="AK200" s="961"/>
      <c r="AL200" s="1424"/>
      <c r="AM200" s="961"/>
      <c r="AN200" s="961"/>
      <c r="AO200" s="476"/>
      <c r="AP200" s="961"/>
      <c r="AQ200" s="961"/>
      <c r="AR200" s="961"/>
      <c r="AS200" s="961"/>
      <c r="AT200" s="961"/>
      <c r="AU200" s="1420"/>
      <c r="AV200" s="498"/>
      <c r="AW200" s="498"/>
      <c r="AX200" s="498"/>
      <c r="AY200" s="498"/>
      <c r="AZ200" s="1429">
        <v>11</v>
      </c>
    </row>
    <row r="201" spans="1:52" ht="11.45" customHeight="1">
      <c r="AZ201" s="1419">
        <v>11</v>
      </c>
    </row>
    <row r="202" spans="1:52" ht="11.45" customHeight="1">
      <c r="AZ202" s="1419">
        <v>11</v>
      </c>
    </row>
    <row r="203" spans="1:52" ht="11.45" customHeight="1">
      <c r="AZ203" s="1419">
        <v>11</v>
      </c>
    </row>
    <row r="204" spans="1:52" ht="11.45" customHeight="1">
      <c r="A204" s="842"/>
      <c r="B204" s="1419"/>
      <c r="D204" s="1419"/>
      <c r="AE204" s="1419"/>
      <c r="AH204" s="1419"/>
      <c r="AI204" s="1419"/>
      <c r="AJ204" s="1419"/>
      <c r="AK204" s="1419"/>
      <c r="AM204" s="1419"/>
      <c r="AN204" s="1419"/>
      <c r="AO204" s="1419"/>
      <c r="AP204" s="1419"/>
      <c r="AQ204" s="1419"/>
      <c r="AR204" s="1419"/>
      <c r="AS204" s="1419"/>
      <c r="AT204" s="1419"/>
      <c r="AU204" s="1419"/>
      <c r="AV204" s="1419"/>
      <c r="AW204" s="1419"/>
      <c r="AX204" s="1419"/>
      <c r="AY204" s="1419"/>
      <c r="AZ204" s="1419">
        <v>11</v>
      </c>
    </row>
    <row r="205" spans="1:52" ht="11.45" customHeight="1">
      <c r="A205" s="842"/>
      <c r="B205" s="1419"/>
      <c r="D205" s="1419"/>
      <c r="AE205" s="1419"/>
      <c r="AH205" s="1419"/>
      <c r="AI205" s="1419"/>
      <c r="AJ205" s="1419"/>
      <c r="AK205" s="1419"/>
      <c r="AM205" s="1419"/>
      <c r="AN205" s="1419"/>
      <c r="AO205" s="1419"/>
      <c r="AP205" s="1419"/>
      <c r="AQ205" s="1419"/>
      <c r="AR205" s="1419"/>
      <c r="AS205" s="1419"/>
      <c r="AT205" s="1419"/>
      <c r="AU205" s="1419"/>
      <c r="AV205" s="1419"/>
      <c r="AW205" s="1419"/>
      <c r="AX205" s="1419"/>
      <c r="AY205" s="1419"/>
      <c r="AZ205" s="1419">
        <v>11</v>
      </c>
    </row>
    <row r="206" spans="1:52" ht="11.45" customHeight="1">
      <c r="A206" s="842"/>
      <c r="B206" s="1419"/>
      <c r="D206" s="1419"/>
      <c r="AE206" s="1419"/>
      <c r="AH206" s="1419"/>
      <c r="AI206" s="1419"/>
      <c r="AJ206" s="1419"/>
      <c r="AK206" s="1419"/>
      <c r="AM206" s="1419"/>
      <c r="AN206" s="1419"/>
      <c r="AO206" s="1419"/>
      <c r="AP206" s="1419"/>
      <c r="AQ206" s="1419"/>
      <c r="AR206" s="1419"/>
      <c r="AS206" s="1419"/>
      <c r="AT206" s="1419"/>
      <c r="AU206" s="1419"/>
      <c r="AV206" s="1419"/>
      <c r="AW206" s="1419"/>
      <c r="AX206" s="1419"/>
      <c r="AY206" s="1419"/>
      <c r="AZ206" s="1419">
        <v>11</v>
      </c>
    </row>
    <row r="207" spans="1:52" ht="11.45" customHeight="1">
      <c r="A207" s="842"/>
      <c r="B207" s="1419"/>
      <c r="D207" s="1419"/>
      <c r="AE207" s="1419"/>
      <c r="AH207" s="1419"/>
      <c r="AI207" s="1419"/>
      <c r="AJ207" s="1419"/>
      <c r="AK207" s="1419"/>
      <c r="AM207" s="1419"/>
      <c r="AN207" s="1419"/>
      <c r="AO207" s="1419"/>
      <c r="AP207" s="1419"/>
      <c r="AQ207" s="1419"/>
      <c r="AR207" s="1419"/>
      <c r="AS207" s="1419"/>
      <c r="AT207" s="1419"/>
      <c r="AU207" s="1419"/>
      <c r="AV207" s="1419"/>
      <c r="AW207" s="1419"/>
      <c r="AX207" s="1419"/>
      <c r="AY207" s="1419"/>
      <c r="AZ207" s="1419">
        <v>11</v>
      </c>
    </row>
    <row r="208" spans="1:52" ht="11.45" customHeight="1">
      <c r="A208" s="842"/>
      <c r="B208" s="1419"/>
      <c r="D208" s="1419"/>
      <c r="AE208" s="1419"/>
      <c r="AH208" s="1419"/>
      <c r="AI208" s="1419"/>
      <c r="AJ208" s="1419"/>
      <c r="AK208" s="1419"/>
      <c r="AM208" s="1419"/>
      <c r="AN208" s="1419"/>
      <c r="AO208" s="1419"/>
      <c r="AP208" s="1419"/>
      <c r="AQ208" s="1419"/>
      <c r="AR208" s="1419"/>
      <c r="AS208" s="1419"/>
      <c r="AT208" s="1419"/>
      <c r="AU208" s="1419"/>
      <c r="AV208" s="1419"/>
      <c r="AW208" s="1419"/>
      <c r="AX208" s="1419"/>
      <c r="AY208" s="1419"/>
      <c r="AZ208" s="1419">
        <v>11</v>
      </c>
    </row>
    <row r="209" spans="1:52" ht="11.45" customHeight="1">
      <c r="A209" s="842"/>
      <c r="B209" s="1419"/>
      <c r="D209" s="1419"/>
      <c r="AE209" s="1419"/>
      <c r="AH209" s="1419"/>
      <c r="AI209" s="1419"/>
      <c r="AJ209" s="1419"/>
      <c r="AK209" s="1419"/>
      <c r="AM209" s="1419"/>
      <c r="AN209" s="1419"/>
      <c r="AO209" s="1419"/>
      <c r="AP209" s="1419"/>
      <c r="AQ209" s="1419"/>
      <c r="AR209" s="1419"/>
      <c r="AS209" s="1419"/>
      <c r="AT209" s="1419"/>
      <c r="AU209" s="1419"/>
      <c r="AV209" s="1419"/>
      <c r="AW209" s="1419"/>
      <c r="AX209" s="1419"/>
      <c r="AY209" s="1419"/>
      <c r="AZ209" s="1419">
        <v>11</v>
      </c>
    </row>
    <row r="210" spans="1:52" ht="11.45" customHeight="1">
      <c r="A210" s="842"/>
      <c r="B210" s="1419"/>
      <c r="D210" s="1419"/>
      <c r="AE210" s="1419"/>
      <c r="AH210" s="1419"/>
      <c r="AI210" s="1419"/>
      <c r="AJ210" s="1419"/>
      <c r="AK210" s="1419"/>
      <c r="AM210" s="1419"/>
      <c r="AN210" s="1419"/>
      <c r="AO210" s="1419"/>
      <c r="AP210" s="1419"/>
      <c r="AQ210" s="1419"/>
      <c r="AR210" s="1419"/>
      <c r="AS210" s="1419"/>
      <c r="AT210" s="1419"/>
      <c r="AU210" s="1419"/>
      <c r="AV210" s="1419"/>
      <c r="AW210" s="1419"/>
      <c r="AX210" s="1419"/>
      <c r="AY210" s="1419"/>
      <c r="AZ210" s="1419">
        <v>11</v>
      </c>
    </row>
    <row r="211" spans="1:52" ht="11.45" customHeight="1">
      <c r="A211" s="842"/>
      <c r="B211" s="1419"/>
      <c r="D211" s="1419"/>
      <c r="AE211" s="1419"/>
      <c r="AH211" s="1419"/>
      <c r="AI211" s="1419"/>
      <c r="AJ211" s="1419"/>
      <c r="AK211" s="1419"/>
      <c r="AM211" s="1419"/>
      <c r="AN211" s="1419"/>
      <c r="AO211" s="1419"/>
      <c r="AP211" s="1419"/>
      <c r="AQ211" s="1419"/>
      <c r="AR211" s="1419"/>
      <c r="AS211" s="1419"/>
      <c r="AT211" s="1419"/>
      <c r="AU211" s="1419"/>
      <c r="AV211" s="1419"/>
      <c r="AW211" s="1419"/>
      <c r="AX211" s="1419"/>
      <c r="AY211" s="1419"/>
      <c r="AZ211" s="1419">
        <v>11</v>
      </c>
    </row>
    <row r="212" spans="1:52" ht="11.45" customHeight="1">
      <c r="A212" s="842"/>
      <c r="B212" s="1419"/>
      <c r="D212" s="1419"/>
      <c r="AE212" s="1419"/>
      <c r="AH212" s="1419"/>
      <c r="AI212" s="1419"/>
      <c r="AJ212" s="1419"/>
      <c r="AK212" s="1419"/>
      <c r="AM212" s="1419"/>
      <c r="AN212" s="1419"/>
      <c r="AO212" s="1419"/>
      <c r="AP212" s="1419"/>
      <c r="AQ212" s="1419"/>
      <c r="AR212" s="1419"/>
      <c r="AS212" s="1419"/>
      <c r="AT212" s="1419"/>
      <c r="AU212" s="1419"/>
      <c r="AV212" s="1419"/>
      <c r="AW212" s="1419"/>
      <c r="AX212" s="1419"/>
      <c r="AY212" s="1419"/>
      <c r="AZ212" s="1419">
        <v>11</v>
      </c>
    </row>
    <row r="213" spans="1:52" ht="11.45" customHeight="1">
      <c r="A213" s="842"/>
      <c r="B213" s="1419"/>
      <c r="D213" s="1419"/>
      <c r="AE213" s="1419"/>
      <c r="AH213" s="1419"/>
      <c r="AI213" s="1419"/>
      <c r="AJ213" s="1419"/>
      <c r="AK213" s="1419"/>
      <c r="AM213" s="1419"/>
      <c r="AN213" s="1419"/>
      <c r="AO213" s="1419"/>
      <c r="AP213" s="1419"/>
      <c r="AQ213" s="1419"/>
      <c r="AR213" s="1419"/>
      <c r="AS213" s="1419"/>
      <c r="AT213" s="1419"/>
      <c r="AU213" s="1419"/>
      <c r="AV213" s="1419"/>
      <c r="AW213" s="1419"/>
      <c r="AX213" s="1419"/>
      <c r="AY213" s="1419"/>
      <c r="AZ213" s="1419">
        <v>11</v>
      </c>
    </row>
    <row r="214" spans="1:52" ht="11.45" customHeight="1">
      <c r="A214" s="842"/>
      <c r="B214" s="1419"/>
      <c r="D214" s="1419"/>
      <c r="AE214" s="1419"/>
      <c r="AH214" s="1419"/>
      <c r="AI214" s="1419"/>
      <c r="AJ214" s="1419"/>
      <c r="AK214" s="1419"/>
      <c r="AM214" s="1419"/>
      <c r="AN214" s="1419"/>
      <c r="AO214" s="1419"/>
      <c r="AP214" s="1419"/>
      <c r="AQ214" s="1419"/>
      <c r="AR214" s="1419"/>
      <c r="AS214" s="1419"/>
      <c r="AT214" s="1419"/>
      <c r="AU214" s="1419"/>
      <c r="AV214" s="1419"/>
      <c r="AW214" s="1419"/>
      <c r="AX214" s="1419"/>
      <c r="AY214" s="1419"/>
      <c r="AZ214" s="1419">
        <v>11</v>
      </c>
    </row>
    <row r="215" spans="1:52" ht="11.25" hidden="1" customHeight="1">
      <c r="A215" s="839" t="s">
        <v>69</v>
      </c>
      <c r="B215" s="961">
        <v>0</v>
      </c>
      <c r="C215" s="1424">
        <v>0</v>
      </c>
      <c r="D215" s="1423">
        <v>3</v>
      </c>
      <c r="E215" s="1419">
        <v>7</v>
      </c>
      <c r="F215" s="1419">
        <v>54</v>
      </c>
      <c r="G215" s="1419">
        <v>10</v>
      </c>
      <c r="H215" s="1419">
        <v>0</v>
      </c>
      <c r="I215" s="1419">
        <v>40</v>
      </c>
      <c r="J215" s="1423">
        <v>0</v>
      </c>
      <c r="K215" s="1423">
        <v>0</v>
      </c>
      <c r="L215" s="1423">
        <v>0</v>
      </c>
      <c r="M215" s="1423">
        <v>0</v>
      </c>
      <c r="N215" s="1423">
        <v>0</v>
      </c>
      <c r="O215" s="1423">
        <v>0</v>
      </c>
      <c r="P215" s="1423">
        <v>0</v>
      </c>
      <c r="Q215" s="1423">
        <v>0</v>
      </c>
      <c r="R215" s="1423">
        <v>0</v>
      </c>
      <c r="S215" s="1423">
        <v>0</v>
      </c>
      <c r="T215" s="1423">
        <v>0</v>
      </c>
      <c r="U215" s="1423">
        <v>0</v>
      </c>
      <c r="V215" s="1423">
        <v>0</v>
      </c>
      <c r="W215" s="1423">
        <v>0</v>
      </c>
      <c r="X215" s="1423">
        <v>0</v>
      </c>
      <c r="Y215" s="1423">
        <v>0</v>
      </c>
      <c r="Z215" s="1423">
        <v>0</v>
      </c>
      <c r="AA215" s="1423">
        <v>0</v>
      </c>
      <c r="AB215" s="1423">
        <v>0</v>
      </c>
      <c r="AC215" s="1423">
        <v>0</v>
      </c>
      <c r="AD215" s="1419">
        <v>102</v>
      </c>
      <c r="AE215" s="961">
        <v>9</v>
      </c>
      <c r="AF215" s="1424">
        <v>5</v>
      </c>
      <c r="AG215" s="1424">
        <v>3</v>
      </c>
      <c r="AH215" s="961">
        <v>3</v>
      </c>
      <c r="AI215" s="961">
        <v>3</v>
      </c>
      <c r="AJ215" s="961">
        <v>3</v>
      </c>
      <c r="AK215" s="961">
        <v>3</v>
      </c>
      <c r="AL215" s="1424">
        <v>10</v>
      </c>
      <c r="AM215" s="961">
        <v>34</v>
      </c>
      <c r="AN215" s="961">
        <v>9</v>
      </c>
      <c r="AO215" s="476">
        <v>8</v>
      </c>
      <c r="AP215" s="961">
        <v>8</v>
      </c>
      <c r="AQ215" s="961">
        <v>8</v>
      </c>
      <c r="AR215" s="961">
        <v>8</v>
      </c>
      <c r="AS215" s="961">
        <v>8</v>
      </c>
      <c r="AT215" s="961">
        <v>8</v>
      </c>
      <c r="AU215" s="1420">
        <v>8</v>
      </c>
      <c r="AV215" s="1420">
        <v>8</v>
      </c>
      <c r="AW215" s="1420">
        <v>8</v>
      </c>
      <c r="AX215" s="1420">
        <v>8</v>
      </c>
      <c r="AY215" s="1420">
        <v>8</v>
      </c>
      <c r="AZ215" s="1419">
        <v>11</v>
      </c>
    </row>
  </sheetData>
  <sheetProtection formatColumns="0" formatRows="0" insertRows="0" deleteColumns="0" deleteRows="0" sort="0" autoFilter="0"/>
  <mergeCells count="9">
    <mergeCell ref="F45:G45"/>
    <mergeCell ref="E6:I6"/>
    <mergeCell ref="E7:I7"/>
    <mergeCell ref="F10:G10"/>
    <mergeCell ref="AD10:AD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AC35">
      <formula1>-9.99999999999999E+37</formula1>
      <formula2>9.99999999999999E+37</formula2>
    </dataValidation>
    <dataValidation type="decimal" allowBlank="1" showErrorMessage="1" errorTitle="Ошибка" error="Допускается ввод только действительных чисел!" sqref="H31:AC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AC36">
      <formula1>900</formula1>
    </dataValidation>
    <dataValidation type="decimal" allowBlank="1" showErrorMessage="1" errorTitle="Ошибка" error="Допускается ввод только неотрицательных чисел!" sqref="H32:AC32 H2:AC2 H15:AC15 H17:AC27 H30:AC30 H41:AC42 H38:AC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AC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BJ40"/>
  <sheetViews>
    <sheetView showGridLines="0" zoomScale="90" workbookViewId="0">
      <pane xSplit="8" ySplit="31" topLeftCell="AW32" activePane="bottomRight" state="frozen"/>
      <selection pane="topRight" activeCell="I1" sqref="I1"/>
      <selection pane="bottomLeft" activeCell="A32" sqref="A32"/>
      <selection pane="bottomRight" activeCell="AW25" sqref="AW25"/>
    </sheetView>
  </sheetViews>
  <sheetFormatPr defaultColWidth="10.5703125" defaultRowHeight="15" customHeight="1"/>
  <cols>
    <col min="1" max="1" width="9.140625" style="1420" hidden="1" customWidth="1"/>
    <col min="2" max="2" width="9.140625" style="1423" hidden="1" customWidth="1"/>
    <col min="3" max="3" width="4" style="604" customWidth="1"/>
    <col min="4" max="4" width="6" style="1423" customWidth="1"/>
    <col min="5" max="5" width="36" style="1423" customWidth="1"/>
    <col min="6" max="6" width="9" style="1423" customWidth="1"/>
    <col min="7" max="7" width="25.7109375" style="1423" hidden="1" customWidth="1"/>
    <col min="8" max="8" width="33.7109375" style="1423" hidden="1" customWidth="1"/>
    <col min="9" max="9" width="25.7109375" style="1423" customWidth="1"/>
    <col min="10" max="10" width="33" style="1423" customWidth="1"/>
    <col min="11" max="11" width="25.7109375" style="1423" customWidth="1"/>
    <col min="12" max="12" width="33.7109375" style="1423" customWidth="1"/>
    <col min="13" max="13" width="25.7109375" style="1423" customWidth="1"/>
    <col min="14" max="14" width="33.7109375" style="1423" customWidth="1"/>
    <col min="15" max="15" width="25.7109375" style="1423" customWidth="1"/>
    <col min="16" max="16" width="33.7109375" style="1423" customWidth="1"/>
    <col min="17" max="17" width="25.7109375" style="1423" customWidth="1"/>
    <col min="18" max="18" width="33.7109375" style="1423" customWidth="1"/>
    <col min="19" max="19" width="25.7109375" style="1423" customWidth="1"/>
    <col min="20" max="20" width="33.7109375" style="1423" customWidth="1"/>
    <col min="21" max="21" width="25.7109375" style="1423" customWidth="1"/>
    <col min="22" max="22" width="33.7109375" style="1423" customWidth="1"/>
    <col min="23" max="23" width="25.7109375" style="1423" customWidth="1"/>
    <col min="24" max="24" width="33.7109375" style="1423" customWidth="1"/>
    <col min="25" max="25" width="25.7109375" style="1423" customWidth="1"/>
    <col min="26" max="26" width="33.7109375" style="1423" customWidth="1"/>
    <col min="27" max="27" width="25.7109375" style="1423" customWidth="1"/>
    <col min="28" max="28" width="33.7109375" style="1423" customWidth="1"/>
    <col min="29" max="29" width="25.7109375" style="1423" customWidth="1"/>
    <col min="30" max="30" width="33.7109375" style="1423" customWidth="1"/>
    <col min="31" max="31" width="25.7109375" style="1423" customWidth="1"/>
    <col min="32" max="32" width="33.7109375" style="1423" customWidth="1"/>
    <col min="33" max="33" width="25.7109375" style="1423" customWidth="1"/>
    <col min="34" max="34" width="33.7109375" style="1423" customWidth="1"/>
    <col min="35" max="35" width="25.7109375" style="1423" customWidth="1"/>
    <col min="36" max="36" width="33.7109375" style="1423" customWidth="1"/>
    <col min="37" max="37" width="25.7109375" style="1423" customWidth="1"/>
    <col min="38" max="38" width="33.7109375" style="1423" customWidth="1"/>
    <col min="39" max="39" width="25.7109375" style="1423" customWidth="1"/>
    <col min="40" max="40" width="33.7109375" style="1423" customWidth="1"/>
    <col min="41" max="41" width="25.7109375" style="1423" customWidth="1"/>
    <col min="42" max="42" width="33.7109375" style="1423" customWidth="1"/>
    <col min="43" max="43" width="25.7109375" style="1423" customWidth="1"/>
    <col min="44" max="44" width="33.7109375" style="1423" customWidth="1"/>
    <col min="45" max="45" width="25.7109375" style="1423" customWidth="1"/>
    <col min="46" max="46" width="33.7109375" style="1423" customWidth="1"/>
    <col min="47" max="47" width="25.7109375" style="1423" customWidth="1"/>
    <col min="48" max="48" width="33.7109375" style="1423" customWidth="1"/>
    <col min="49" max="49" width="25.7109375" style="1423" customWidth="1"/>
    <col min="50" max="50" width="33.7109375" style="1423" customWidth="1"/>
    <col min="51" max="51" width="93" style="1154" customWidth="1"/>
    <col min="52" max="60" width="10" style="1423" customWidth="1"/>
    <col min="61" max="61" width="10" style="596" customWidth="1"/>
    <col min="62" max="62" width="10.5703125" style="1423" hidden="1"/>
  </cols>
  <sheetData>
    <row r="1" spans="1:62" s="1154" customFormat="1" ht="22.5" hidden="1" customHeight="1">
      <c r="C1" s="593"/>
      <c r="G1" s="350">
        <v>4</v>
      </c>
      <c r="I1" s="350">
        <v>4</v>
      </c>
      <c r="K1" s="1154">
        <v>4</v>
      </c>
      <c r="M1" s="1154">
        <v>4</v>
      </c>
      <c r="O1" s="1154">
        <v>4</v>
      </c>
      <c r="Q1" s="1154">
        <v>4</v>
      </c>
      <c r="S1" s="1154">
        <v>4</v>
      </c>
      <c r="U1" s="1154">
        <v>4</v>
      </c>
      <c r="W1" s="1154">
        <v>4</v>
      </c>
      <c r="Y1" s="1154">
        <v>4</v>
      </c>
      <c r="AA1" s="1154">
        <v>4</v>
      </c>
      <c r="AC1" s="1154">
        <v>4</v>
      </c>
      <c r="AE1" s="1154">
        <v>4</v>
      </c>
      <c r="AG1" s="1154">
        <v>4</v>
      </c>
      <c r="AI1" s="1154">
        <v>4</v>
      </c>
      <c r="AK1" s="1154">
        <v>4</v>
      </c>
      <c r="AM1" s="1154">
        <v>4</v>
      </c>
      <c r="AO1" s="1154">
        <v>4</v>
      </c>
      <c r="AQ1" s="1154">
        <v>4</v>
      </c>
      <c r="AS1" s="1154">
        <v>4</v>
      </c>
      <c r="AU1" s="1154">
        <v>4</v>
      </c>
      <c r="AW1" s="1154">
        <v>4</v>
      </c>
      <c r="BI1" s="353"/>
      <c r="BJ1" s="350" t="s">
        <v>1</v>
      </c>
    </row>
    <row r="2" spans="1:62" s="1154" customFormat="1" ht="15" hidden="1" customHeight="1">
      <c r="C2" s="593"/>
      <c r="BI2" s="353"/>
      <c r="BJ2" s="350">
        <v>0</v>
      </c>
    </row>
    <row r="3" spans="1:62" ht="22.5" hidden="1" customHeight="1">
      <c r="A3" s="438"/>
      <c r="B3" s="2507"/>
      <c r="C3" s="2508" t="s">
        <v>90</v>
      </c>
      <c r="D3" s="610" t="str">
        <f>B3&amp;".1"</f>
        <v>.1</v>
      </c>
      <c r="E3" s="611" t="s">
        <v>962</v>
      </c>
      <c r="F3" s="612" t="s">
        <v>390</v>
      </c>
      <c r="G3" s="607"/>
      <c r="H3" s="334"/>
      <c r="I3" s="607"/>
      <c r="J3" s="334"/>
      <c r="K3" s="1852"/>
      <c r="L3" s="717"/>
      <c r="M3" s="1852"/>
      <c r="N3" s="717"/>
      <c r="O3" s="1852"/>
      <c r="P3" s="717"/>
      <c r="Q3" s="1852"/>
      <c r="R3" s="717"/>
      <c r="S3" s="1852"/>
      <c r="T3" s="717"/>
      <c r="U3" s="1852"/>
      <c r="V3" s="717"/>
      <c r="W3" s="1852"/>
      <c r="X3" s="717"/>
      <c r="Y3" s="1852"/>
      <c r="Z3" s="717"/>
      <c r="AA3" s="1852"/>
      <c r="AB3" s="717"/>
      <c r="AC3" s="1852"/>
      <c r="AD3" s="717"/>
      <c r="AE3" s="1852"/>
      <c r="AF3" s="717"/>
      <c r="AG3" s="1852"/>
      <c r="AH3" s="717"/>
      <c r="AI3" s="1852"/>
      <c r="AJ3" s="717"/>
      <c r="AK3" s="1852"/>
      <c r="AL3" s="717"/>
      <c r="AM3" s="1852"/>
      <c r="AN3" s="717"/>
      <c r="AO3" s="1852"/>
      <c r="AP3" s="717"/>
      <c r="AQ3" s="1852"/>
      <c r="AR3" s="717"/>
      <c r="AS3" s="1852"/>
      <c r="AT3" s="717"/>
      <c r="AU3" s="1852"/>
      <c r="AV3" s="717"/>
      <c r="AW3" s="1852"/>
      <c r="AX3" s="717"/>
      <c r="AY3" s="223" t="s">
        <v>963</v>
      </c>
      <c r="BJ3" s="438">
        <v>0</v>
      </c>
    </row>
    <row r="4" spans="1:62" ht="15" hidden="1" customHeight="1">
      <c r="A4" s="438"/>
      <c r="B4" s="2507"/>
      <c r="C4" s="2508"/>
      <c r="D4" s="610" t="str">
        <f>B3&amp;".2"</f>
        <v>.2</v>
      </c>
      <c r="E4" s="611" t="s">
        <v>964</v>
      </c>
      <c r="F4" s="612" t="s">
        <v>390</v>
      </c>
      <c r="G4" s="1497" t="s">
        <v>9</v>
      </c>
      <c r="H4" s="334"/>
      <c r="I4" s="1497" t="s">
        <v>9</v>
      </c>
      <c r="J4" s="334"/>
      <c r="K4" s="1497" t="s">
        <v>9</v>
      </c>
      <c r="L4" s="717"/>
      <c r="M4" s="1497" t="s">
        <v>9</v>
      </c>
      <c r="N4" s="717"/>
      <c r="O4" s="1497" t="s">
        <v>9</v>
      </c>
      <c r="P4" s="717"/>
      <c r="Q4" s="1497" t="s">
        <v>9</v>
      </c>
      <c r="R4" s="717"/>
      <c r="S4" s="1497" t="s">
        <v>9</v>
      </c>
      <c r="T4" s="717"/>
      <c r="U4" s="1497" t="s">
        <v>9</v>
      </c>
      <c r="V4" s="717"/>
      <c r="W4" s="1497" t="s">
        <v>9</v>
      </c>
      <c r="X4" s="717"/>
      <c r="Y4" s="1497" t="s">
        <v>9</v>
      </c>
      <c r="Z4" s="717"/>
      <c r="AA4" s="1497" t="s">
        <v>9</v>
      </c>
      <c r="AB4" s="717"/>
      <c r="AC4" s="1497" t="s">
        <v>9</v>
      </c>
      <c r="AD4" s="717"/>
      <c r="AE4" s="1497" t="s">
        <v>9</v>
      </c>
      <c r="AF4" s="717"/>
      <c r="AG4" s="1497" t="s">
        <v>9</v>
      </c>
      <c r="AH4" s="717"/>
      <c r="AI4" s="1497" t="s">
        <v>9</v>
      </c>
      <c r="AJ4" s="717"/>
      <c r="AK4" s="1497" t="s">
        <v>9</v>
      </c>
      <c r="AL4" s="717"/>
      <c r="AM4" s="1497" t="s">
        <v>9</v>
      </c>
      <c r="AN4" s="717"/>
      <c r="AO4" s="1497" t="s">
        <v>9</v>
      </c>
      <c r="AP4" s="717"/>
      <c r="AQ4" s="1497" t="s">
        <v>9</v>
      </c>
      <c r="AR4" s="717"/>
      <c r="AS4" s="1497" t="s">
        <v>9</v>
      </c>
      <c r="AT4" s="717"/>
      <c r="AU4" s="1497" t="s">
        <v>9</v>
      </c>
      <c r="AV4" s="717"/>
      <c r="AW4" s="1497" t="s">
        <v>9</v>
      </c>
      <c r="AX4" s="717"/>
      <c r="AY4" s="223" t="s">
        <v>965</v>
      </c>
      <c r="BJ4" s="438">
        <v>0</v>
      </c>
    </row>
    <row r="5" spans="1:62" s="1154" customFormat="1" ht="15" hidden="1" customHeight="1">
      <c r="C5" s="593"/>
      <c r="BI5" s="353"/>
      <c r="BJ5" s="350">
        <v>0</v>
      </c>
    </row>
    <row r="6" spans="1:62" ht="22.5" hidden="1" customHeight="1">
      <c r="A6" s="438"/>
      <c r="B6" s="2507"/>
      <c r="C6" s="2508" t="s">
        <v>90</v>
      </c>
      <c r="D6" s="610" t="str">
        <f>B6&amp;".1"</f>
        <v>.1</v>
      </c>
      <c r="E6" s="611" t="s">
        <v>966</v>
      </c>
      <c r="F6" s="612" t="s">
        <v>390</v>
      </c>
      <c r="G6" s="607"/>
      <c r="H6" s="334"/>
      <c r="I6" s="607"/>
      <c r="J6" s="334"/>
      <c r="K6" s="1852"/>
      <c r="L6" s="717"/>
      <c r="M6" s="1852"/>
      <c r="N6" s="717"/>
      <c r="O6" s="1852"/>
      <c r="P6" s="717"/>
      <c r="Q6" s="1852"/>
      <c r="R6" s="717"/>
      <c r="S6" s="1852"/>
      <c r="T6" s="717"/>
      <c r="U6" s="1852"/>
      <c r="V6" s="717"/>
      <c r="W6" s="1852"/>
      <c r="X6" s="717"/>
      <c r="Y6" s="1852"/>
      <c r="Z6" s="717"/>
      <c r="AA6" s="1852"/>
      <c r="AB6" s="717"/>
      <c r="AC6" s="1852"/>
      <c r="AD6" s="717"/>
      <c r="AE6" s="1852"/>
      <c r="AF6" s="717"/>
      <c r="AG6" s="1852"/>
      <c r="AH6" s="717"/>
      <c r="AI6" s="1852"/>
      <c r="AJ6" s="717"/>
      <c r="AK6" s="1852"/>
      <c r="AL6" s="717"/>
      <c r="AM6" s="1852"/>
      <c r="AN6" s="717"/>
      <c r="AO6" s="1852"/>
      <c r="AP6" s="717"/>
      <c r="AQ6" s="1852"/>
      <c r="AR6" s="717"/>
      <c r="AS6" s="1852"/>
      <c r="AT6" s="717"/>
      <c r="AU6" s="1852"/>
      <c r="AV6" s="717"/>
      <c r="AW6" s="1852"/>
      <c r="AX6" s="717"/>
      <c r="AY6" s="223" t="s">
        <v>967</v>
      </c>
      <c r="BJ6" s="438">
        <v>0</v>
      </c>
    </row>
    <row r="7" spans="1:62" ht="15" hidden="1" customHeight="1">
      <c r="A7" s="438"/>
      <c r="B7" s="2507"/>
      <c r="C7" s="2508"/>
      <c r="D7" s="610" t="str">
        <f>B6&amp;".2"</f>
        <v>.2</v>
      </c>
      <c r="E7" s="611" t="s">
        <v>964</v>
      </c>
      <c r="F7" s="612" t="s">
        <v>390</v>
      </c>
      <c r="G7" s="1497" t="s">
        <v>9</v>
      </c>
      <c r="H7" s="334"/>
      <c r="I7" s="1497" t="s">
        <v>9</v>
      </c>
      <c r="J7" s="334"/>
      <c r="K7" s="1497" t="s">
        <v>9</v>
      </c>
      <c r="L7" s="717"/>
      <c r="M7" s="1497" t="s">
        <v>9</v>
      </c>
      <c r="N7" s="717"/>
      <c r="O7" s="1497" t="s">
        <v>9</v>
      </c>
      <c r="P7" s="717"/>
      <c r="Q7" s="1497" t="s">
        <v>9</v>
      </c>
      <c r="R7" s="717"/>
      <c r="S7" s="1497" t="s">
        <v>9</v>
      </c>
      <c r="T7" s="717"/>
      <c r="U7" s="1497" t="s">
        <v>9</v>
      </c>
      <c r="V7" s="717"/>
      <c r="W7" s="1497" t="s">
        <v>9</v>
      </c>
      <c r="X7" s="717"/>
      <c r="Y7" s="1497" t="s">
        <v>9</v>
      </c>
      <c r="Z7" s="717"/>
      <c r="AA7" s="1497" t="s">
        <v>9</v>
      </c>
      <c r="AB7" s="717"/>
      <c r="AC7" s="1497" t="s">
        <v>9</v>
      </c>
      <c r="AD7" s="717"/>
      <c r="AE7" s="1497" t="s">
        <v>9</v>
      </c>
      <c r="AF7" s="717"/>
      <c r="AG7" s="1497" t="s">
        <v>9</v>
      </c>
      <c r="AH7" s="717"/>
      <c r="AI7" s="1497" t="s">
        <v>9</v>
      </c>
      <c r="AJ7" s="717"/>
      <c r="AK7" s="1497" t="s">
        <v>9</v>
      </c>
      <c r="AL7" s="717"/>
      <c r="AM7" s="1497" t="s">
        <v>9</v>
      </c>
      <c r="AN7" s="717"/>
      <c r="AO7" s="1497" t="s">
        <v>9</v>
      </c>
      <c r="AP7" s="717"/>
      <c r="AQ7" s="1497" t="s">
        <v>9</v>
      </c>
      <c r="AR7" s="717"/>
      <c r="AS7" s="1497" t="s">
        <v>9</v>
      </c>
      <c r="AT7" s="717"/>
      <c r="AU7" s="1497" t="s">
        <v>9</v>
      </c>
      <c r="AV7" s="717"/>
      <c r="AW7" s="1497" t="s">
        <v>9</v>
      </c>
      <c r="AX7" s="717"/>
      <c r="AY7" s="223" t="s">
        <v>965</v>
      </c>
      <c r="BJ7" s="438">
        <v>0</v>
      </c>
    </row>
    <row r="8" spans="1:62" s="1154" customFormat="1" ht="15" hidden="1" customHeight="1">
      <c r="C8" s="593"/>
      <c r="BI8" s="353"/>
      <c r="BJ8" s="350">
        <v>0</v>
      </c>
    </row>
    <row r="9" spans="1:62" ht="22.5" hidden="1" customHeight="1">
      <c r="A9" s="438"/>
      <c r="B9" s="2507"/>
      <c r="C9" s="2508" t="s">
        <v>90</v>
      </c>
      <c r="D9" s="610" t="str">
        <f>B9&amp;".1"</f>
        <v>.1</v>
      </c>
      <c r="E9" s="611" t="s">
        <v>968</v>
      </c>
      <c r="F9" s="612" t="s">
        <v>390</v>
      </c>
      <c r="G9" s="618" t="s">
        <v>9</v>
      </c>
      <c r="H9" s="334" t="s">
        <v>9</v>
      </c>
      <c r="I9" s="618" t="s">
        <v>9</v>
      </c>
      <c r="J9" s="334" t="s">
        <v>9</v>
      </c>
      <c r="K9" s="760" t="s">
        <v>9</v>
      </c>
      <c r="L9" s="717" t="s">
        <v>9</v>
      </c>
      <c r="M9" s="760" t="s">
        <v>9</v>
      </c>
      <c r="N9" s="717" t="s">
        <v>9</v>
      </c>
      <c r="O9" s="760" t="s">
        <v>9</v>
      </c>
      <c r="P9" s="717" t="s">
        <v>9</v>
      </c>
      <c r="Q9" s="760" t="s">
        <v>9</v>
      </c>
      <c r="R9" s="717" t="s">
        <v>9</v>
      </c>
      <c r="S9" s="760" t="s">
        <v>9</v>
      </c>
      <c r="T9" s="717" t="s">
        <v>9</v>
      </c>
      <c r="U9" s="760" t="s">
        <v>9</v>
      </c>
      <c r="V9" s="717" t="s">
        <v>9</v>
      </c>
      <c r="W9" s="760" t="s">
        <v>9</v>
      </c>
      <c r="X9" s="717" t="s">
        <v>9</v>
      </c>
      <c r="Y9" s="760" t="s">
        <v>9</v>
      </c>
      <c r="Z9" s="717" t="s">
        <v>9</v>
      </c>
      <c r="AA9" s="760" t="s">
        <v>9</v>
      </c>
      <c r="AB9" s="717" t="s">
        <v>9</v>
      </c>
      <c r="AC9" s="760" t="s">
        <v>9</v>
      </c>
      <c r="AD9" s="717" t="s">
        <v>9</v>
      </c>
      <c r="AE9" s="760" t="s">
        <v>9</v>
      </c>
      <c r="AF9" s="717" t="s">
        <v>9</v>
      </c>
      <c r="AG9" s="760" t="s">
        <v>9</v>
      </c>
      <c r="AH9" s="717" t="s">
        <v>9</v>
      </c>
      <c r="AI9" s="760" t="s">
        <v>9</v>
      </c>
      <c r="AJ9" s="717" t="s">
        <v>9</v>
      </c>
      <c r="AK9" s="760" t="s">
        <v>9</v>
      </c>
      <c r="AL9" s="717" t="s">
        <v>9</v>
      </c>
      <c r="AM9" s="760" t="s">
        <v>9</v>
      </c>
      <c r="AN9" s="717" t="s">
        <v>9</v>
      </c>
      <c r="AO9" s="760" t="s">
        <v>9</v>
      </c>
      <c r="AP9" s="717" t="s">
        <v>9</v>
      </c>
      <c r="AQ9" s="760" t="s">
        <v>9</v>
      </c>
      <c r="AR9" s="717" t="s">
        <v>9</v>
      </c>
      <c r="AS9" s="760" t="s">
        <v>9</v>
      </c>
      <c r="AT9" s="717" t="s">
        <v>9</v>
      </c>
      <c r="AU9" s="760" t="s">
        <v>9</v>
      </c>
      <c r="AV9" s="717" t="s">
        <v>9</v>
      </c>
      <c r="AW9" s="760" t="s">
        <v>9</v>
      </c>
      <c r="AX9" s="717" t="s">
        <v>9</v>
      </c>
      <c r="AY9" s="223"/>
      <c r="BJ9" s="438">
        <v>0</v>
      </c>
    </row>
    <row r="10" spans="1:62" ht="15" hidden="1" customHeight="1">
      <c r="A10" s="438"/>
      <c r="B10" s="2507"/>
      <c r="C10" s="2508"/>
      <c r="D10" s="610" t="str">
        <f>B9&amp;".2"</f>
        <v>.2</v>
      </c>
      <c r="E10" s="611" t="s">
        <v>969</v>
      </c>
      <c r="F10" s="612" t="s">
        <v>390</v>
      </c>
      <c r="G10" s="1491" t="s">
        <v>9</v>
      </c>
      <c r="H10" s="334" t="s">
        <v>9</v>
      </c>
      <c r="I10" s="1491" t="s">
        <v>9</v>
      </c>
      <c r="J10" s="334" t="s">
        <v>9</v>
      </c>
      <c r="K10" s="1491" t="s">
        <v>9</v>
      </c>
      <c r="L10" s="717" t="s">
        <v>9</v>
      </c>
      <c r="M10" s="1491" t="s">
        <v>9</v>
      </c>
      <c r="N10" s="717" t="s">
        <v>9</v>
      </c>
      <c r="O10" s="1491" t="s">
        <v>9</v>
      </c>
      <c r="P10" s="717" t="s">
        <v>9</v>
      </c>
      <c r="Q10" s="1491" t="s">
        <v>9</v>
      </c>
      <c r="R10" s="717" t="s">
        <v>9</v>
      </c>
      <c r="S10" s="1491" t="s">
        <v>9</v>
      </c>
      <c r="T10" s="717" t="s">
        <v>9</v>
      </c>
      <c r="U10" s="1491" t="s">
        <v>9</v>
      </c>
      <c r="V10" s="717" t="s">
        <v>9</v>
      </c>
      <c r="W10" s="1491" t="s">
        <v>9</v>
      </c>
      <c r="X10" s="717" t="s">
        <v>9</v>
      </c>
      <c r="Y10" s="1491" t="s">
        <v>9</v>
      </c>
      <c r="Z10" s="717" t="s">
        <v>9</v>
      </c>
      <c r="AA10" s="1491" t="s">
        <v>9</v>
      </c>
      <c r="AB10" s="717" t="s">
        <v>9</v>
      </c>
      <c r="AC10" s="1491" t="s">
        <v>9</v>
      </c>
      <c r="AD10" s="717" t="s">
        <v>9</v>
      </c>
      <c r="AE10" s="1491" t="s">
        <v>9</v>
      </c>
      <c r="AF10" s="717" t="s">
        <v>9</v>
      </c>
      <c r="AG10" s="1491" t="s">
        <v>9</v>
      </c>
      <c r="AH10" s="717" t="s">
        <v>9</v>
      </c>
      <c r="AI10" s="1491" t="s">
        <v>9</v>
      </c>
      <c r="AJ10" s="717" t="s">
        <v>9</v>
      </c>
      <c r="AK10" s="1491" t="s">
        <v>9</v>
      </c>
      <c r="AL10" s="717" t="s">
        <v>9</v>
      </c>
      <c r="AM10" s="1491" t="s">
        <v>9</v>
      </c>
      <c r="AN10" s="717" t="s">
        <v>9</v>
      </c>
      <c r="AO10" s="1491" t="s">
        <v>9</v>
      </c>
      <c r="AP10" s="717" t="s">
        <v>9</v>
      </c>
      <c r="AQ10" s="1491" t="s">
        <v>9</v>
      </c>
      <c r="AR10" s="717" t="s">
        <v>9</v>
      </c>
      <c r="AS10" s="1491" t="s">
        <v>9</v>
      </c>
      <c r="AT10" s="717" t="s">
        <v>9</v>
      </c>
      <c r="AU10" s="1491" t="s">
        <v>9</v>
      </c>
      <c r="AV10" s="717" t="s">
        <v>9</v>
      </c>
      <c r="AW10" s="1491" t="s">
        <v>9</v>
      </c>
      <c r="AX10" s="717" t="s">
        <v>9</v>
      </c>
      <c r="AY10" s="223" t="s">
        <v>970</v>
      </c>
      <c r="BJ10" s="438">
        <v>0</v>
      </c>
    </row>
    <row r="11" spans="1:62" ht="15" hidden="1" customHeight="1">
      <c r="A11" s="438"/>
      <c r="B11" s="2507"/>
      <c r="C11" s="2508"/>
      <c r="D11" s="610" t="str">
        <f>B9&amp;".3"</f>
        <v>.3</v>
      </c>
      <c r="E11" s="611" t="s">
        <v>971</v>
      </c>
      <c r="F11" s="612" t="s">
        <v>390</v>
      </c>
      <c r="G11" s="1491" t="s">
        <v>9</v>
      </c>
      <c r="H11" s="334" t="s">
        <v>9</v>
      </c>
      <c r="I11" s="1491" t="s">
        <v>9</v>
      </c>
      <c r="J11" s="334" t="s">
        <v>9</v>
      </c>
      <c r="K11" s="1491" t="s">
        <v>9</v>
      </c>
      <c r="L11" s="717" t="s">
        <v>9</v>
      </c>
      <c r="M11" s="1491" t="s">
        <v>9</v>
      </c>
      <c r="N11" s="717" t="s">
        <v>9</v>
      </c>
      <c r="O11" s="1491" t="s">
        <v>9</v>
      </c>
      <c r="P11" s="717" t="s">
        <v>9</v>
      </c>
      <c r="Q11" s="1491" t="s">
        <v>9</v>
      </c>
      <c r="R11" s="717" t="s">
        <v>9</v>
      </c>
      <c r="S11" s="1491" t="s">
        <v>9</v>
      </c>
      <c r="T11" s="717" t="s">
        <v>9</v>
      </c>
      <c r="U11" s="1491" t="s">
        <v>9</v>
      </c>
      <c r="V11" s="717" t="s">
        <v>9</v>
      </c>
      <c r="W11" s="1491" t="s">
        <v>9</v>
      </c>
      <c r="X11" s="717" t="s">
        <v>9</v>
      </c>
      <c r="Y11" s="1491" t="s">
        <v>9</v>
      </c>
      <c r="Z11" s="717" t="s">
        <v>9</v>
      </c>
      <c r="AA11" s="1491" t="s">
        <v>9</v>
      </c>
      <c r="AB11" s="717" t="s">
        <v>9</v>
      </c>
      <c r="AC11" s="1491" t="s">
        <v>9</v>
      </c>
      <c r="AD11" s="717" t="s">
        <v>9</v>
      </c>
      <c r="AE11" s="1491" t="s">
        <v>9</v>
      </c>
      <c r="AF11" s="717" t="s">
        <v>9</v>
      </c>
      <c r="AG11" s="1491" t="s">
        <v>9</v>
      </c>
      <c r="AH11" s="717" t="s">
        <v>9</v>
      </c>
      <c r="AI11" s="1491" t="s">
        <v>9</v>
      </c>
      <c r="AJ11" s="717" t="s">
        <v>9</v>
      </c>
      <c r="AK11" s="1491" t="s">
        <v>9</v>
      </c>
      <c r="AL11" s="717" t="s">
        <v>9</v>
      </c>
      <c r="AM11" s="1491" t="s">
        <v>9</v>
      </c>
      <c r="AN11" s="717" t="s">
        <v>9</v>
      </c>
      <c r="AO11" s="1491" t="s">
        <v>9</v>
      </c>
      <c r="AP11" s="717" t="s">
        <v>9</v>
      </c>
      <c r="AQ11" s="1491" t="s">
        <v>9</v>
      </c>
      <c r="AR11" s="717" t="s">
        <v>9</v>
      </c>
      <c r="AS11" s="1491" t="s">
        <v>9</v>
      </c>
      <c r="AT11" s="717" t="s">
        <v>9</v>
      </c>
      <c r="AU11" s="1491" t="s">
        <v>9</v>
      </c>
      <c r="AV11" s="717" t="s">
        <v>9</v>
      </c>
      <c r="AW11" s="1491" t="s">
        <v>9</v>
      </c>
      <c r="AX11" s="717" t="s">
        <v>9</v>
      </c>
      <c r="AY11" s="223" t="s">
        <v>972</v>
      </c>
      <c r="BJ11" s="438">
        <v>0</v>
      </c>
    </row>
    <row r="12" spans="1:62" s="1154" customFormat="1" ht="15" hidden="1" customHeight="1">
      <c r="C12" s="593"/>
      <c r="BI12" s="353"/>
      <c r="BJ12" s="350">
        <v>0</v>
      </c>
    </row>
    <row r="13" spans="1:62" ht="33.75" hidden="1" customHeight="1">
      <c r="A13" s="438"/>
      <c r="B13" s="2507"/>
      <c r="C13" s="2508" t="s">
        <v>90</v>
      </c>
      <c r="D13" s="610" t="str">
        <f>B13&amp;".1"</f>
        <v>.1</v>
      </c>
      <c r="E13" s="611" t="s">
        <v>973</v>
      </c>
      <c r="F13" s="612" t="s">
        <v>390</v>
      </c>
      <c r="G13" s="618" t="s">
        <v>9</v>
      </c>
      <c r="H13" s="334" t="s">
        <v>9</v>
      </c>
      <c r="I13" s="618" t="s">
        <v>9</v>
      </c>
      <c r="J13" s="334" t="s">
        <v>9</v>
      </c>
      <c r="K13" s="760" t="s">
        <v>9</v>
      </c>
      <c r="L13" s="717" t="s">
        <v>9</v>
      </c>
      <c r="M13" s="760" t="s">
        <v>9</v>
      </c>
      <c r="N13" s="717" t="s">
        <v>9</v>
      </c>
      <c r="O13" s="760" t="s">
        <v>9</v>
      </c>
      <c r="P13" s="717" t="s">
        <v>9</v>
      </c>
      <c r="Q13" s="760" t="s">
        <v>9</v>
      </c>
      <c r="R13" s="717" t="s">
        <v>9</v>
      </c>
      <c r="S13" s="760" t="s">
        <v>9</v>
      </c>
      <c r="T13" s="717" t="s">
        <v>9</v>
      </c>
      <c r="U13" s="760" t="s">
        <v>9</v>
      </c>
      <c r="V13" s="717" t="s">
        <v>9</v>
      </c>
      <c r="W13" s="760" t="s">
        <v>9</v>
      </c>
      <c r="X13" s="717" t="s">
        <v>9</v>
      </c>
      <c r="Y13" s="760" t="s">
        <v>9</v>
      </c>
      <c r="Z13" s="717" t="s">
        <v>9</v>
      </c>
      <c r="AA13" s="760" t="s">
        <v>9</v>
      </c>
      <c r="AB13" s="717" t="s">
        <v>9</v>
      </c>
      <c r="AC13" s="760" t="s">
        <v>9</v>
      </c>
      <c r="AD13" s="717" t="s">
        <v>9</v>
      </c>
      <c r="AE13" s="760" t="s">
        <v>9</v>
      </c>
      <c r="AF13" s="717" t="s">
        <v>9</v>
      </c>
      <c r="AG13" s="760" t="s">
        <v>9</v>
      </c>
      <c r="AH13" s="717" t="s">
        <v>9</v>
      </c>
      <c r="AI13" s="760" t="s">
        <v>9</v>
      </c>
      <c r="AJ13" s="717" t="s">
        <v>9</v>
      </c>
      <c r="AK13" s="760" t="s">
        <v>9</v>
      </c>
      <c r="AL13" s="717" t="s">
        <v>9</v>
      </c>
      <c r="AM13" s="760" t="s">
        <v>9</v>
      </c>
      <c r="AN13" s="717" t="s">
        <v>9</v>
      </c>
      <c r="AO13" s="760" t="s">
        <v>9</v>
      </c>
      <c r="AP13" s="717" t="s">
        <v>9</v>
      </c>
      <c r="AQ13" s="760" t="s">
        <v>9</v>
      </c>
      <c r="AR13" s="717" t="s">
        <v>9</v>
      </c>
      <c r="AS13" s="760" t="s">
        <v>9</v>
      </c>
      <c r="AT13" s="717" t="s">
        <v>9</v>
      </c>
      <c r="AU13" s="760" t="s">
        <v>9</v>
      </c>
      <c r="AV13" s="717" t="s">
        <v>9</v>
      </c>
      <c r="AW13" s="760" t="s">
        <v>9</v>
      </c>
      <c r="AX13" s="717" t="s">
        <v>9</v>
      </c>
      <c r="AY13" s="223" t="s">
        <v>974</v>
      </c>
      <c r="BJ13" s="438">
        <v>0</v>
      </c>
    </row>
    <row r="14" spans="1:62" ht="15" hidden="1" customHeight="1">
      <c r="B14" s="2507"/>
      <c r="C14" s="2508"/>
      <c r="D14" s="610" t="str">
        <f>B13&amp;".2"</f>
        <v>.2</v>
      </c>
      <c r="E14" s="611" t="s">
        <v>975</v>
      </c>
      <c r="F14" s="612" t="s">
        <v>390</v>
      </c>
      <c r="G14" s="1491" t="s">
        <v>9</v>
      </c>
      <c r="H14" s="334" t="s">
        <v>9</v>
      </c>
      <c r="I14" s="1491" t="s">
        <v>9</v>
      </c>
      <c r="J14" s="334" t="s">
        <v>9</v>
      </c>
      <c r="K14" s="1491" t="s">
        <v>9</v>
      </c>
      <c r="L14" s="717" t="s">
        <v>9</v>
      </c>
      <c r="M14" s="1491" t="s">
        <v>9</v>
      </c>
      <c r="N14" s="717" t="s">
        <v>9</v>
      </c>
      <c r="O14" s="1491" t="s">
        <v>9</v>
      </c>
      <c r="P14" s="717" t="s">
        <v>9</v>
      </c>
      <c r="Q14" s="1491" t="s">
        <v>9</v>
      </c>
      <c r="R14" s="717" t="s">
        <v>9</v>
      </c>
      <c r="S14" s="1491" t="s">
        <v>9</v>
      </c>
      <c r="T14" s="717" t="s">
        <v>9</v>
      </c>
      <c r="U14" s="1491" t="s">
        <v>9</v>
      </c>
      <c r="V14" s="717" t="s">
        <v>9</v>
      </c>
      <c r="W14" s="1491" t="s">
        <v>9</v>
      </c>
      <c r="X14" s="717" t="s">
        <v>9</v>
      </c>
      <c r="Y14" s="1491" t="s">
        <v>9</v>
      </c>
      <c r="Z14" s="717" t="s">
        <v>9</v>
      </c>
      <c r="AA14" s="1491" t="s">
        <v>9</v>
      </c>
      <c r="AB14" s="717" t="s">
        <v>9</v>
      </c>
      <c r="AC14" s="1491" t="s">
        <v>9</v>
      </c>
      <c r="AD14" s="717" t="s">
        <v>9</v>
      </c>
      <c r="AE14" s="1491" t="s">
        <v>9</v>
      </c>
      <c r="AF14" s="717" t="s">
        <v>9</v>
      </c>
      <c r="AG14" s="1491" t="s">
        <v>9</v>
      </c>
      <c r="AH14" s="717" t="s">
        <v>9</v>
      </c>
      <c r="AI14" s="1491" t="s">
        <v>9</v>
      </c>
      <c r="AJ14" s="717" t="s">
        <v>9</v>
      </c>
      <c r="AK14" s="1491" t="s">
        <v>9</v>
      </c>
      <c r="AL14" s="717" t="s">
        <v>9</v>
      </c>
      <c r="AM14" s="1491" t="s">
        <v>9</v>
      </c>
      <c r="AN14" s="717" t="s">
        <v>9</v>
      </c>
      <c r="AO14" s="1491" t="s">
        <v>9</v>
      </c>
      <c r="AP14" s="717" t="s">
        <v>9</v>
      </c>
      <c r="AQ14" s="1491" t="s">
        <v>9</v>
      </c>
      <c r="AR14" s="717" t="s">
        <v>9</v>
      </c>
      <c r="AS14" s="1491" t="s">
        <v>9</v>
      </c>
      <c r="AT14" s="717" t="s">
        <v>9</v>
      </c>
      <c r="AU14" s="1491" t="s">
        <v>9</v>
      </c>
      <c r="AV14" s="717" t="s">
        <v>9</v>
      </c>
      <c r="AW14" s="1491" t="s">
        <v>9</v>
      </c>
      <c r="AX14" s="717" t="s">
        <v>9</v>
      </c>
      <c r="AY14" s="223" t="s">
        <v>976</v>
      </c>
      <c r="BJ14" s="438">
        <v>0</v>
      </c>
    </row>
    <row r="15" spans="1:62" s="1154" customFormat="1" ht="15" hidden="1" customHeight="1">
      <c r="C15" s="593"/>
      <c r="BI15" s="353"/>
      <c r="BJ15" s="350">
        <v>0</v>
      </c>
    </row>
    <row r="16" spans="1:62" s="1154" customFormat="1" ht="15" hidden="1" customHeight="1">
      <c r="C16" s="593"/>
      <c r="BI16" s="353"/>
      <c r="BJ16" s="350">
        <v>0</v>
      </c>
    </row>
    <row r="17" spans="1:62" s="1154" customFormat="1" ht="15" hidden="1" customHeight="1">
      <c r="C17" s="593"/>
      <c r="BI17" s="353"/>
      <c r="BJ17" s="350">
        <v>0</v>
      </c>
    </row>
    <row r="18" spans="1:62" s="1154" customFormat="1" ht="15" hidden="1" customHeight="1">
      <c r="C18" s="593"/>
      <c r="BI18" s="353"/>
      <c r="BJ18" s="350">
        <v>0</v>
      </c>
    </row>
    <row r="19" spans="1:62" s="1154" customFormat="1" ht="15" hidden="1" customHeight="1">
      <c r="C19" s="593"/>
      <c r="BI19" s="353"/>
      <c r="BJ19" s="350">
        <v>0</v>
      </c>
    </row>
    <row r="20" spans="1:62" s="1154" customFormat="1" ht="15" hidden="1" customHeight="1">
      <c r="C20" s="593"/>
      <c r="BI20" s="353"/>
      <c r="BJ20" s="350">
        <v>0</v>
      </c>
    </row>
    <row r="21" spans="1:62" ht="15.75" customHeight="1">
      <c r="C21" s="110"/>
      <c r="D21" s="442"/>
      <c r="E21" s="442"/>
      <c r="F21" s="442"/>
      <c r="G21" s="442"/>
      <c r="H21" s="442"/>
      <c r="I21" s="442"/>
      <c r="J21" s="442"/>
      <c r="BJ21" s="438">
        <v>15</v>
      </c>
    </row>
    <row r="22" spans="1:62" ht="23.25" customHeight="1">
      <c r="C22" s="110"/>
      <c r="D22" s="237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76"/>
      <c r="F22" s="2376"/>
      <c r="G22" s="2376"/>
      <c r="H22" s="2376"/>
      <c r="I22" s="2376"/>
      <c r="J22" s="597"/>
      <c r="K22" s="1846"/>
      <c r="L22" s="1846"/>
      <c r="M22" s="1846"/>
      <c r="N22" s="1846"/>
      <c r="O22" s="1846"/>
      <c r="P22" s="1846"/>
      <c r="Q22" s="1846"/>
      <c r="R22" s="1846"/>
      <c r="S22" s="1846"/>
      <c r="T22" s="1846"/>
      <c r="U22" s="1846"/>
      <c r="V22" s="1846"/>
      <c r="W22" s="1846"/>
      <c r="X22" s="1846"/>
      <c r="Y22" s="1846"/>
      <c r="Z22" s="1846"/>
      <c r="AA22" s="1846"/>
      <c r="AB22" s="1846"/>
      <c r="AC22" s="1846"/>
      <c r="AD22" s="1846"/>
      <c r="AE22" s="1846"/>
      <c r="AF22" s="1846"/>
      <c r="AG22" s="1846"/>
      <c r="AH22" s="1846"/>
      <c r="AI22" s="1846"/>
      <c r="AJ22" s="1846"/>
      <c r="AK22" s="1846"/>
      <c r="AL22" s="1846"/>
      <c r="AM22" s="1846"/>
      <c r="AN22" s="1846"/>
      <c r="AO22" s="1846"/>
      <c r="AP22" s="1846"/>
      <c r="AQ22" s="1846"/>
      <c r="AR22" s="1846"/>
      <c r="AS22" s="1846"/>
      <c r="AT22" s="1846"/>
      <c r="AU22" s="1846"/>
      <c r="AV22" s="1846"/>
      <c r="AW22" s="1846"/>
      <c r="AX22" s="1846"/>
      <c r="AY22" s="469"/>
      <c r="BJ22" s="438">
        <v>22</v>
      </c>
    </row>
    <row r="23" spans="1:62" ht="15.75" customHeight="1">
      <c r="C23" s="110"/>
      <c r="D23" s="2349" t="str">
        <f>IF(org=0,"Не определено",org)</f>
        <v>ООО "Смоленскрегионтеплоэнерго"</v>
      </c>
      <c r="E23" s="2349"/>
      <c r="F23" s="2349"/>
      <c r="G23" s="2349"/>
      <c r="H23" s="2349"/>
      <c r="I23" s="2349"/>
      <c r="J23" s="597"/>
      <c r="K23" s="1847"/>
      <c r="L23" s="1847"/>
      <c r="M23" s="1847"/>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c r="AL23" s="1847"/>
      <c r="AM23" s="1847"/>
      <c r="AN23" s="1847"/>
      <c r="AO23" s="1847"/>
      <c r="AP23" s="1847"/>
      <c r="AQ23" s="1847"/>
      <c r="AR23" s="1847"/>
      <c r="AS23" s="1847"/>
      <c r="AT23" s="1847"/>
      <c r="AU23" s="1847"/>
      <c r="AV23" s="1847"/>
      <c r="AW23" s="1847"/>
      <c r="AX23" s="1847"/>
      <c r="AY23" s="469"/>
      <c r="BJ23" s="438">
        <v>15</v>
      </c>
    </row>
    <row r="24" spans="1:62" ht="15.75" customHeight="1">
      <c r="C24" s="110"/>
      <c r="D24" s="442"/>
      <c r="E24" s="442"/>
      <c r="F24" s="442"/>
      <c r="G24" s="469">
        <v>22</v>
      </c>
      <c r="H24" s="659"/>
      <c r="I24" s="469">
        <v>22</v>
      </c>
      <c r="J24" s="659"/>
      <c r="K24" s="1154" t="s">
        <v>9</v>
      </c>
      <c r="L24" s="659"/>
      <c r="M24" s="1154" t="s">
        <v>9</v>
      </c>
      <c r="N24" s="659"/>
      <c r="O24" s="1154" t="s">
        <v>9</v>
      </c>
      <c r="P24" s="659"/>
      <c r="Q24" s="1154" t="s">
        <v>9</v>
      </c>
      <c r="R24" s="659"/>
      <c r="S24" s="1154" t="s">
        <v>9</v>
      </c>
      <c r="T24" s="659"/>
      <c r="U24" s="1154" t="s">
        <v>9</v>
      </c>
      <c r="V24" s="659"/>
      <c r="W24" s="1154" t="s">
        <v>9</v>
      </c>
      <c r="X24" s="659"/>
      <c r="Y24" s="1154" t="s">
        <v>9</v>
      </c>
      <c r="Z24" s="659"/>
      <c r="AA24" s="1154" t="s">
        <v>9</v>
      </c>
      <c r="AB24" s="659"/>
      <c r="AC24" s="1154" t="s">
        <v>9</v>
      </c>
      <c r="AD24" s="659"/>
      <c r="AE24" s="1154" t="s">
        <v>9</v>
      </c>
      <c r="AF24" s="659"/>
      <c r="AG24" s="1154" t="s">
        <v>9</v>
      </c>
      <c r="AH24" s="659"/>
      <c r="AI24" s="1154" t="s">
        <v>9</v>
      </c>
      <c r="AJ24" s="659"/>
      <c r="AK24" s="1154" t="s">
        <v>9</v>
      </c>
      <c r="AL24" s="659"/>
      <c r="AM24" s="1154" t="s">
        <v>9</v>
      </c>
      <c r="AN24" s="659"/>
      <c r="AO24" s="1154" t="s">
        <v>9</v>
      </c>
      <c r="AP24" s="659"/>
      <c r="AQ24" s="1154" t="s">
        <v>9</v>
      </c>
      <c r="AR24" s="659"/>
      <c r="AS24" s="1154" t="s">
        <v>9</v>
      </c>
      <c r="AT24" s="659"/>
      <c r="AU24" s="1154" t="s">
        <v>9</v>
      </c>
      <c r="AV24" s="659"/>
      <c r="AW24" s="1154" t="s">
        <v>9</v>
      </c>
      <c r="AX24" s="659"/>
      <c r="BJ24" s="438">
        <v>15</v>
      </c>
    </row>
    <row r="25" spans="1:62" s="1423" customFormat="1" ht="1.1499999999999999" customHeight="1">
      <c r="A25" s="664"/>
      <c r="C25" s="110"/>
      <c r="D25" s="442"/>
      <c r="E25" s="442"/>
      <c r="F25" s="442"/>
      <c r="G25" s="469"/>
      <c r="H25" s="659"/>
      <c r="I25" s="469" t="s">
        <v>167</v>
      </c>
      <c r="J25" s="659"/>
      <c r="K25" s="1154" t="s">
        <v>172</v>
      </c>
      <c r="L25" s="659"/>
      <c r="M25" s="1154" t="s">
        <v>174</v>
      </c>
      <c r="N25" s="659"/>
      <c r="O25" s="1154" t="s">
        <v>176</v>
      </c>
      <c r="P25" s="659"/>
      <c r="Q25" s="1154" t="s">
        <v>178</v>
      </c>
      <c r="R25" s="659"/>
      <c r="S25" s="1154" t="s">
        <v>180</v>
      </c>
      <c r="T25" s="659"/>
      <c r="U25" s="1154" t="s">
        <v>182</v>
      </c>
      <c r="V25" s="659"/>
      <c r="W25" s="1154" t="s">
        <v>184</v>
      </c>
      <c r="X25" s="659"/>
      <c r="Y25" s="1154" t="s">
        <v>186</v>
      </c>
      <c r="Z25" s="659"/>
      <c r="AA25" s="1154" t="s">
        <v>188</v>
      </c>
      <c r="AB25" s="659"/>
      <c r="AC25" s="1154" t="s">
        <v>190</v>
      </c>
      <c r="AD25" s="659"/>
      <c r="AE25" s="1154" t="s">
        <v>192</v>
      </c>
      <c r="AF25" s="659"/>
      <c r="AG25" s="1154" t="s">
        <v>194</v>
      </c>
      <c r="AH25" s="659"/>
      <c r="AI25" s="1154" t="s">
        <v>196</v>
      </c>
      <c r="AJ25" s="659"/>
      <c r="AK25" s="1154" t="s">
        <v>198</v>
      </c>
      <c r="AL25" s="659"/>
      <c r="AM25" s="1154" t="s">
        <v>200</v>
      </c>
      <c r="AN25" s="659"/>
      <c r="AO25" s="1154" t="s">
        <v>202</v>
      </c>
      <c r="AP25" s="659"/>
      <c r="AQ25" s="1154" t="s">
        <v>204</v>
      </c>
      <c r="AR25" s="659"/>
      <c r="AS25" s="1154" t="s">
        <v>206</v>
      </c>
      <c r="AT25" s="659"/>
      <c r="AU25" s="1154" t="s">
        <v>208</v>
      </c>
      <c r="AV25" s="659"/>
      <c r="AW25" s="1154" t="s">
        <v>210</v>
      </c>
      <c r="AX25" s="659"/>
      <c r="AY25" s="350"/>
      <c r="BI25" s="596"/>
      <c r="BJ25" s="663">
        <v>1</v>
      </c>
    </row>
    <row r="26" spans="1:62" ht="15.75" customHeight="1">
      <c r="C26" s="110"/>
      <c r="D26" s="629"/>
      <c r="E26" s="2484" t="s">
        <v>157</v>
      </c>
      <c r="F26" s="2485"/>
      <c r="G26" s="2509" t="str">
        <f>IF(G25="","",INDEX(DIFFERENTIATION_UNMERGE_VD,MATCH(G25,DIFFERENTIATION_ID_DIFF,0)))</f>
        <v/>
      </c>
      <c r="H26" s="2510"/>
      <c r="I26" s="2509" t="str">
        <f>IF(I25="","",INDEX(DIFFERENTIATION_UNMERGE_VD,MATCH(I25,DIFFERENTIATION_ID_DIFF,0)))</f>
        <v>Производство тепловой энергии. Некомбинированная выработка; Передача. Тепловая энергия; Сбыт. Тепловая энергия</v>
      </c>
      <c r="J26" s="2510"/>
      <c r="K26" s="2509" t="str">
        <f>IF(K25="","",INDEX(DIFFERENTIATION_UNMERGE_VD,MATCH(K25,DIFFERENTIATION_ID_DIFF,0)))</f>
        <v>Производство тепловой энергии. Некомбинированная выработка; Передача. Тепловая энергия; Сбыт. Тепловая энергия</v>
      </c>
      <c r="L26" s="2510"/>
      <c r="M26" s="2509" t="str">
        <f>IF(M25="","",INDEX(DIFFERENTIATION_UNMERGE_VD,MATCH(M25,DIFFERENTIATION_ID_DIFF,0)))</f>
        <v>Производство тепловой энергии. Некомбинированная выработка; Передача. Тепловая энергия; Сбыт. Тепловая энергия</v>
      </c>
      <c r="N26" s="2510"/>
      <c r="O26" s="2509" t="str">
        <f>IF(O25="","",INDEX(DIFFERENTIATION_UNMERGE_VD,MATCH(O25,DIFFERENTIATION_ID_DIFF,0)))</f>
        <v>Производство тепловой энергии. Некомбинированная выработка; Передача. Тепловая энергия; Сбыт. Тепловая энергия</v>
      </c>
      <c r="P26" s="2510"/>
      <c r="Q26" s="2509" t="str">
        <f>IF(Q25="","",INDEX(DIFFERENTIATION_UNMERGE_VD,MATCH(Q25,DIFFERENTIATION_ID_DIFF,0)))</f>
        <v>Производство тепловой энергии. Некомбинированная выработка; Передача. Тепловая энергия; Сбыт. Тепловая энергия</v>
      </c>
      <c r="R26" s="2510"/>
      <c r="S26" s="2509" t="str">
        <f>IF(S25="","",INDEX(DIFFERENTIATION_UNMERGE_VD,MATCH(S25,DIFFERENTIATION_ID_DIFF,0)))</f>
        <v>Производство тепловой энергии. Некомбинированная выработка; Передача. Тепловая энергия; Сбыт. Тепловая энергия</v>
      </c>
      <c r="T26" s="2510"/>
      <c r="U26" s="2509" t="str">
        <f>IF(U25="","",INDEX(DIFFERENTIATION_UNMERGE_VD,MATCH(U25,DIFFERENTIATION_ID_DIFF,0)))</f>
        <v>Производство тепловой энергии. Некомбинированная выработка; Передача. Тепловая энергия; Сбыт. Тепловая энергия</v>
      </c>
      <c r="V26" s="2510"/>
      <c r="W26" s="2509" t="str">
        <f>IF(W25="","",INDEX(DIFFERENTIATION_UNMERGE_VD,MATCH(W25,DIFFERENTIATION_ID_DIFF,0)))</f>
        <v>Производство тепловой энергии. Некомбинированная выработка; Передача. Тепловая энергия; Сбыт. Тепловая энергия</v>
      </c>
      <c r="X26" s="2510"/>
      <c r="Y26" s="2509" t="str">
        <f>IF(Y25="","",INDEX(DIFFERENTIATION_UNMERGE_VD,MATCH(Y25,DIFFERENTIATION_ID_DIFF,0)))</f>
        <v>Производство тепловой энергии. Некомбинированная выработка; Передача. Тепловая энергия; Сбыт. Тепловая энергия</v>
      </c>
      <c r="Z26" s="2510"/>
      <c r="AA26" s="2509" t="str">
        <f>IF(AA25="","",INDEX(DIFFERENTIATION_UNMERGE_VD,MATCH(AA25,DIFFERENTIATION_ID_DIFF,0)))</f>
        <v>Производство тепловой энергии. Некомбинированная выработка; Передача. Тепловая энергия; Сбыт. Тепловая энергия</v>
      </c>
      <c r="AB26" s="2510"/>
      <c r="AC26" s="2509" t="str">
        <f>IF(AC25="","",INDEX(DIFFERENTIATION_UNMERGE_VD,MATCH(AC25,DIFFERENTIATION_ID_DIFF,0)))</f>
        <v>Производство тепловой энергии. Некомбинированная выработка; Передача. Тепловая энергия; Сбыт. Тепловая энергия</v>
      </c>
      <c r="AD26" s="2510"/>
      <c r="AE26" s="2509" t="str">
        <f>IF(AE25="","",INDEX(DIFFERENTIATION_UNMERGE_VD,MATCH(AE25,DIFFERENTIATION_ID_DIFF,0)))</f>
        <v>Производство тепловой энергии. Некомбинированная выработка; Передача. Тепловая энергия; Сбыт. Тепловая энергия</v>
      </c>
      <c r="AF26" s="2510"/>
      <c r="AG26" s="2509" t="str">
        <f>IF(AG25="","",INDEX(DIFFERENTIATION_UNMERGE_VD,MATCH(AG25,DIFFERENTIATION_ID_DIFF,0)))</f>
        <v>Производство тепловой энергии. Некомбинированная выработка; Передача. Тепловая энергия; Сбыт. Тепловая энергия</v>
      </c>
      <c r="AH26" s="2510"/>
      <c r="AI26" s="2509" t="str">
        <f>IF(AI25="","",INDEX(DIFFERENTIATION_UNMERGE_VD,MATCH(AI25,DIFFERENTIATION_ID_DIFF,0)))</f>
        <v>Производство тепловой энергии. Некомбинированная выработка; Передача. Тепловая энергия; Сбыт. Тепловая энергия</v>
      </c>
      <c r="AJ26" s="2510"/>
      <c r="AK26" s="2509" t="str">
        <f>IF(AK25="","",INDEX(DIFFERENTIATION_UNMERGE_VD,MATCH(AK25,DIFFERENTIATION_ID_DIFF,0)))</f>
        <v>Производство тепловой энергии. Некомбинированная выработка; Передача. Тепловая энергия; Сбыт. Тепловая энергия</v>
      </c>
      <c r="AL26" s="2510"/>
      <c r="AM26" s="2509" t="str">
        <f>IF(AM25="","",INDEX(DIFFERENTIATION_UNMERGE_VD,MATCH(AM25,DIFFERENTIATION_ID_DIFF,0)))</f>
        <v>Производство тепловой энергии. Некомбинированная выработка; Передача. Тепловая энергия; Сбыт. Тепловая энергия</v>
      </c>
      <c r="AN26" s="2510"/>
      <c r="AO26" s="2509" t="str">
        <f>IF(AO25="","",INDEX(DIFFERENTIATION_UNMERGE_VD,MATCH(AO25,DIFFERENTIATION_ID_DIFF,0)))</f>
        <v>Производство тепловой энергии. Некомбинированная выработка; Передача. Тепловая энергия; Сбыт. Тепловая энергия</v>
      </c>
      <c r="AP26" s="2510"/>
      <c r="AQ26" s="2509" t="str">
        <f>IF(AQ25="","",INDEX(DIFFERENTIATION_UNMERGE_VD,MATCH(AQ25,DIFFERENTIATION_ID_DIFF,0)))</f>
        <v>Производство тепловой энергии. Некомбинированная выработка; Передача. Тепловая энергия; Сбыт. Тепловая энергия</v>
      </c>
      <c r="AR26" s="2510"/>
      <c r="AS26" s="2509" t="str">
        <f>IF(AS25="","",INDEX(DIFFERENTIATION_UNMERGE_VD,MATCH(AS25,DIFFERENTIATION_ID_DIFF,0)))</f>
        <v>Производство тепловой энергии. Некомбинированная выработка; Передача. Тепловая энергия; Сбыт. Тепловая энергия</v>
      </c>
      <c r="AT26" s="2510"/>
      <c r="AU26" s="2509" t="str">
        <f>IF(AU25="","",INDEX(DIFFERENTIATION_UNMERGE_VD,MATCH(AU25,DIFFERENTIATION_ID_DIFF,0)))</f>
        <v>Производство тепловой энергии. Некомбинированная выработка; Передача. Тепловая энергия; Сбыт. Тепловая энергия</v>
      </c>
      <c r="AV26" s="2510"/>
      <c r="AW26" s="2509" t="str">
        <f>IF(AW25="","",INDEX(DIFFERENTIATION_UNMERGE_VD,MATCH(AW25,DIFFERENTIATION_ID_DIFF,0)))</f>
        <v>Производство тепловой энергии. Некомбинированная выработка; Передача. Тепловая энергия; Сбыт. Тепловая энергия</v>
      </c>
      <c r="AX26" s="2510"/>
      <c r="AY26" s="2327" t="s">
        <v>385</v>
      </c>
      <c r="BJ26" s="438">
        <v>15</v>
      </c>
    </row>
    <row r="27" spans="1:62" s="1423" customFormat="1" ht="15.75" customHeight="1">
      <c r="A27" s="664"/>
      <c r="C27" s="110"/>
      <c r="D27" s="629"/>
      <c r="E27" s="2484" t="s">
        <v>648</v>
      </c>
      <c r="F27" s="2485"/>
      <c r="G27" s="2509" t="str">
        <f>IF(G25="","",INDEX(DIFFERENTIATION_UNMERGE_AREA,MATCH(G25,DIFFERENTIATION_ID_DIFF,0)))</f>
        <v/>
      </c>
      <c r="H27" s="2510"/>
      <c r="I27" s="2509" t="str">
        <f>IF(I25="","",INDEX(DIFFERENTIATION_UNMERGE_AREA,MATCH(I25,DIFFERENTIATION_ID_DIFF,0)))</f>
        <v>Территория 1</v>
      </c>
      <c r="J27" s="2510"/>
      <c r="K27" s="2509" t="str">
        <f>IF(K25="","",INDEX(DIFFERENTIATION_UNMERGE_AREA,MATCH(K25,DIFFERENTIATION_ID_DIFF,0)))</f>
        <v>Территория 2</v>
      </c>
      <c r="L27" s="2510"/>
      <c r="M27" s="2509" t="str">
        <f>IF(M25="","",INDEX(DIFFERENTIATION_UNMERGE_AREA,MATCH(M25,DIFFERENTIATION_ID_DIFF,0)))</f>
        <v>Территория 3</v>
      </c>
      <c r="N27" s="2510"/>
      <c r="O27" s="2509" t="str">
        <f>IF(O25="","",INDEX(DIFFERENTIATION_UNMERGE_AREA,MATCH(O25,DIFFERENTIATION_ID_DIFF,0)))</f>
        <v>Территория 4</v>
      </c>
      <c r="P27" s="2510"/>
      <c r="Q27" s="2509" t="str">
        <f>IF(Q25="","",INDEX(DIFFERENTIATION_UNMERGE_AREA,MATCH(Q25,DIFFERENTIATION_ID_DIFF,0)))</f>
        <v>Территория 5</v>
      </c>
      <c r="R27" s="2510"/>
      <c r="S27" s="2509" t="str">
        <f>IF(S25="","",INDEX(DIFFERENTIATION_UNMERGE_AREA,MATCH(S25,DIFFERENTIATION_ID_DIFF,0)))</f>
        <v>Территория 6</v>
      </c>
      <c r="T27" s="2510"/>
      <c r="U27" s="2509" t="str">
        <f>IF(U25="","",INDEX(DIFFERENTIATION_UNMERGE_AREA,MATCH(U25,DIFFERENTIATION_ID_DIFF,0)))</f>
        <v>Территория 6</v>
      </c>
      <c r="V27" s="2510"/>
      <c r="W27" s="2509" t="str">
        <f>IF(W25="","",INDEX(DIFFERENTIATION_UNMERGE_AREA,MATCH(W25,DIFFERENTIATION_ID_DIFF,0)))</f>
        <v>Территория 6</v>
      </c>
      <c r="X27" s="2510"/>
      <c r="Y27" s="2509" t="str">
        <f>IF(Y25="","",INDEX(DIFFERENTIATION_UNMERGE_AREA,MATCH(Y25,DIFFERENTIATION_ID_DIFF,0)))</f>
        <v>Территория 7</v>
      </c>
      <c r="Z27" s="2510"/>
      <c r="AA27" s="2509" t="str">
        <f>IF(AA25="","",INDEX(DIFFERENTIATION_UNMERGE_AREA,MATCH(AA25,DIFFERENTIATION_ID_DIFF,0)))</f>
        <v>Территория 8</v>
      </c>
      <c r="AB27" s="2510"/>
      <c r="AC27" s="2509" t="str">
        <f>IF(AC25="","",INDEX(DIFFERENTIATION_UNMERGE_AREA,MATCH(AC25,DIFFERENTIATION_ID_DIFF,0)))</f>
        <v>Территория 8</v>
      </c>
      <c r="AD27" s="2510"/>
      <c r="AE27" s="2509" t="str">
        <f>IF(AE25="","",INDEX(DIFFERENTIATION_UNMERGE_AREA,MATCH(AE25,DIFFERENTIATION_ID_DIFF,0)))</f>
        <v>Территория 8</v>
      </c>
      <c r="AF27" s="2510"/>
      <c r="AG27" s="2509" t="str">
        <f>IF(AG25="","",INDEX(DIFFERENTIATION_UNMERGE_AREA,MATCH(AG25,DIFFERENTIATION_ID_DIFF,0)))</f>
        <v>Территория 9</v>
      </c>
      <c r="AH27" s="2510"/>
      <c r="AI27" s="2509" t="str">
        <f>IF(AI25="","",INDEX(DIFFERENTIATION_UNMERGE_AREA,MATCH(AI25,DIFFERENTIATION_ID_DIFF,0)))</f>
        <v>Территория 10</v>
      </c>
      <c r="AJ27" s="2510"/>
      <c r="AK27" s="2509" t="str">
        <f>IF(AK25="","",INDEX(DIFFERENTIATION_UNMERGE_AREA,MATCH(AK25,DIFFERENTIATION_ID_DIFF,0)))</f>
        <v>Территория 10</v>
      </c>
      <c r="AL27" s="2510"/>
      <c r="AM27" s="2509" t="str">
        <f>IF(AM25="","",INDEX(DIFFERENTIATION_UNMERGE_AREA,MATCH(AM25,DIFFERENTIATION_ID_DIFF,0)))</f>
        <v>Территория 11</v>
      </c>
      <c r="AN27" s="2510"/>
      <c r="AO27" s="2509" t="str">
        <f>IF(AO25="","",INDEX(DIFFERENTIATION_UNMERGE_AREA,MATCH(AO25,DIFFERENTIATION_ID_DIFF,0)))</f>
        <v>Территория 12</v>
      </c>
      <c r="AP27" s="2510"/>
      <c r="AQ27" s="2509" t="str">
        <f>IF(AQ25="","",INDEX(DIFFERENTIATION_UNMERGE_AREA,MATCH(AQ25,DIFFERENTIATION_ID_DIFF,0)))</f>
        <v>Территория 13</v>
      </c>
      <c r="AR27" s="2510"/>
      <c r="AS27" s="2509" t="str">
        <f>IF(AS25="","",INDEX(DIFFERENTIATION_UNMERGE_AREA,MATCH(AS25,DIFFERENTIATION_ID_DIFF,0)))</f>
        <v>Территория 13</v>
      </c>
      <c r="AT27" s="2510"/>
      <c r="AU27" s="2509" t="str">
        <f>IF(AU25="","",INDEX(DIFFERENTIATION_UNMERGE_AREA,MATCH(AU25,DIFFERENTIATION_ID_DIFF,0)))</f>
        <v>Территория 13</v>
      </c>
      <c r="AV27" s="2510"/>
      <c r="AW27" s="2509" t="str">
        <f>IF(AW25="","",INDEX(DIFFERENTIATION_UNMERGE_AREA,MATCH(AW25,DIFFERENTIATION_ID_DIFF,0)))</f>
        <v>Территория 13</v>
      </c>
      <c r="AX27" s="2510"/>
      <c r="AY27" s="2331"/>
      <c r="BI27" s="596"/>
      <c r="BJ27" s="663">
        <v>15</v>
      </c>
    </row>
    <row r="28" spans="1:62" s="1423" customFormat="1" ht="15.75" customHeight="1">
      <c r="A28" s="664"/>
      <c r="C28" s="110"/>
      <c r="D28" s="629"/>
      <c r="E28" s="2484" t="s">
        <v>649</v>
      </c>
      <c r="F28" s="2485"/>
      <c r="G28" s="2509" t="str">
        <f>IF(G25="","",INDEX(DIFFERENTIATION_UNMERGE_SYSTEM,MATCH(G25,DIFFERENTIATION_ID_DIFF,0)))</f>
        <v/>
      </c>
      <c r="H28" s="2510"/>
      <c r="I28" s="2509" t="str">
        <f>IF(I25="","",INDEX(DIFFERENTIATION_UNMERGE_SYSTEM,MATCH(I25,DIFFERENTIATION_ID_DIFF,0)))</f>
        <v>котельная г. Вязьма ул. Московская</v>
      </c>
      <c r="J28" s="2510"/>
      <c r="K28" s="2509" t="str">
        <f>IF(K25="","",INDEX(DIFFERENTIATION_UNMERGE_SYSTEM,MATCH(K25,DIFFERENTIATION_ID_DIFF,0)))</f>
        <v>Вяземский филиал</v>
      </c>
      <c r="L28" s="2510"/>
      <c r="M28" s="2509" t="str">
        <f>IF(M25="","",INDEX(DIFFERENTIATION_UNMERGE_SYSTEM,MATCH(M25,DIFFERENTIATION_ID_DIFF,0)))</f>
        <v>котельная с. Карманово, ул. Набережная, д. 18, стр. 3</v>
      </c>
      <c r="N28" s="2510"/>
      <c r="O28" s="2509" t="str">
        <f>IF(O25="","",INDEX(DIFFERENTIATION_UNMERGE_SYSTEM,MATCH(O25,DIFFERENTIATION_ID_DIFF,0)))</f>
        <v>Рославльский филиал</v>
      </c>
      <c r="P28" s="2510"/>
      <c r="Q28" s="2509" t="str">
        <f>IF(Q25="","",INDEX(DIFFERENTIATION_UNMERGE_SYSTEM,MATCH(Q25,DIFFERENTIATION_ID_DIFF,0)))</f>
        <v>котельная г. Рославль, ул. Мичурина</v>
      </c>
      <c r="R28" s="2510"/>
      <c r="S28" s="2509" t="str">
        <f>IF(S25="","",INDEX(DIFFERENTIATION_UNMERGE_SYSTEM,MATCH(S25,DIFFERENTIATION_ID_DIFF,0)))</f>
        <v>котельная д. Даньково</v>
      </c>
      <c r="T28" s="2510"/>
      <c r="U28" s="2509" t="str">
        <f>IF(U25="","",INDEX(DIFFERENTIATION_UNMERGE_SYSTEM,MATCH(U25,DIFFERENTIATION_ID_DIFF,0)))</f>
        <v>котельная д. Пересна</v>
      </c>
      <c r="V28" s="2510"/>
      <c r="W28" s="2509" t="str">
        <f>IF(W25="","",INDEX(DIFFERENTIATION_UNMERGE_SYSTEM,MATCH(W25,DIFFERENTIATION_ID_DIFF,0)))</f>
        <v>котельная г. Починок, ул. Садовая</v>
      </c>
      <c r="X28" s="2510"/>
      <c r="Y28" s="2509" t="str">
        <f>IF(Y25="","",INDEX(DIFFERENTIATION_UNMERGE_SYSTEM,MATCH(Y25,DIFFERENTIATION_ID_DIFF,0)))</f>
        <v>Сафоновский филиал</v>
      </c>
      <c r="Z28" s="2510"/>
      <c r="AA28" s="2509" t="str">
        <f>IF(AA25="","",INDEX(DIFFERENTIATION_UNMERGE_SYSTEM,MATCH(AA25,DIFFERENTIATION_ID_DIFF,0)))</f>
        <v>котельная г. Сафоново, ул. Советская</v>
      </c>
      <c r="AB28" s="2510"/>
      <c r="AC28" s="2509" t="str">
        <f>IF(AC25="","",INDEX(DIFFERENTIATION_UNMERGE_SYSTEM,MATCH(AC25,DIFFERENTIATION_ID_DIFF,0)))</f>
        <v>котельная г. Сафоново, ул. Первомайская</v>
      </c>
      <c r="AD28" s="2510"/>
      <c r="AE28" s="2509" t="str">
        <f>IF(AE25="","",INDEX(DIFFERENTIATION_UNMERGE_SYSTEM,MATCH(AE25,DIFFERENTIATION_ID_DIFF,0)))</f>
        <v>котельная с. Издешково</v>
      </c>
      <c r="AF28" s="2510"/>
      <c r="AG28" s="2509" t="str">
        <f>IF(AG25="","",INDEX(DIFFERENTIATION_UNMERGE_SYSTEM,MATCH(AG25,DIFFERENTIATION_ID_DIFF,0)))</f>
        <v>котельная БМК Михайловское</v>
      </c>
      <c r="AH28" s="2510"/>
      <c r="AI28" s="2509" t="str">
        <f>IF(AI25="","",INDEX(DIFFERENTIATION_UNMERGE_SYSTEM,MATCH(AI25,DIFFERENTIATION_ID_DIFF,0)))</f>
        <v>котельные пгт. Холм-Жирковское, ул. Кирова,ул. Советская</v>
      </c>
      <c r="AJ28" s="2510"/>
      <c r="AK28" s="2509" t="str">
        <f>IF(AK25="","",INDEX(DIFFERENTIATION_UNMERGE_SYSTEM,MATCH(AK25,DIFFERENTIATION_ID_DIFF,0)))</f>
        <v>котельная ст. Игоревская</v>
      </c>
      <c r="AL28" s="2510"/>
      <c r="AM28" s="2509" t="str">
        <f>IF(AM25="","",INDEX(DIFFERENTIATION_UNMERGE_SYSTEM,MATCH(AM25,DIFFERENTIATION_ID_DIFF,0)))</f>
        <v>Ярцевский филиал</v>
      </c>
      <c r="AN28" s="2510"/>
      <c r="AO28" s="2509" t="str">
        <f>IF(AO25="","",INDEX(DIFFERENTIATION_UNMERGE_SYSTEM,MATCH(AO25,DIFFERENTIATION_ID_DIFF,0)))</f>
        <v>п. Красный</v>
      </c>
      <c r="AP28" s="2510"/>
      <c r="AQ28" s="2509" t="str">
        <f>IF(AQ25="","",INDEX(DIFFERENTIATION_UNMERGE_SYSTEM,MATCH(AQ25,DIFFERENTIATION_ID_DIFF,0)))</f>
        <v>котельная д. Богородицкое</v>
      </c>
      <c r="AR28" s="2510"/>
      <c r="AS28" s="2509" t="str">
        <f>IF(AS25="","",INDEX(DIFFERENTIATION_UNMERGE_SYSTEM,MATCH(AS25,DIFFERENTIATION_ID_DIFF,0)))</f>
        <v>котельная д. Сметанино</v>
      </c>
      <c r="AT28" s="2510"/>
      <c r="AU28" s="2509" t="str">
        <f>IF(AU25="","",INDEX(DIFFERENTIATION_UNMERGE_SYSTEM,MATCH(AU25,DIFFERENTIATION_ID_DIFF,0)))</f>
        <v>котельная с. Талашкино</v>
      </c>
      <c r="AV28" s="2510"/>
      <c r="AW28" s="2509" t="str">
        <f>IF(AW25="","",INDEX(DIFFERENTIATION_UNMERGE_SYSTEM,MATCH(AW25,DIFFERENTIATION_ID_DIFF,0)))</f>
        <v>котельная д. Митино</v>
      </c>
      <c r="AX28" s="2510"/>
      <c r="AY28" s="2331"/>
      <c r="BI28" s="596"/>
      <c r="BJ28" s="663">
        <v>15</v>
      </c>
    </row>
    <row r="29" spans="1:62" s="1423" customFormat="1" ht="15.75" customHeight="1">
      <c r="A29" s="664"/>
      <c r="C29" s="110"/>
      <c r="D29" s="2486" t="s">
        <v>384</v>
      </c>
      <c r="E29" s="2487"/>
      <c r="F29" s="2487"/>
      <c r="G29" s="785"/>
      <c r="H29" s="785"/>
      <c r="I29" s="785"/>
      <c r="J29" s="786"/>
      <c r="K29" s="1854"/>
      <c r="L29" s="1854"/>
      <c r="M29" s="1854"/>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c r="AL29" s="1854"/>
      <c r="AM29" s="1854"/>
      <c r="AN29" s="1854"/>
      <c r="AO29" s="1854"/>
      <c r="AP29" s="1854"/>
      <c r="AQ29" s="1854"/>
      <c r="AR29" s="1854"/>
      <c r="AS29" s="1854"/>
      <c r="AT29" s="1854"/>
      <c r="AU29" s="1854"/>
      <c r="AV29" s="1854"/>
      <c r="AW29" s="1854"/>
      <c r="AX29" s="1854"/>
      <c r="AY29" s="2331"/>
      <c r="BI29" s="596"/>
      <c r="BJ29" s="663">
        <v>15</v>
      </c>
    </row>
    <row r="30" spans="1:62" ht="35.65" customHeight="1">
      <c r="C30" s="110"/>
      <c r="D30" s="666" t="s">
        <v>75</v>
      </c>
      <c r="E30" s="665" t="s">
        <v>386</v>
      </c>
      <c r="F30" s="665" t="s">
        <v>650</v>
      </c>
      <c r="G30" s="707" t="s">
        <v>387</v>
      </c>
      <c r="H30" s="706" t="s">
        <v>474</v>
      </c>
      <c r="I30" s="605" t="s">
        <v>387</v>
      </c>
      <c r="J30" s="398" t="s">
        <v>474</v>
      </c>
      <c r="K30" s="1849" t="s">
        <v>387</v>
      </c>
      <c r="L30" s="1853" t="s">
        <v>474</v>
      </c>
      <c r="M30" s="1849" t="s">
        <v>387</v>
      </c>
      <c r="N30" s="1853" t="s">
        <v>474</v>
      </c>
      <c r="O30" s="1849" t="s">
        <v>387</v>
      </c>
      <c r="P30" s="1853" t="s">
        <v>474</v>
      </c>
      <c r="Q30" s="1849" t="s">
        <v>387</v>
      </c>
      <c r="R30" s="1853" t="s">
        <v>474</v>
      </c>
      <c r="S30" s="1849" t="s">
        <v>387</v>
      </c>
      <c r="T30" s="1853" t="s">
        <v>474</v>
      </c>
      <c r="U30" s="1849" t="s">
        <v>387</v>
      </c>
      <c r="V30" s="1853" t="s">
        <v>474</v>
      </c>
      <c r="W30" s="1849" t="s">
        <v>387</v>
      </c>
      <c r="X30" s="1853" t="s">
        <v>474</v>
      </c>
      <c r="Y30" s="1849" t="s">
        <v>387</v>
      </c>
      <c r="Z30" s="1853" t="s">
        <v>474</v>
      </c>
      <c r="AA30" s="1849" t="s">
        <v>387</v>
      </c>
      <c r="AB30" s="1853" t="s">
        <v>474</v>
      </c>
      <c r="AC30" s="1849" t="s">
        <v>387</v>
      </c>
      <c r="AD30" s="1853" t="s">
        <v>474</v>
      </c>
      <c r="AE30" s="1849" t="s">
        <v>387</v>
      </c>
      <c r="AF30" s="1853" t="s">
        <v>474</v>
      </c>
      <c r="AG30" s="1849" t="s">
        <v>387</v>
      </c>
      <c r="AH30" s="1853" t="s">
        <v>474</v>
      </c>
      <c r="AI30" s="1849" t="s">
        <v>387</v>
      </c>
      <c r="AJ30" s="1853" t="s">
        <v>474</v>
      </c>
      <c r="AK30" s="1849" t="s">
        <v>387</v>
      </c>
      <c r="AL30" s="1853" t="s">
        <v>474</v>
      </c>
      <c r="AM30" s="1849" t="s">
        <v>387</v>
      </c>
      <c r="AN30" s="1853" t="s">
        <v>474</v>
      </c>
      <c r="AO30" s="1849" t="s">
        <v>387</v>
      </c>
      <c r="AP30" s="1853" t="s">
        <v>474</v>
      </c>
      <c r="AQ30" s="1849" t="s">
        <v>387</v>
      </c>
      <c r="AR30" s="1853" t="s">
        <v>474</v>
      </c>
      <c r="AS30" s="1849" t="s">
        <v>387</v>
      </c>
      <c r="AT30" s="1853" t="s">
        <v>474</v>
      </c>
      <c r="AU30" s="1849" t="s">
        <v>387</v>
      </c>
      <c r="AV30" s="1853" t="s">
        <v>474</v>
      </c>
      <c r="AW30" s="1849" t="s">
        <v>387</v>
      </c>
      <c r="AX30" s="1853" t="s">
        <v>474</v>
      </c>
      <c r="AY30" s="2334"/>
      <c r="BJ30" s="438">
        <v>34</v>
      </c>
    </row>
    <row r="31" spans="1:62" ht="15" hidden="1" customHeight="1">
      <c r="C31" s="110"/>
      <c r="D31" s="524"/>
      <c r="E31" s="524"/>
      <c r="F31" s="524"/>
      <c r="G31" s="588"/>
      <c r="H31" s="588"/>
      <c r="I31" s="588"/>
      <c r="J31" s="588"/>
      <c r="K31" s="604"/>
      <c r="L31" s="604"/>
      <c r="M31" s="604"/>
      <c r="N31" s="604"/>
      <c r="O31" s="604"/>
      <c r="P31" s="604"/>
      <c r="Q31" s="604"/>
      <c r="R31" s="604"/>
      <c r="S31" s="604"/>
      <c r="T31" s="604"/>
      <c r="U31" s="604"/>
      <c r="V31" s="604"/>
      <c r="W31" s="604"/>
      <c r="X31" s="604"/>
      <c r="Y31" s="604"/>
      <c r="Z31" s="604"/>
      <c r="AA31" s="604"/>
      <c r="AB31" s="604"/>
      <c r="AC31" s="604"/>
      <c r="AD31" s="604"/>
      <c r="AE31" s="604"/>
      <c r="AF31" s="604"/>
      <c r="AG31" s="604"/>
      <c r="AH31" s="604"/>
      <c r="AI31" s="604"/>
      <c r="AJ31" s="604"/>
      <c r="AK31" s="604"/>
      <c r="AL31" s="604"/>
      <c r="AM31" s="604"/>
      <c r="AN31" s="604"/>
      <c r="AO31" s="604"/>
      <c r="AP31" s="604"/>
      <c r="AQ31" s="604"/>
      <c r="AR31" s="604"/>
      <c r="AS31" s="604"/>
      <c r="AT31" s="604"/>
      <c r="AU31" s="604"/>
      <c r="AV31" s="604"/>
      <c r="AW31" s="604"/>
      <c r="AX31" s="604"/>
      <c r="AY31" s="223"/>
      <c r="BJ31" s="438">
        <v>0</v>
      </c>
    </row>
    <row r="32" spans="1:62" ht="24" customHeight="1">
      <c r="A32" s="438"/>
      <c r="B32" s="438" t="s">
        <v>977</v>
      </c>
      <c r="C32" s="459"/>
      <c r="D32" s="613">
        <v>1</v>
      </c>
      <c r="E32" s="614" t="s">
        <v>978</v>
      </c>
      <c r="F32" s="612" t="s">
        <v>390</v>
      </c>
      <c r="G32" s="712" t="s">
        <v>390</v>
      </c>
      <c r="H32" s="712" t="s">
        <v>390</v>
      </c>
      <c r="I32" s="612" t="s">
        <v>390</v>
      </c>
      <c r="J32" s="612" t="s">
        <v>390</v>
      </c>
      <c r="K32" s="1850" t="s">
        <v>390</v>
      </c>
      <c r="L32" s="1850" t="s">
        <v>390</v>
      </c>
      <c r="M32" s="1850" t="s">
        <v>390</v>
      </c>
      <c r="N32" s="1850" t="s">
        <v>390</v>
      </c>
      <c r="O32" s="1850" t="s">
        <v>390</v>
      </c>
      <c r="P32" s="1850" t="s">
        <v>390</v>
      </c>
      <c r="Q32" s="1850" t="s">
        <v>390</v>
      </c>
      <c r="R32" s="1850" t="s">
        <v>390</v>
      </c>
      <c r="S32" s="1850" t="s">
        <v>390</v>
      </c>
      <c r="T32" s="1850" t="s">
        <v>390</v>
      </c>
      <c r="U32" s="1850" t="s">
        <v>390</v>
      </c>
      <c r="V32" s="1850" t="s">
        <v>390</v>
      </c>
      <c r="W32" s="1850" t="s">
        <v>390</v>
      </c>
      <c r="X32" s="1850" t="s">
        <v>390</v>
      </c>
      <c r="Y32" s="1850" t="s">
        <v>390</v>
      </c>
      <c r="Z32" s="1850" t="s">
        <v>390</v>
      </c>
      <c r="AA32" s="1850" t="s">
        <v>390</v>
      </c>
      <c r="AB32" s="1850" t="s">
        <v>390</v>
      </c>
      <c r="AC32" s="1850" t="s">
        <v>390</v>
      </c>
      <c r="AD32" s="1850" t="s">
        <v>390</v>
      </c>
      <c r="AE32" s="1850" t="s">
        <v>390</v>
      </c>
      <c r="AF32" s="1850" t="s">
        <v>390</v>
      </c>
      <c r="AG32" s="1850" t="s">
        <v>390</v>
      </c>
      <c r="AH32" s="1850" t="s">
        <v>390</v>
      </c>
      <c r="AI32" s="1850" t="s">
        <v>390</v>
      </c>
      <c r="AJ32" s="1850" t="s">
        <v>390</v>
      </c>
      <c r="AK32" s="1850" t="s">
        <v>390</v>
      </c>
      <c r="AL32" s="1850" t="s">
        <v>390</v>
      </c>
      <c r="AM32" s="1850" t="s">
        <v>390</v>
      </c>
      <c r="AN32" s="1850" t="s">
        <v>390</v>
      </c>
      <c r="AO32" s="1850" t="s">
        <v>390</v>
      </c>
      <c r="AP32" s="1850" t="s">
        <v>390</v>
      </c>
      <c r="AQ32" s="1850" t="s">
        <v>390</v>
      </c>
      <c r="AR32" s="1850" t="s">
        <v>390</v>
      </c>
      <c r="AS32" s="1850" t="s">
        <v>390</v>
      </c>
      <c r="AT32" s="1850" t="s">
        <v>390</v>
      </c>
      <c r="AU32" s="1850" t="s">
        <v>390</v>
      </c>
      <c r="AV32" s="1850" t="s">
        <v>390</v>
      </c>
      <c r="AW32" s="1850" t="s">
        <v>390</v>
      </c>
      <c r="AX32" s="1850" t="s">
        <v>390</v>
      </c>
      <c r="AY32" s="223"/>
      <c r="BJ32" s="438">
        <v>23</v>
      </c>
    </row>
    <row r="33" spans="1:62" ht="11.45" customHeight="1">
      <c r="A33" s="438"/>
      <c r="C33" s="438"/>
      <c r="D33" s="281"/>
      <c r="E33" s="511" t="s">
        <v>682</v>
      </c>
      <c r="F33" s="504"/>
      <c r="G33" s="504"/>
      <c r="H33" s="504"/>
      <c r="I33" s="504"/>
      <c r="J33" s="504"/>
      <c r="K33" s="2054"/>
      <c r="L33" s="2055"/>
      <c r="M33" s="2056"/>
      <c r="N33" s="2057"/>
      <c r="O33" s="2058"/>
      <c r="P33" s="2059"/>
      <c r="Q33" s="2060"/>
      <c r="R33" s="2061"/>
      <c r="S33" s="2062"/>
      <c r="T33" s="2063"/>
      <c r="U33" s="2064"/>
      <c r="V33" s="2065"/>
      <c r="W33" s="2066"/>
      <c r="X33" s="2067"/>
      <c r="Y33" s="2068"/>
      <c r="Z33" s="2069"/>
      <c r="AA33" s="2070"/>
      <c r="AB33" s="2071"/>
      <c r="AC33" s="2072"/>
      <c r="AD33" s="2073"/>
      <c r="AE33" s="2074"/>
      <c r="AF33" s="2075"/>
      <c r="AG33" s="2076"/>
      <c r="AH33" s="2077"/>
      <c r="AI33" s="2078"/>
      <c r="AJ33" s="2079"/>
      <c r="AK33" s="2080"/>
      <c r="AL33" s="2081"/>
      <c r="AM33" s="2082"/>
      <c r="AN33" s="2083"/>
      <c r="AO33" s="2084"/>
      <c r="AP33" s="2085"/>
      <c r="AQ33" s="2086"/>
      <c r="AR33" s="2087"/>
      <c r="AS33" s="2088"/>
      <c r="AT33" s="2089"/>
      <c r="AU33" s="2090"/>
      <c r="AV33" s="2091"/>
      <c r="AW33" s="2234"/>
      <c r="AX33" s="2235"/>
      <c r="AY33" s="505"/>
      <c r="BI33" s="438"/>
      <c r="BJ33" s="438">
        <v>11</v>
      </c>
    </row>
    <row r="34" spans="1:62" ht="24" customHeight="1">
      <c r="A34" s="438"/>
      <c r="B34" s="512" t="s">
        <v>751</v>
      </c>
      <c r="C34" s="459"/>
      <c r="D34" s="613">
        <v>2</v>
      </c>
      <c r="E34" s="614" t="s">
        <v>979</v>
      </c>
      <c r="F34" s="719" t="s">
        <v>390</v>
      </c>
      <c r="G34" s="719" t="s">
        <v>390</v>
      </c>
      <c r="H34" s="719" t="s">
        <v>390</v>
      </c>
      <c r="I34" s="612"/>
      <c r="J34" s="612"/>
      <c r="K34" s="1850" t="s">
        <v>390</v>
      </c>
      <c r="L34" s="1850" t="s">
        <v>390</v>
      </c>
      <c r="M34" s="1850" t="s">
        <v>390</v>
      </c>
      <c r="N34" s="1850" t="s">
        <v>390</v>
      </c>
      <c r="O34" s="1850" t="s">
        <v>390</v>
      </c>
      <c r="P34" s="1850" t="s">
        <v>390</v>
      </c>
      <c r="Q34" s="1850" t="s">
        <v>390</v>
      </c>
      <c r="R34" s="1850" t="s">
        <v>390</v>
      </c>
      <c r="S34" s="1850" t="s">
        <v>390</v>
      </c>
      <c r="T34" s="1850" t="s">
        <v>390</v>
      </c>
      <c r="U34" s="1850" t="s">
        <v>390</v>
      </c>
      <c r="V34" s="1850" t="s">
        <v>390</v>
      </c>
      <c r="W34" s="1850" t="s">
        <v>390</v>
      </c>
      <c r="X34" s="1850" t="s">
        <v>390</v>
      </c>
      <c r="Y34" s="1850" t="s">
        <v>390</v>
      </c>
      <c r="Z34" s="1850" t="s">
        <v>390</v>
      </c>
      <c r="AA34" s="1850" t="s">
        <v>390</v>
      </c>
      <c r="AB34" s="1850" t="s">
        <v>390</v>
      </c>
      <c r="AC34" s="1850" t="s">
        <v>390</v>
      </c>
      <c r="AD34" s="1850" t="s">
        <v>390</v>
      </c>
      <c r="AE34" s="1850" t="s">
        <v>390</v>
      </c>
      <c r="AF34" s="1850" t="s">
        <v>390</v>
      </c>
      <c r="AG34" s="1850" t="s">
        <v>390</v>
      </c>
      <c r="AH34" s="1850" t="s">
        <v>390</v>
      </c>
      <c r="AI34" s="1850" t="s">
        <v>390</v>
      </c>
      <c r="AJ34" s="1850" t="s">
        <v>390</v>
      </c>
      <c r="AK34" s="1850" t="s">
        <v>390</v>
      </c>
      <c r="AL34" s="1850" t="s">
        <v>390</v>
      </c>
      <c r="AM34" s="1850" t="s">
        <v>390</v>
      </c>
      <c r="AN34" s="1850" t="s">
        <v>390</v>
      </c>
      <c r="AO34" s="1850" t="s">
        <v>390</v>
      </c>
      <c r="AP34" s="1850" t="s">
        <v>390</v>
      </c>
      <c r="AQ34" s="1850" t="s">
        <v>390</v>
      </c>
      <c r="AR34" s="1850" t="s">
        <v>390</v>
      </c>
      <c r="AS34" s="1850" t="s">
        <v>390</v>
      </c>
      <c r="AT34" s="1850" t="s">
        <v>390</v>
      </c>
      <c r="AU34" s="1850" t="s">
        <v>390</v>
      </c>
      <c r="AV34" s="1850" t="s">
        <v>390</v>
      </c>
      <c r="AW34" s="1850" t="s">
        <v>390</v>
      </c>
      <c r="AX34" s="1850" t="s">
        <v>390</v>
      </c>
      <c r="AY34" s="223"/>
      <c r="BJ34" s="438">
        <v>23</v>
      </c>
    </row>
    <row r="35" spans="1:62" ht="11.45" customHeight="1">
      <c r="A35" s="438"/>
      <c r="C35" s="438"/>
      <c r="D35" s="281"/>
      <c r="E35" s="511" t="s">
        <v>980</v>
      </c>
      <c r="F35" s="504"/>
      <c r="G35" s="615"/>
      <c r="H35" s="504"/>
      <c r="I35" s="615"/>
      <c r="J35" s="504"/>
      <c r="K35" s="2092"/>
      <c r="L35" s="2093"/>
      <c r="M35" s="2094"/>
      <c r="N35" s="2095"/>
      <c r="O35" s="2096"/>
      <c r="P35" s="2097"/>
      <c r="Q35" s="2098"/>
      <c r="R35" s="2099"/>
      <c r="S35" s="2100"/>
      <c r="T35" s="2101"/>
      <c r="U35" s="2102"/>
      <c r="V35" s="2103"/>
      <c r="W35" s="2104"/>
      <c r="X35" s="2105"/>
      <c r="Y35" s="2106"/>
      <c r="Z35" s="2107"/>
      <c r="AA35" s="2108"/>
      <c r="AB35" s="2109"/>
      <c r="AC35" s="2110"/>
      <c r="AD35" s="2111"/>
      <c r="AE35" s="2112"/>
      <c r="AF35" s="2113"/>
      <c r="AG35" s="2114"/>
      <c r="AH35" s="2115"/>
      <c r="AI35" s="2116"/>
      <c r="AJ35" s="2117"/>
      <c r="AK35" s="2118"/>
      <c r="AL35" s="2119"/>
      <c r="AM35" s="2120"/>
      <c r="AN35" s="2121"/>
      <c r="AO35" s="2122"/>
      <c r="AP35" s="2123"/>
      <c r="AQ35" s="2124"/>
      <c r="AR35" s="2125"/>
      <c r="AS35" s="2126"/>
      <c r="AT35" s="2127"/>
      <c r="AU35" s="2128"/>
      <c r="AV35" s="2129"/>
      <c r="AW35" s="2236"/>
      <c r="AX35" s="2237"/>
      <c r="AY35" s="505"/>
      <c r="BI35" s="438"/>
      <c r="BJ35" s="438">
        <v>11</v>
      </c>
    </row>
    <row r="36" spans="1:62" ht="71.25" customHeight="1">
      <c r="A36" s="438"/>
      <c r="B36" s="438" t="s">
        <v>981</v>
      </c>
      <c r="C36" s="459"/>
      <c r="D36" s="613">
        <v>3</v>
      </c>
      <c r="E36" s="614" t="s">
        <v>982</v>
      </c>
      <c r="F36" s="616" t="s">
        <v>390</v>
      </c>
      <c r="G36" s="713" t="s">
        <v>983</v>
      </c>
      <c r="H36" s="712" t="s">
        <v>390</v>
      </c>
      <c r="I36" s="457" t="s">
        <v>983</v>
      </c>
      <c r="J36" s="612" t="s">
        <v>390</v>
      </c>
      <c r="K36" s="1843" t="s">
        <v>983</v>
      </c>
      <c r="L36" s="1850" t="s">
        <v>390</v>
      </c>
      <c r="M36" s="1843" t="s">
        <v>983</v>
      </c>
      <c r="N36" s="1850" t="s">
        <v>390</v>
      </c>
      <c r="O36" s="1843" t="s">
        <v>983</v>
      </c>
      <c r="P36" s="1850" t="s">
        <v>390</v>
      </c>
      <c r="Q36" s="1843" t="s">
        <v>983</v>
      </c>
      <c r="R36" s="1850" t="s">
        <v>390</v>
      </c>
      <c r="S36" s="1843" t="s">
        <v>983</v>
      </c>
      <c r="T36" s="1850" t="s">
        <v>390</v>
      </c>
      <c r="U36" s="1843" t="s">
        <v>983</v>
      </c>
      <c r="V36" s="1850" t="s">
        <v>390</v>
      </c>
      <c r="W36" s="1843" t="s">
        <v>983</v>
      </c>
      <c r="X36" s="1850" t="s">
        <v>390</v>
      </c>
      <c r="Y36" s="1843" t="s">
        <v>983</v>
      </c>
      <c r="Z36" s="1850" t="s">
        <v>390</v>
      </c>
      <c r="AA36" s="1843" t="s">
        <v>983</v>
      </c>
      <c r="AB36" s="1850" t="s">
        <v>390</v>
      </c>
      <c r="AC36" s="1843" t="s">
        <v>983</v>
      </c>
      <c r="AD36" s="1850" t="s">
        <v>390</v>
      </c>
      <c r="AE36" s="1843" t="s">
        <v>983</v>
      </c>
      <c r="AF36" s="1850" t="s">
        <v>390</v>
      </c>
      <c r="AG36" s="1843" t="s">
        <v>983</v>
      </c>
      <c r="AH36" s="1850" t="s">
        <v>390</v>
      </c>
      <c r="AI36" s="1843" t="s">
        <v>983</v>
      </c>
      <c r="AJ36" s="1850" t="s">
        <v>390</v>
      </c>
      <c r="AK36" s="1843" t="s">
        <v>983</v>
      </c>
      <c r="AL36" s="1850" t="s">
        <v>390</v>
      </c>
      <c r="AM36" s="1843" t="s">
        <v>983</v>
      </c>
      <c r="AN36" s="1850" t="s">
        <v>390</v>
      </c>
      <c r="AO36" s="1843" t="s">
        <v>983</v>
      </c>
      <c r="AP36" s="1850" t="s">
        <v>390</v>
      </c>
      <c r="AQ36" s="1843" t="s">
        <v>983</v>
      </c>
      <c r="AR36" s="1850" t="s">
        <v>390</v>
      </c>
      <c r="AS36" s="1843" t="s">
        <v>983</v>
      </c>
      <c r="AT36" s="1850" t="s">
        <v>390</v>
      </c>
      <c r="AU36" s="1843" t="s">
        <v>983</v>
      </c>
      <c r="AV36" s="1850" t="s">
        <v>390</v>
      </c>
      <c r="AW36" s="1843" t="s">
        <v>983</v>
      </c>
      <c r="AX36" s="1850" t="s">
        <v>390</v>
      </c>
      <c r="AY36" s="223" t="s">
        <v>984</v>
      </c>
      <c r="BJ36" s="438">
        <v>68</v>
      </c>
    </row>
    <row r="37" spans="1:62" ht="11.45" customHeight="1">
      <c r="A37" s="438"/>
      <c r="C37" s="438"/>
      <c r="D37" s="281"/>
      <c r="E37" s="511" t="s">
        <v>985</v>
      </c>
      <c r="F37" s="504"/>
      <c r="G37" s="615"/>
      <c r="H37" s="615"/>
      <c r="I37" s="615"/>
      <c r="J37" s="615"/>
      <c r="K37" s="2130"/>
      <c r="L37" s="2131"/>
      <c r="M37" s="2132"/>
      <c r="N37" s="2133"/>
      <c r="O37" s="2134"/>
      <c r="P37" s="2135"/>
      <c r="Q37" s="2136"/>
      <c r="R37" s="2137"/>
      <c r="S37" s="2138"/>
      <c r="T37" s="2139"/>
      <c r="U37" s="2140"/>
      <c r="V37" s="2141"/>
      <c r="W37" s="2142"/>
      <c r="X37" s="2143"/>
      <c r="Y37" s="2144"/>
      <c r="Z37" s="2145"/>
      <c r="AA37" s="2146"/>
      <c r="AB37" s="2147"/>
      <c r="AC37" s="2148"/>
      <c r="AD37" s="2149"/>
      <c r="AE37" s="2150"/>
      <c r="AF37" s="2151"/>
      <c r="AG37" s="2152"/>
      <c r="AH37" s="2153"/>
      <c r="AI37" s="2154"/>
      <c r="AJ37" s="2155"/>
      <c r="AK37" s="2156"/>
      <c r="AL37" s="2157"/>
      <c r="AM37" s="2158"/>
      <c r="AN37" s="2159"/>
      <c r="AO37" s="2160"/>
      <c r="AP37" s="2161"/>
      <c r="AQ37" s="2162"/>
      <c r="AR37" s="2163"/>
      <c r="AS37" s="2164"/>
      <c r="AT37" s="2165"/>
      <c r="AU37" s="2166"/>
      <c r="AV37" s="2167"/>
      <c r="AW37" s="2238"/>
      <c r="AX37" s="2239"/>
      <c r="AY37" s="505"/>
      <c r="BI37" s="438"/>
      <c r="BJ37" s="438">
        <v>11</v>
      </c>
    </row>
    <row r="38" spans="1:62" ht="71.25" customHeight="1">
      <c r="A38" s="438"/>
      <c r="B38" s="438" t="s">
        <v>986</v>
      </c>
      <c r="C38" s="459"/>
      <c r="D38" s="613">
        <v>4</v>
      </c>
      <c r="E38" s="614" t="s">
        <v>987</v>
      </c>
      <c r="F38" s="616" t="s">
        <v>390</v>
      </c>
      <c r="G38" s="713" t="s">
        <v>983</v>
      </c>
      <c r="H38" s="714" t="s">
        <v>390</v>
      </c>
      <c r="I38" s="457" t="s">
        <v>983</v>
      </c>
      <c r="J38" s="454" t="s">
        <v>390</v>
      </c>
      <c r="K38" s="1843" t="s">
        <v>983</v>
      </c>
      <c r="L38" s="1853" t="s">
        <v>390</v>
      </c>
      <c r="M38" s="1843" t="s">
        <v>983</v>
      </c>
      <c r="N38" s="1853" t="s">
        <v>390</v>
      </c>
      <c r="O38" s="1843" t="s">
        <v>983</v>
      </c>
      <c r="P38" s="1853" t="s">
        <v>390</v>
      </c>
      <c r="Q38" s="1843" t="s">
        <v>983</v>
      </c>
      <c r="R38" s="1853" t="s">
        <v>390</v>
      </c>
      <c r="S38" s="1843" t="s">
        <v>983</v>
      </c>
      <c r="T38" s="1853" t="s">
        <v>390</v>
      </c>
      <c r="U38" s="1843" t="s">
        <v>983</v>
      </c>
      <c r="V38" s="1853" t="s">
        <v>390</v>
      </c>
      <c r="W38" s="1843" t="s">
        <v>983</v>
      </c>
      <c r="X38" s="1853" t="s">
        <v>390</v>
      </c>
      <c r="Y38" s="1843" t="s">
        <v>983</v>
      </c>
      <c r="Z38" s="1853" t="s">
        <v>390</v>
      </c>
      <c r="AA38" s="1843" t="s">
        <v>983</v>
      </c>
      <c r="AB38" s="1853" t="s">
        <v>390</v>
      </c>
      <c r="AC38" s="1843" t="s">
        <v>983</v>
      </c>
      <c r="AD38" s="1853" t="s">
        <v>390</v>
      </c>
      <c r="AE38" s="1843" t="s">
        <v>983</v>
      </c>
      <c r="AF38" s="1853" t="s">
        <v>390</v>
      </c>
      <c r="AG38" s="1843" t="s">
        <v>983</v>
      </c>
      <c r="AH38" s="1853" t="s">
        <v>390</v>
      </c>
      <c r="AI38" s="1843" t="s">
        <v>983</v>
      </c>
      <c r="AJ38" s="1853" t="s">
        <v>390</v>
      </c>
      <c r="AK38" s="1843" t="s">
        <v>983</v>
      </c>
      <c r="AL38" s="1853" t="s">
        <v>390</v>
      </c>
      <c r="AM38" s="1843" t="s">
        <v>983</v>
      </c>
      <c r="AN38" s="1853" t="s">
        <v>390</v>
      </c>
      <c r="AO38" s="1843" t="s">
        <v>983</v>
      </c>
      <c r="AP38" s="1853" t="s">
        <v>390</v>
      </c>
      <c r="AQ38" s="1843" t="s">
        <v>983</v>
      </c>
      <c r="AR38" s="1853" t="s">
        <v>390</v>
      </c>
      <c r="AS38" s="1843" t="s">
        <v>983</v>
      </c>
      <c r="AT38" s="1853" t="s">
        <v>390</v>
      </c>
      <c r="AU38" s="1843" t="s">
        <v>983</v>
      </c>
      <c r="AV38" s="1853" t="s">
        <v>390</v>
      </c>
      <c r="AW38" s="1843" t="s">
        <v>983</v>
      </c>
      <c r="AX38" s="1853" t="s">
        <v>390</v>
      </c>
      <c r="AY38" s="600" t="s">
        <v>988</v>
      </c>
      <c r="BJ38" s="438">
        <v>68</v>
      </c>
    </row>
    <row r="39" spans="1:62" ht="11.45" customHeight="1">
      <c r="A39" s="438"/>
      <c r="C39" s="438"/>
      <c r="D39" s="281"/>
      <c r="E39" s="511" t="s">
        <v>989</v>
      </c>
      <c r="F39" s="504"/>
      <c r="G39" s="504"/>
      <c r="H39" s="617"/>
      <c r="I39" s="504"/>
      <c r="J39" s="617"/>
      <c r="K39" s="2168"/>
      <c r="L39" s="2169"/>
      <c r="M39" s="2170"/>
      <c r="N39" s="2171"/>
      <c r="O39" s="2172"/>
      <c r="P39" s="2173"/>
      <c r="Q39" s="2174"/>
      <c r="R39" s="2175"/>
      <c r="S39" s="2176"/>
      <c r="T39" s="2177"/>
      <c r="U39" s="2178"/>
      <c r="V39" s="2179"/>
      <c r="W39" s="2180"/>
      <c r="X39" s="2181"/>
      <c r="Y39" s="2182"/>
      <c r="Z39" s="2183"/>
      <c r="AA39" s="2184"/>
      <c r="AB39" s="2185"/>
      <c r="AC39" s="2186"/>
      <c r="AD39" s="2187"/>
      <c r="AE39" s="2188"/>
      <c r="AF39" s="2189"/>
      <c r="AG39" s="2190"/>
      <c r="AH39" s="2191"/>
      <c r="AI39" s="2192"/>
      <c r="AJ39" s="2193"/>
      <c r="AK39" s="2194"/>
      <c r="AL39" s="2195"/>
      <c r="AM39" s="2196"/>
      <c r="AN39" s="2197"/>
      <c r="AO39" s="2198"/>
      <c r="AP39" s="2199"/>
      <c r="AQ39" s="2200"/>
      <c r="AR39" s="2201"/>
      <c r="AS39" s="2202"/>
      <c r="AT39" s="2203"/>
      <c r="AU39" s="2204"/>
      <c r="AV39" s="2205"/>
      <c r="AW39" s="2240"/>
      <c r="AX39" s="2241"/>
      <c r="AY39" s="505"/>
      <c r="BI39" s="438"/>
      <c r="BJ39" s="438">
        <v>11</v>
      </c>
    </row>
    <row r="40" spans="1:62" ht="22.5" hidden="1" customHeight="1">
      <c r="A40" s="382" t="s">
        <v>69</v>
      </c>
      <c r="B40" s="438">
        <v>0</v>
      </c>
      <c r="C40" s="604">
        <v>4</v>
      </c>
      <c r="D40" s="438">
        <v>6</v>
      </c>
      <c r="E40" s="438">
        <v>36</v>
      </c>
      <c r="F40" s="438">
        <v>9</v>
      </c>
      <c r="G40" s="663">
        <v>0</v>
      </c>
      <c r="H40" s="663">
        <v>0</v>
      </c>
      <c r="I40" s="438">
        <v>25</v>
      </c>
      <c r="J40" s="438">
        <v>33</v>
      </c>
      <c r="K40" s="1423">
        <v>0</v>
      </c>
      <c r="L40" s="1423">
        <v>0</v>
      </c>
      <c r="M40" s="1423">
        <v>0</v>
      </c>
      <c r="N40" s="1423">
        <v>0</v>
      </c>
      <c r="O40" s="1423">
        <v>0</v>
      </c>
      <c r="P40" s="1423">
        <v>0</v>
      </c>
      <c r="Q40" s="1423">
        <v>0</v>
      </c>
      <c r="R40" s="1423">
        <v>0</v>
      </c>
      <c r="S40" s="1423">
        <v>0</v>
      </c>
      <c r="T40" s="1423">
        <v>0</v>
      </c>
      <c r="U40" s="1423">
        <v>0</v>
      </c>
      <c r="V40" s="1423">
        <v>0</v>
      </c>
      <c r="W40" s="1423">
        <v>0</v>
      </c>
      <c r="X40" s="1423">
        <v>0</v>
      </c>
      <c r="Y40" s="1423">
        <v>0</v>
      </c>
      <c r="Z40" s="1423">
        <v>0</v>
      </c>
      <c r="AA40" s="1423">
        <v>0</v>
      </c>
      <c r="AB40" s="1423">
        <v>0</v>
      </c>
      <c r="AC40" s="1423">
        <v>0</v>
      </c>
      <c r="AD40" s="1423">
        <v>0</v>
      </c>
      <c r="AE40" s="1423">
        <v>0</v>
      </c>
      <c r="AF40" s="1423">
        <v>0</v>
      </c>
      <c r="AG40" s="1423">
        <v>0</v>
      </c>
      <c r="AH40" s="1423">
        <v>0</v>
      </c>
      <c r="AI40" s="1423">
        <v>0</v>
      </c>
      <c r="AJ40" s="1423">
        <v>0</v>
      </c>
      <c r="AK40" s="1423">
        <v>0</v>
      </c>
      <c r="AL40" s="1423">
        <v>0</v>
      </c>
      <c r="AM40" s="1423">
        <v>0</v>
      </c>
      <c r="AN40" s="1423">
        <v>0</v>
      </c>
      <c r="AO40" s="1423">
        <v>0</v>
      </c>
      <c r="AP40" s="1423">
        <v>0</v>
      </c>
      <c r="AQ40" s="1423">
        <v>0</v>
      </c>
      <c r="AR40" s="1423">
        <v>0</v>
      </c>
      <c r="AS40" s="1423">
        <v>0</v>
      </c>
      <c r="AT40" s="1423">
        <v>0</v>
      </c>
      <c r="AU40" s="1423">
        <v>0</v>
      </c>
      <c r="AV40" s="1423">
        <v>0</v>
      </c>
      <c r="AW40" s="1423">
        <v>0</v>
      </c>
      <c r="AX40" s="1423">
        <v>0</v>
      </c>
      <c r="AY40" s="350">
        <v>93</v>
      </c>
      <c r="AZ40" s="438">
        <v>10</v>
      </c>
      <c r="BA40" s="438">
        <v>10</v>
      </c>
      <c r="BB40" s="438">
        <v>10</v>
      </c>
      <c r="BC40" s="438">
        <v>10</v>
      </c>
      <c r="BD40" s="438">
        <v>10</v>
      </c>
      <c r="BE40" s="438">
        <v>10</v>
      </c>
      <c r="BF40" s="438">
        <v>10</v>
      </c>
      <c r="BG40" s="438">
        <v>10</v>
      </c>
      <c r="BH40" s="438">
        <v>10</v>
      </c>
      <c r="BI40" s="596">
        <v>10</v>
      </c>
      <c r="BJ40" s="438">
        <v>23</v>
      </c>
    </row>
  </sheetData>
  <sheetProtection formatColumns="0" formatRows="0" insertRows="0" deleteColumns="0" deleteRows="0" sort="0" autoFilter="0"/>
  <mergeCells count="81">
    <mergeCell ref="AU28:AV28"/>
    <mergeCell ref="AU26:AV26"/>
    <mergeCell ref="AU27:AV27"/>
    <mergeCell ref="AW28:AX28"/>
    <mergeCell ref="AW26:AX26"/>
    <mergeCell ref="AW27:AX27"/>
    <mergeCell ref="AQ28:AR28"/>
    <mergeCell ref="AQ26:AR26"/>
    <mergeCell ref="AQ27:AR27"/>
    <mergeCell ref="AS28:AT28"/>
    <mergeCell ref="AS26:AT26"/>
    <mergeCell ref="AS27:AT27"/>
    <mergeCell ref="AM28:AN28"/>
    <mergeCell ref="AM26:AN26"/>
    <mergeCell ref="AM27:AN27"/>
    <mergeCell ref="AO28:AP28"/>
    <mergeCell ref="AO26:AP26"/>
    <mergeCell ref="AO27:AP27"/>
    <mergeCell ref="AI28:AJ28"/>
    <mergeCell ref="AI26:AJ26"/>
    <mergeCell ref="AI27:AJ27"/>
    <mergeCell ref="AK28:AL28"/>
    <mergeCell ref="AK26:AL26"/>
    <mergeCell ref="AK27:AL27"/>
    <mergeCell ref="AE28:AF28"/>
    <mergeCell ref="AE26:AF26"/>
    <mergeCell ref="AE27:AF27"/>
    <mergeCell ref="AG28:AH28"/>
    <mergeCell ref="AG26:AH26"/>
    <mergeCell ref="AG27:AH27"/>
    <mergeCell ref="AA28:AB28"/>
    <mergeCell ref="AA26:AB26"/>
    <mergeCell ref="AA27:AB27"/>
    <mergeCell ref="AC28:AD28"/>
    <mergeCell ref="AC26:AD26"/>
    <mergeCell ref="AC27:AD27"/>
    <mergeCell ref="W28:X28"/>
    <mergeCell ref="W26:X26"/>
    <mergeCell ref="W27:X27"/>
    <mergeCell ref="Y28:Z28"/>
    <mergeCell ref="Y26:Z26"/>
    <mergeCell ref="Y27:Z27"/>
    <mergeCell ref="S28:T28"/>
    <mergeCell ref="S26:T26"/>
    <mergeCell ref="S27:T27"/>
    <mergeCell ref="U28:V28"/>
    <mergeCell ref="U26:V26"/>
    <mergeCell ref="U27:V27"/>
    <mergeCell ref="O26:P26"/>
    <mergeCell ref="O27:P27"/>
    <mergeCell ref="Q28:R28"/>
    <mergeCell ref="Q26:R26"/>
    <mergeCell ref="Q27:R27"/>
    <mergeCell ref="G28:H28"/>
    <mergeCell ref="AY26:AY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H6:H7 J6:J7 L6:L7 N6:N7 P6:P7 R6:R7 T6:T7 V6:V7 X6:X7 Z6:Z7 AB6:AB7 AD6:AD7 AF6:AF7 AH6:AH7 AJ6:AJ7 AL6:AL7 AN6:AN7 AP6:AP7 AR6:AR7 AT6:AT7 AV6:AV7 AX6:AX7 J9:J11 L9:L11 N9:N11 P9:P11 R9:R11 T9:T11 V9:V11 X9:X11 Z9:Z11 AB9:AB11 AD9:AD11 AF9:AF11 AH9:AH11 AJ9:AJ11 AL9:AL11 AN9:AN11 AP9:AP11 AR9:AR11 AT9:AT11 AV9:AV11 AX9:AX11 H9:H11 J13:J14 L13:L14 N13:N14 P13:P14 R13:R14 T13:T14 V13:V14 X13:X14 Z13:Z14 AB13:AB14 AD13:AD14 AF13:AF14 AH13:AH14 AJ13:AJ14 AL13:AL14 AN13:AN14 AP13:AP14 AR13:AR14 AT13:AT14 AV13:AV14 AX13:AX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DA59"/>
  <sheetViews>
    <sheetView showGridLines="0" zoomScale="85" workbookViewId="0">
      <pane xSplit="9" ySplit="13" topLeftCell="J14" activePane="bottomRight" state="frozen"/>
      <selection pane="topRight" activeCell="J1" sqref="J1"/>
      <selection pane="bottomLeft" activeCell="A14" sqref="A14"/>
      <selection pane="bottomRight" activeCell="CM1" sqref="CM1:CM59"/>
    </sheetView>
  </sheetViews>
  <sheetFormatPr defaultColWidth="9.140625" defaultRowHeight="10.5" customHeight="1"/>
  <cols>
    <col min="1" max="3" width="4.140625" style="967" hidden="1" customWidth="1"/>
    <col min="4" max="4" width="4.140625" style="1154" hidden="1" customWidth="1"/>
    <col min="5" max="5" width="3" style="1423" customWidth="1"/>
    <col min="6" max="6" width="6" style="1423" customWidth="1"/>
    <col min="7" max="7" width="60" style="1423" customWidth="1"/>
    <col min="8" max="9" width="21.7109375" style="1423" hidden="1" customWidth="1"/>
    <col min="10" max="10" width="0.140625" style="1423" customWidth="1"/>
    <col min="11" max="18" width="21.7109375" style="1423" hidden="1" customWidth="1"/>
    <col min="19" max="19" width="0.140625" style="1423" customWidth="1"/>
    <col min="20" max="23" width="21.7109375" style="1423" hidden="1" customWidth="1"/>
    <col min="24" max="24" width="0.140625" style="1423" customWidth="1"/>
    <col min="25" max="33" width="21.7109375" style="1423" hidden="1" customWidth="1"/>
    <col min="34" max="34" width="0.140625" style="1423" customWidth="1"/>
    <col min="35" max="46" width="21.7109375" style="1423" hidden="1" customWidth="1"/>
    <col min="47" max="47" width="0.140625" style="1423" customWidth="1"/>
    <col min="48" max="52" width="21.7109375" style="1423" hidden="1" customWidth="1"/>
    <col min="53" max="53" width="0.140625" style="1423" customWidth="1"/>
    <col min="54" max="62" width="21.7109375" style="1423" hidden="1" customWidth="1"/>
    <col min="63" max="63" width="0.140625" style="1423" customWidth="1"/>
    <col min="64" max="79" width="21.7109375" style="1423" hidden="1" customWidth="1"/>
    <col min="80" max="80" width="0.140625" style="1423" customWidth="1"/>
    <col min="81" max="86" width="21.7109375" style="1423" hidden="1" customWidth="1"/>
    <col min="87" max="87" width="0.140625" style="1423" customWidth="1"/>
    <col min="88" max="91" width="21.7109375" style="1423" hidden="1" customWidth="1"/>
    <col min="92" max="92" width="0.140625" style="1423" customWidth="1"/>
    <col min="93" max="93" width="1" style="1423" customWidth="1"/>
    <col min="94" max="104" width="8" style="1423" customWidth="1"/>
    <col min="105" max="105" width="9.140625" style="1423" hidden="1"/>
  </cols>
  <sheetData>
    <row r="1" spans="1:105" s="1154" customFormat="1" ht="10.5" hidden="1" customHeight="1">
      <c r="A1" s="967"/>
      <c r="B1" s="967"/>
      <c r="C1" s="967"/>
      <c r="E1" s="469"/>
      <c r="DA1" s="961" t="s">
        <v>1</v>
      </c>
    </row>
    <row r="2" spans="1:105" ht="10.5" hidden="1" customHeight="1">
      <c r="DA2" s="956">
        <v>0</v>
      </c>
    </row>
    <row r="3" spans="1:105" s="1420" customFormat="1" ht="10.5" hidden="1" customHeight="1">
      <c r="A3" s="967"/>
      <c r="B3" s="967"/>
      <c r="C3" s="967"/>
      <c r="D3" s="961"/>
      <c r="E3" s="295"/>
      <c r="DA3" s="957">
        <v>0</v>
      </c>
    </row>
    <row r="4" spans="1:105" ht="3" customHeight="1">
      <c r="DA4" s="956">
        <v>3</v>
      </c>
    </row>
    <row r="5" spans="1:105" ht="27.4" customHeight="1">
      <c r="F5" s="237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76"/>
      <c r="H5" s="2376"/>
      <c r="I5" s="2376"/>
      <c r="J5" s="2376"/>
      <c r="K5" s="1846"/>
      <c r="L5" s="1846"/>
      <c r="M5" s="1846"/>
      <c r="N5" s="1846"/>
      <c r="O5" s="1846"/>
      <c r="P5" s="1846"/>
      <c r="Q5" s="1846"/>
      <c r="R5" s="1846"/>
      <c r="S5" s="1846"/>
      <c r="T5" s="1846"/>
      <c r="U5" s="1846"/>
      <c r="V5" s="1846"/>
      <c r="W5" s="1846"/>
      <c r="X5" s="1846"/>
      <c r="Y5" s="1846"/>
      <c r="Z5" s="1846"/>
      <c r="AA5" s="1846"/>
      <c r="AB5" s="1846"/>
      <c r="AC5" s="1846"/>
      <c r="AD5" s="1846"/>
      <c r="AE5" s="1846"/>
      <c r="AF5" s="1846"/>
      <c r="AG5" s="1846"/>
      <c r="AH5" s="1846"/>
      <c r="AI5" s="1846"/>
      <c r="AJ5" s="1846"/>
      <c r="AK5" s="1846"/>
      <c r="AL5" s="1846"/>
      <c r="AM5" s="1846"/>
      <c r="AN5" s="1846"/>
      <c r="AO5" s="1846"/>
      <c r="AP5" s="1846"/>
      <c r="AQ5" s="1846"/>
      <c r="AR5" s="1846"/>
      <c r="AS5" s="1846"/>
      <c r="AT5" s="1846"/>
      <c r="AU5" s="1846"/>
      <c r="AV5" s="1846"/>
      <c r="AW5" s="1846"/>
      <c r="AX5" s="1846"/>
      <c r="AY5" s="1846"/>
      <c r="AZ5" s="1846"/>
      <c r="BA5" s="1846"/>
      <c r="BB5" s="1846"/>
      <c r="BC5" s="1846"/>
      <c r="BD5" s="1846"/>
      <c r="BE5" s="1846"/>
      <c r="BF5" s="1846"/>
      <c r="BG5" s="1846"/>
      <c r="BH5" s="1846"/>
      <c r="BI5" s="1846"/>
      <c r="BJ5" s="1846"/>
      <c r="BK5" s="1846"/>
      <c r="BL5" s="1846"/>
      <c r="BM5" s="1846"/>
      <c r="BN5" s="1846"/>
      <c r="BO5" s="1846"/>
      <c r="BP5" s="1846"/>
      <c r="BQ5" s="1846"/>
      <c r="BR5" s="1846"/>
      <c r="BS5" s="1846"/>
      <c r="BT5" s="1846"/>
      <c r="BU5" s="1846"/>
      <c r="BV5" s="1846"/>
      <c r="BW5" s="1846"/>
      <c r="BX5" s="1846"/>
      <c r="BY5" s="1846"/>
      <c r="BZ5" s="1846"/>
      <c r="CA5" s="1846"/>
      <c r="CB5" s="1846"/>
      <c r="CC5" s="1846"/>
      <c r="CD5" s="1846"/>
      <c r="CE5" s="1846"/>
      <c r="CF5" s="1846"/>
      <c r="CG5" s="1846"/>
      <c r="CH5" s="1846"/>
      <c r="CI5" s="1846"/>
      <c r="CJ5" s="1846"/>
      <c r="CK5" s="1846"/>
      <c r="CL5" s="1846"/>
      <c r="CM5" s="1846"/>
      <c r="CN5" s="1846"/>
      <c r="DA5" s="956">
        <v>26</v>
      </c>
    </row>
    <row r="6" spans="1:105" ht="10.5" customHeight="1">
      <c r="F6" s="2349" t="str">
        <f>IF(org=0,"Не определено",org)</f>
        <v>ООО "Смоленскрегионтеплоэнерго"</v>
      </c>
      <c r="G6" s="2349"/>
      <c r="H6" s="2349"/>
      <c r="I6" s="2349"/>
      <c r="J6" s="2349"/>
      <c r="K6" s="1847"/>
      <c r="L6" s="1847"/>
      <c r="M6" s="1847"/>
      <c r="N6" s="1847"/>
      <c r="O6" s="1847"/>
      <c r="P6" s="1847"/>
      <c r="Q6" s="1847"/>
      <c r="R6" s="1847"/>
      <c r="S6" s="1847"/>
      <c r="T6" s="1847"/>
      <c r="U6" s="1847"/>
      <c r="V6" s="1847"/>
      <c r="W6" s="1847"/>
      <c r="X6" s="1847"/>
      <c r="Y6" s="1847"/>
      <c r="Z6" s="1847"/>
      <c r="AA6" s="1847"/>
      <c r="AB6" s="1847"/>
      <c r="AC6" s="1847"/>
      <c r="AD6" s="1847"/>
      <c r="AE6" s="1847"/>
      <c r="AF6" s="1847"/>
      <c r="AG6" s="1847"/>
      <c r="AH6" s="1847"/>
      <c r="AI6" s="1847"/>
      <c r="AJ6" s="1847"/>
      <c r="AK6" s="1847"/>
      <c r="AL6" s="1847"/>
      <c r="AM6" s="1847"/>
      <c r="AN6" s="1847"/>
      <c r="AO6" s="1847"/>
      <c r="AP6" s="1847"/>
      <c r="AQ6" s="1847"/>
      <c r="AR6" s="1847"/>
      <c r="AS6" s="1847"/>
      <c r="AT6" s="1847"/>
      <c r="AU6" s="1847"/>
      <c r="AV6" s="1847"/>
      <c r="AW6" s="1847"/>
      <c r="AX6" s="1847"/>
      <c r="AY6" s="1847"/>
      <c r="AZ6" s="1847"/>
      <c r="BA6" s="1847"/>
      <c r="BB6" s="1847"/>
      <c r="BC6" s="1847"/>
      <c r="BD6" s="1847"/>
      <c r="BE6" s="1847"/>
      <c r="BF6" s="1847"/>
      <c r="BG6" s="1847"/>
      <c r="BH6" s="1847"/>
      <c r="BI6" s="1847"/>
      <c r="BJ6" s="1847"/>
      <c r="BK6" s="1847"/>
      <c r="BL6" s="1847"/>
      <c r="BM6" s="1847"/>
      <c r="BN6" s="1847"/>
      <c r="BO6" s="1847"/>
      <c r="BP6" s="1847"/>
      <c r="BQ6" s="1847"/>
      <c r="BR6" s="1847"/>
      <c r="BS6" s="1847"/>
      <c r="BT6" s="1847"/>
      <c r="BU6" s="1847"/>
      <c r="BV6" s="1847"/>
      <c r="BW6" s="1847"/>
      <c r="BX6" s="1847"/>
      <c r="BY6" s="1847"/>
      <c r="BZ6" s="1847"/>
      <c r="CA6" s="1847"/>
      <c r="CB6" s="1847"/>
      <c r="CC6" s="1847"/>
      <c r="CD6" s="1847"/>
      <c r="CE6" s="1847"/>
      <c r="CF6" s="1847"/>
      <c r="CG6" s="1847"/>
      <c r="CH6" s="1847"/>
      <c r="CI6" s="1847"/>
      <c r="CJ6" s="1847"/>
      <c r="CK6" s="1847"/>
      <c r="CL6" s="1847"/>
      <c r="CM6" s="1847"/>
      <c r="CN6" s="1847"/>
      <c r="DA6" s="956">
        <v>10</v>
      </c>
    </row>
    <row r="7" spans="1:105" ht="11.45" customHeight="1">
      <c r="E7" s="971"/>
      <c r="F7" s="1015"/>
      <c r="G7" s="1015"/>
      <c r="H7" s="1015"/>
      <c r="I7" s="1015"/>
      <c r="J7" s="1015"/>
      <c r="K7" s="1015" t="s">
        <v>9</v>
      </c>
      <c r="L7" s="1015"/>
      <c r="M7" s="1015" t="s">
        <v>9</v>
      </c>
      <c r="N7" s="1015" t="s">
        <v>9</v>
      </c>
      <c r="O7" s="1015" t="s">
        <v>9</v>
      </c>
      <c r="P7" s="1015" t="s">
        <v>9</v>
      </c>
      <c r="Q7" s="1015" t="s">
        <v>9</v>
      </c>
      <c r="R7" s="1015" t="s">
        <v>9</v>
      </c>
      <c r="S7" s="1015"/>
      <c r="T7" s="1015" t="s">
        <v>9</v>
      </c>
      <c r="U7" s="1015"/>
      <c r="V7" s="1015" t="s">
        <v>9</v>
      </c>
      <c r="W7" s="1015" t="s">
        <v>9</v>
      </c>
      <c r="X7" s="1015"/>
      <c r="Y7" s="1015" t="s">
        <v>9</v>
      </c>
      <c r="Z7" s="1015"/>
      <c r="AA7" s="1015" t="s">
        <v>9</v>
      </c>
      <c r="AB7" s="1015" t="s">
        <v>9</v>
      </c>
      <c r="AC7" s="1015" t="s">
        <v>9</v>
      </c>
      <c r="AD7" s="1015" t="s">
        <v>9</v>
      </c>
      <c r="AE7" s="1015" t="s">
        <v>9</v>
      </c>
      <c r="AF7" s="1015" t="s">
        <v>9</v>
      </c>
      <c r="AG7" s="1015" t="s">
        <v>9</v>
      </c>
      <c r="AH7" s="1015"/>
      <c r="AI7" s="1015" t="s">
        <v>9</v>
      </c>
      <c r="AJ7" s="1015"/>
      <c r="AK7" s="1015" t="s">
        <v>9</v>
      </c>
      <c r="AL7" s="1015" t="s">
        <v>9</v>
      </c>
      <c r="AM7" s="1015" t="s">
        <v>9</v>
      </c>
      <c r="AN7" s="1015" t="s">
        <v>9</v>
      </c>
      <c r="AO7" s="1015" t="s">
        <v>9</v>
      </c>
      <c r="AP7" s="1015" t="s">
        <v>9</v>
      </c>
      <c r="AQ7" s="1015" t="s">
        <v>9</v>
      </c>
      <c r="AR7" s="1015" t="s">
        <v>9</v>
      </c>
      <c r="AS7" s="1015" t="s">
        <v>9</v>
      </c>
      <c r="AT7" s="1015" t="s">
        <v>9</v>
      </c>
      <c r="AU7" s="1015"/>
      <c r="AV7" s="1015" t="s">
        <v>9</v>
      </c>
      <c r="AW7" s="1015"/>
      <c r="AX7" s="1015" t="s">
        <v>9</v>
      </c>
      <c r="AY7" s="1015" t="s">
        <v>9</v>
      </c>
      <c r="AZ7" s="1015" t="s">
        <v>9</v>
      </c>
      <c r="BA7" s="1015"/>
      <c r="BB7" s="1015" t="s">
        <v>9</v>
      </c>
      <c r="BC7" s="1015"/>
      <c r="BD7" s="1015" t="s">
        <v>9</v>
      </c>
      <c r="BE7" s="1015" t="s">
        <v>9</v>
      </c>
      <c r="BF7" s="1015" t="s">
        <v>9</v>
      </c>
      <c r="BG7" s="1015" t="s">
        <v>9</v>
      </c>
      <c r="BH7" s="1015" t="s">
        <v>9</v>
      </c>
      <c r="BI7" s="1015" t="s">
        <v>9</v>
      </c>
      <c r="BJ7" s="1015" t="s">
        <v>9</v>
      </c>
      <c r="BK7" s="1015"/>
      <c r="BL7" s="1015" t="s">
        <v>9</v>
      </c>
      <c r="BM7" s="1015"/>
      <c r="BN7" s="1015" t="s">
        <v>9</v>
      </c>
      <c r="BO7" s="1015" t="s">
        <v>9</v>
      </c>
      <c r="BP7" s="1015" t="s">
        <v>9</v>
      </c>
      <c r="BQ7" s="1015" t="s">
        <v>9</v>
      </c>
      <c r="BR7" s="1015" t="s">
        <v>9</v>
      </c>
      <c r="BS7" s="1015" t="s">
        <v>9</v>
      </c>
      <c r="BT7" s="1015" t="s">
        <v>9</v>
      </c>
      <c r="BU7" s="1015" t="s">
        <v>9</v>
      </c>
      <c r="BV7" s="1015" t="s">
        <v>9</v>
      </c>
      <c r="BW7" s="1015" t="s">
        <v>9</v>
      </c>
      <c r="BX7" s="1015" t="s">
        <v>9</v>
      </c>
      <c r="BY7" s="1015" t="s">
        <v>9</v>
      </c>
      <c r="BZ7" s="1015" t="s">
        <v>9</v>
      </c>
      <c r="CA7" s="1015" t="s">
        <v>9</v>
      </c>
      <c r="CB7" s="1015"/>
      <c r="CC7" s="1015" t="s">
        <v>9</v>
      </c>
      <c r="CD7" s="1015"/>
      <c r="CE7" s="1015" t="s">
        <v>9</v>
      </c>
      <c r="CF7" s="1015" t="s">
        <v>9</v>
      </c>
      <c r="CG7" s="1015" t="s">
        <v>9</v>
      </c>
      <c r="CH7" s="1015" t="s">
        <v>9</v>
      </c>
      <c r="CI7" s="1015"/>
      <c r="CJ7" s="1015" t="s">
        <v>9</v>
      </c>
      <c r="CK7" s="1015"/>
      <c r="CL7" s="1015" t="s">
        <v>9</v>
      </c>
      <c r="CM7" s="1015" t="s">
        <v>9</v>
      </c>
      <c r="CN7" s="1015"/>
      <c r="CO7" s="958"/>
      <c r="CP7" s="958"/>
      <c r="CQ7" s="958"/>
      <c r="CR7" s="958"/>
      <c r="CS7" s="958"/>
      <c r="CT7" s="958"/>
      <c r="CU7" s="958"/>
      <c r="CV7" s="958"/>
      <c r="CW7" s="958"/>
      <c r="CX7" s="958"/>
      <c r="CY7" s="958"/>
      <c r="CZ7" s="958"/>
      <c r="DA7" s="956">
        <v>11</v>
      </c>
    </row>
    <row r="8" spans="1:105" s="1430" customFormat="1" ht="4.1500000000000004" customHeight="1">
      <c r="A8" s="968"/>
      <c r="B8" s="968"/>
      <c r="C8" s="968"/>
      <c r="E8" s="1016"/>
      <c r="F8" s="1017"/>
      <c r="G8" s="1017"/>
      <c r="H8" s="1017"/>
      <c r="I8" s="1017"/>
      <c r="J8" s="1017"/>
      <c r="K8" s="1017" t="s">
        <v>997</v>
      </c>
      <c r="L8" s="1017"/>
      <c r="M8" s="1017"/>
      <c r="N8" s="1017"/>
      <c r="O8" s="1017"/>
      <c r="P8" s="1017"/>
      <c r="Q8" s="1017"/>
      <c r="R8" s="1017"/>
      <c r="S8" s="1017"/>
      <c r="T8" s="1017" t="s">
        <v>1005</v>
      </c>
      <c r="U8" s="1017"/>
      <c r="V8" s="1017"/>
      <c r="W8" s="1017"/>
      <c r="X8" s="1017"/>
      <c r="Y8" s="1017" t="s">
        <v>1012</v>
      </c>
      <c r="Z8" s="1017"/>
      <c r="AA8" s="1017"/>
      <c r="AB8" s="1017"/>
      <c r="AC8" s="1017"/>
      <c r="AD8" s="1017"/>
      <c r="AE8" s="1017"/>
      <c r="AF8" s="1017"/>
      <c r="AG8" s="1017"/>
      <c r="AH8" s="1017"/>
      <c r="AI8" s="1017" t="s">
        <v>1018</v>
      </c>
      <c r="AJ8" s="1017"/>
      <c r="AK8" s="1017"/>
      <c r="AL8" s="1017"/>
      <c r="AM8" s="1017"/>
      <c r="AN8" s="1017"/>
      <c r="AO8" s="1017"/>
      <c r="AP8" s="1017"/>
      <c r="AQ8" s="1017"/>
      <c r="AR8" s="1017"/>
      <c r="AS8" s="1017"/>
      <c r="AT8" s="1017"/>
      <c r="AU8" s="1017"/>
      <c r="AV8" s="1017" t="s">
        <v>1024</v>
      </c>
      <c r="AW8" s="1017"/>
      <c r="AX8" s="1017"/>
      <c r="AY8" s="1017"/>
      <c r="AZ8" s="1017"/>
      <c r="BA8" s="1017"/>
      <c r="BB8" s="1017" t="s">
        <v>1027</v>
      </c>
      <c r="BC8" s="1017"/>
      <c r="BD8" s="1017"/>
      <c r="BE8" s="1017"/>
      <c r="BF8" s="1017"/>
      <c r="BG8" s="1017"/>
      <c r="BH8" s="1017"/>
      <c r="BI8" s="1017"/>
      <c r="BJ8" s="1017"/>
      <c r="BK8" s="1017"/>
      <c r="BL8" s="1017" t="s">
        <v>1033</v>
      </c>
      <c r="BM8" s="1017"/>
      <c r="BN8" s="1017"/>
      <c r="BO8" s="1017"/>
      <c r="BP8" s="1017"/>
      <c r="BQ8" s="1017"/>
      <c r="BR8" s="1017"/>
      <c r="BS8" s="1017"/>
      <c r="BT8" s="1017"/>
      <c r="BU8" s="1017"/>
      <c r="BV8" s="1017"/>
      <c r="BW8" s="1017"/>
      <c r="BX8" s="1017"/>
      <c r="BY8" s="1017"/>
      <c r="BZ8" s="1017"/>
      <c r="CA8" s="1017"/>
      <c r="CB8" s="1017"/>
      <c r="CC8" s="1017" t="s">
        <v>1037</v>
      </c>
      <c r="CD8" s="1017"/>
      <c r="CE8" s="1017"/>
      <c r="CF8" s="1017"/>
      <c r="CG8" s="1017"/>
      <c r="CH8" s="1017"/>
      <c r="CI8" s="1017"/>
      <c r="CJ8" s="1017" t="s">
        <v>1043</v>
      </c>
      <c r="CK8" s="1017"/>
      <c r="CL8" s="1017"/>
      <c r="CM8" s="1017"/>
      <c r="CN8" s="1017"/>
      <c r="CO8" s="1016"/>
      <c r="CP8" s="1016"/>
      <c r="CQ8" s="1016"/>
      <c r="CR8" s="1016"/>
      <c r="CS8" s="1016"/>
      <c r="CT8" s="1016"/>
      <c r="CU8" s="1016"/>
      <c r="CV8" s="1016"/>
      <c r="CW8" s="1016"/>
      <c r="CX8" s="1016"/>
      <c r="CY8" s="1016"/>
      <c r="CZ8" s="1016"/>
      <c r="DA8" s="444">
        <v>4</v>
      </c>
    </row>
    <row r="9" spans="1:105" ht="10.5" customHeight="1">
      <c r="E9" s="971"/>
      <c r="F9" s="2555" t="s">
        <v>384</v>
      </c>
      <c r="G9" s="2556"/>
      <c r="H9" s="2556"/>
      <c r="I9" s="2556"/>
      <c r="J9" s="2556"/>
      <c r="K9" s="1859"/>
      <c r="L9" s="1859"/>
      <c r="M9" s="1859"/>
      <c r="N9" s="1859"/>
      <c r="O9" s="1859"/>
      <c r="P9" s="1859"/>
      <c r="Q9" s="1859"/>
      <c r="R9" s="1859"/>
      <c r="S9" s="1859"/>
      <c r="T9" s="1859"/>
      <c r="U9" s="1859"/>
      <c r="V9" s="1859"/>
      <c r="W9" s="1859"/>
      <c r="X9" s="1859"/>
      <c r="Y9" s="1859"/>
      <c r="Z9" s="1859"/>
      <c r="AA9" s="1859"/>
      <c r="AB9" s="1859"/>
      <c r="AC9" s="1859"/>
      <c r="AD9" s="1859"/>
      <c r="AE9" s="1859"/>
      <c r="AF9" s="1859"/>
      <c r="AG9" s="1859"/>
      <c r="AH9" s="1859"/>
      <c r="AI9" s="1859"/>
      <c r="AJ9" s="1859"/>
      <c r="AK9" s="1859"/>
      <c r="AL9" s="1859"/>
      <c r="AM9" s="1859"/>
      <c r="AN9" s="1859"/>
      <c r="AO9" s="1859"/>
      <c r="AP9" s="1859"/>
      <c r="AQ9" s="1859"/>
      <c r="AR9" s="1859"/>
      <c r="AS9" s="1859"/>
      <c r="AT9" s="1859"/>
      <c r="AU9" s="1859"/>
      <c r="AV9" s="1859"/>
      <c r="AW9" s="1859"/>
      <c r="AX9" s="1859"/>
      <c r="AY9" s="1859"/>
      <c r="AZ9" s="1859"/>
      <c r="BA9" s="1859"/>
      <c r="BB9" s="1859"/>
      <c r="BC9" s="1859"/>
      <c r="BD9" s="1859"/>
      <c r="BE9" s="1859"/>
      <c r="BF9" s="1859"/>
      <c r="BG9" s="1859"/>
      <c r="BH9" s="1859"/>
      <c r="BI9" s="1859"/>
      <c r="BJ9" s="1859"/>
      <c r="BK9" s="1859"/>
      <c r="BL9" s="1859"/>
      <c r="BM9" s="1859"/>
      <c r="BN9" s="1859"/>
      <c r="BO9" s="1859"/>
      <c r="BP9" s="1859"/>
      <c r="BQ9" s="1859"/>
      <c r="BR9" s="1859"/>
      <c r="BS9" s="1859"/>
      <c r="BT9" s="1859"/>
      <c r="BU9" s="1859"/>
      <c r="BV9" s="1859"/>
      <c r="BW9" s="1859"/>
      <c r="BX9" s="1859"/>
      <c r="BY9" s="1859"/>
      <c r="BZ9" s="1859"/>
      <c r="CA9" s="1859"/>
      <c r="CB9" s="1859"/>
      <c r="CC9" s="1859"/>
      <c r="CD9" s="1859"/>
      <c r="CE9" s="1859"/>
      <c r="CF9" s="1859"/>
      <c r="CG9" s="1859"/>
      <c r="CH9" s="1859"/>
      <c r="CI9" s="1859"/>
      <c r="CJ9" s="1859"/>
      <c r="CK9" s="1859"/>
      <c r="CL9" s="1859"/>
      <c r="CM9" s="1859"/>
      <c r="CN9" s="1859"/>
      <c r="CO9" s="1028"/>
      <c r="CP9" s="958"/>
      <c r="CQ9" s="958"/>
      <c r="CR9" s="958"/>
      <c r="CS9" s="958"/>
      <c r="CT9" s="958"/>
      <c r="CU9" s="958"/>
      <c r="CV9" s="958"/>
      <c r="CW9" s="958"/>
      <c r="CX9" s="958"/>
      <c r="CY9" s="958"/>
      <c r="CZ9" s="958"/>
      <c r="DA9" s="956">
        <v>10</v>
      </c>
    </row>
    <row r="10" spans="1:105" ht="25.15" customHeight="1">
      <c r="E10" s="958"/>
      <c r="F10" s="2559" t="s">
        <v>75</v>
      </c>
      <c r="G10" s="2563" t="s">
        <v>1135</v>
      </c>
      <c r="H10" s="2511" t="s">
        <v>1136</v>
      </c>
      <c r="I10" s="2511"/>
      <c r="J10" s="2511"/>
      <c r="K10" s="2511" t="s">
        <v>1136</v>
      </c>
      <c r="L10" s="2511"/>
      <c r="M10" s="2511"/>
      <c r="N10" s="2511"/>
      <c r="O10" s="2511"/>
      <c r="P10" s="2511"/>
      <c r="Q10" s="2511"/>
      <c r="R10" s="2511"/>
      <c r="S10" s="2511"/>
      <c r="T10" s="2511" t="s">
        <v>1136</v>
      </c>
      <c r="U10" s="2511"/>
      <c r="V10" s="2511"/>
      <c r="W10" s="2511"/>
      <c r="X10" s="2511"/>
      <c r="Y10" s="2511" t="s">
        <v>1136</v>
      </c>
      <c r="Z10" s="2511"/>
      <c r="AA10" s="2511"/>
      <c r="AB10" s="2511"/>
      <c r="AC10" s="2511"/>
      <c r="AD10" s="2511"/>
      <c r="AE10" s="2511"/>
      <c r="AF10" s="2511"/>
      <c r="AG10" s="2511"/>
      <c r="AH10" s="2511"/>
      <c r="AI10" s="2511" t="s">
        <v>1136</v>
      </c>
      <c r="AJ10" s="2511"/>
      <c r="AK10" s="2511"/>
      <c r="AL10" s="2511"/>
      <c r="AM10" s="2511"/>
      <c r="AN10" s="2511"/>
      <c r="AO10" s="2511"/>
      <c r="AP10" s="2511"/>
      <c r="AQ10" s="2511"/>
      <c r="AR10" s="2511"/>
      <c r="AS10" s="2511"/>
      <c r="AT10" s="2511"/>
      <c r="AU10" s="2511"/>
      <c r="AV10" s="2511" t="s">
        <v>1136</v>
      </c>
      <c r="AW10" s="2511"/>
      <c r="AX10" s="2511"/>
      <c r="AY10" s="2511"/>
      <c r="AZ10" s="2511"/>
      <c r="BA10" s="2511"/>
      <c r="BB10" s="2511" t="s">
        <v>1136</v>
      </c>
      <c r="BC10" s="2511"/>
      <c r="BD10" s="2511"/>
      <c r="BE10" s="2511"/>
      <c r="BF10" s="2511"/>
      <c r="BG10" s="2511"/>
      <c r="BH10" s="2511"/>
      <c r="BI10" s="2511"/>
      <c r="BJ10" s="2511"/>
      <c r="BK10" s="2511"/>
      <c r="BL10" s="2511" t="s">
        <v>1136</v>
      </c>
      <c r="BM10" s="2511"/>
      <c r="BN10" s="2511"/>
      <c r="BO10" s="2511"/>
      <c r="BP10" s="2511"/>
      <c r="BQ10" s="2511"/>
      <c r="BR10" s="2511"/>
      <c r="BS10" s="2511"/>
      <c r="BT10" s="2511"/>
      <c r="BU10" s="2511"/>
      <c r="BV10" s="2511"/>
      <c r="BW10" s="2511"/>
      <c r="BX10" s="2511"/>
      <c r="BY10" s="2511"/>
      <c r="BZ10" s="2511"/>
      <c r="CA10" s="2511"/>
      <c r="CB10" s="2511"/>
      <c r="CC10" s="2511" t="s">
        <v>1136</v>
      </c>
      <c r="CD10" s="2511"/>
      <c r="CE10" s="2511"/>
      <c r="CF10" s="2511"/>
      <c r="CG10" s="2511"/>
      <c r="CH10" s="2511"/>
      <c r="CI10" s="2511"/>
      <c r="CJ10" s="2511" t="s">
        <v>1136</v>
      </c>
      <c r="CK10" s="2511"/>
      <c r="CL10" s="2511"/>
      <c r="CM10" s="2511"/>
      <c r="CN10" s="2511"/>
      <c r="CO10" s="1021"/>
      <c r="CP10" s="958"/>
      <c r="CQ10" s="958"/>
      <c r="CR10" s="958"/>
      <c r="CS10" s="958"/>
      <c r="CT10" s="958"/>
      <c r="CU10" s="958"/>
      <c r="CV10" s="958"/>
      <c r="CW10" s="958"/>
      <c r="CX10" s="958"/>
      <c r="CY10" s="958"/>
      <c r="CZ10" s="958"/>
      <c r="DA10" s="956">
        <v>24</v>
      </c>
    </row>
    <row r="11" spans="1:105" ht="25.5" customHeight="1">
      <c r="E11" s="958"/>
      <c r="F11" s="2560"/>
      <c r="G11" s="2563"/>
      <c r="H11" s="2562" t="e">
        <f>INDEX(IP_MAIN_LIST_NAME_IP,MATCH(H8,IP_MAIN_LIST_IP_ID,0))&amp;" ("&amp;INDEX(IP_MAIN_START_DATE,MATCH(H8,IP_MAIN_LIST_IP_ID,0))&amp;"-"&amp;INDEX(IP_MAIN_END_DATE,MATCH(H8,IP_MAIN_LIST_IP_ID,0))&amp;")"</f>
        <v>#REF!</v>
      </c>
      <c r="I11" s="2562"/>
      <c r="J11" s="2562"/>
      <c r="K11" s="2562" t="e">
        <f>INDEX(IP_MAIN_LIST_NAME_IP,MATCH(K8,IP_MAIN_LIST_IP_ID,0))&amp;" ("&amp;INDEX(IP_MAIN_START_DATE,MATCH(K8,IP_MAIN_LIST_IP_ID,0))&amp;"-"&amp;INDEX(IP_MAIN_END_DATE,MATCH(K8,IP_MAIN_LIST_IP_ID,0))&amp;")"</f>
        <v>#REF!</v>
      </c>
      <c r="L11" s="2562"/>
      <c r="M11" s="2562"/>
      <c r="N11" s="2562"/>
      <c r="O11" s="2562"/>
      <c r="P11" s="2562"/>
      <c r="Q11" s="2562"/>
      <c r="R11" s="2562"/>
      <c r="S11" s="2562"/>
      <c r="T11" s="2562" t="e">
        <f>INDEX(IP_MAIN_LIST_NAME_IP,MATCH(T8,IP_MAIN_LIST_IP_ID,0))&amp;" ("&amp;INDEX(IP_MAIN_START_DATE,MATCH(T8,IP_MAIN_LIST_IP_ID,0))&amp;"-"&amp;INDEX(IP_MAIN_END_DATE,MATCH(T8,IP_MAIN_LIST_IP_ID,0))&amp;")"</f>
        <v>#REF!</v>
      </c>
      <c r="U11" s="2562"/>
      <c r="V11" s="2562"/>
      <c r="W11" s="2562"/>
      <c r="X11" s="2562"/>
      <c r="Y11" s="2562" t="e">
        <f>INDEX(IP_MAIN_LIST_NAME_IP,MATCH(Y8,IP_MAIN_LIST_IP_ID,0))&amp;" ("&amp;INDEX(IP_MAIN_START_DATE,MATCH(Y8,IP_MAIN_LIST_IP_ID,0))&amp;"-"&amp;INDEX(IP_MAIN_END_DATE,MATCH(Y8,IP_MAIN_LIST_IP_ID,0))&amp;")"</f>
        <v>#REF!</v>
      </c>
      <c r="Z11" s="2562"/>
      <c r="AA11" s="2562"/>
      <c r="AB11" s="2562"/>
      <c r="AC11" s="2562"/>
      <c r="AD11" s="2562"/>
      <c r="AE11" s="2562"/>
      <c r="AF11" s="2562"/>
      <c r="AG11" s="2562"/>
      <c r="AH11" s="2562"/>
      <c r="AI11" s="2562" t="e">
        <f>INDEX(IP_MAIN_LIST_NAME_IP,MATCH(AI8,IP_MAIN_LIST_IP_ID,0))&amp;" ("&amp;INDEX(IP_MAIN_START_DATE,MATCH(AI8,IP_MAIN_LIST_IP_ID,0))&amp;"-"&amp;INDEX(IP_MAIN_END_DATE,MATCH(AI8,IP_MAIN_LIST_IP_ID,0))&amp;")"</f>
        <v>#REF!</v>
      </c>
      <c r="AJ11" s="2562"/>
      <c r="AK11" s="2562"/>
      <c r="AL11" s="2562"/>
      <c r="AM11" s="2562"/>
      <c r="AN11" s="2562"/>
      <c r="AO11" s="2562"/>
      <c r="AP11" s="2562"/>
      <c r="AQ11" s="2562"/>
      <c r="AR11" s="2562"/>
      <c r="AS11" s="2562"/>
      <c r="AT11" s="2562"/>
      <c r="AU11" s="2562"/>
      <c r="AV11" s="2562" t="e">
        <f>INDEX(IP_MAIN_LIST_NAME_IP,MATCH(AV8,IP_MAIN_LIST_IP_ID,0))&amp;" ("&amp;INDEX(IP_MAIN_START_DATE,MATCH(AV8,IP_MAIN_LIST_IP_ID,0))&amp;"-"&amp;INDEX(IP_MAIN_END_DATE,MATCH(AV8,IP_MAIN_LIST_IP_ID,0))&amp;")"</f>
        <v>#REF!</v>
      </c>
      <c r="AW11" s="2562"/>
      <c r="AX11" s="2562"/>
      <c r="AY11" s="2562"/>
      <c r="AZ11" s="2562"/>
      <c r="BA11" s="2562"/>
      <c r="BB11" s="2562" t="e">
        <f>INDEX(IP_MAIN_LIST_NAME_IP,MATCH(BB8,IP_MAIN_LIST_IP_ID,0))&amp;" ("&amp;INDEX(IP_MAIN_START_DATE,MATCH(BB8,IP_MAIN_LIST_IP_ID,0))&amp;"-"&amp;INDEX(IP_MAIN_END_DATE,MATCH(BB8,IP_MAIN_LIST_IP_ID,0))&amp;")"</f>
        <v>#REF!</v>
      </c>
      <c r="BC11" s="2562"/>
      <c r="BD11" s="2562"/>
      <c r="BE11" s="2562"/>
      <c r="BF11" s="2562"/>
      <c r="BG11" s="2562"/>
      <c r="BH11" s="2562"/>
      <c r="BI11" s="2562"/>
      <c r="BJ11" s="2562"/>
      <c r="BK11" s="2562"/>
      <c r="BL11" s="2562" t="e">
        <f>INDEX(IP_MAIN_LIST_NAME_IP,MATCH(BL8,IP_MAIN_LIST_IP_ID,0))&amp;" ("&amp;INDEX(IP_MAIN_START_DATE,MATCH(BL8,IP_MAIN_LIST_IP_ID,0))&amp;"-"&amp;INDEX(IP_MAIN_END_DATE,MATCH(BL8,IP_MAIN_LIST_IP_ID,0))&amp;")"</f>
        <v>#REF!</v>
      </c>
      <c r="BM11" s="2562"/>
      <c r="BN11" s="2562"/>
      <c r="BO11" s="2562"/>
      <c r="BP11" s="2562"/>
      <c r="BQ11" s="2562"/>
      <c r="BR11" s="2562"/>
      <c r="BS11" s="2562"/>
      <c r="BT11" s="2562"/>
      <c r="BU11" s="2562"/>
      <c r="BV11" s="2562"/>
      <c r="BW11" s="2562"/>
      <c r="BX11" s="2562"/>
      <c r="BY11" s="2562"/>
      <c r="BZ11" s="2562"/>
      <c r="CA11" s="2562"/>
      <c r="CB11" s="2562"/>
      <c r="CC11" s="2562" t="e">
        <f>INDEX(IP_MAIN_LIST_NAME_IP,MATCH(CC8,IP_MAIN_LIST_IP_ID,0))&amp;" ("&amp;INDEX(IP_MAIN_START_DATE,MATCH(CC8,IP_MAIN_LIST_IP_ID,0))&amp;"-"&amp;INDEX(IP_MAIN_END_DATE,MATCH(CC8,IP_MAIN_LIST_IP_ID,0))&amp;")"</f>
        <v>#REF!</v>
      </c>
      <c r="CD11" s="2562"/>
      <c r="CE11" s="2562"/>
      <c r="CF11" s="2562"/>
      <c r="CG11" s="2562"/>
      <c r="CH11" s="2562"/>
      <c r="CI11" s="2562"/>
      <c r="CJ11" s="2562" t="e">
        <f>INDEX(IP_MAIN_LIST_NAME_IP,MATCH(CJ8,IP_MAIN_LIST_IP_ID,0))&amp;" ("&amp;INDEX(IP_MAIN_START_DATE,MATCH(CJ8,IP_MAIN_LIST_IP_ID,0))&amp;"-"&amp;INDEX(IP_MAIN_END_DATE,MATCH(CJ8,IP_MAIN_LIST_IP_ID,0))&amp;")"</f>
        <v>#REF!</v>
      </c>
      <c r="CK11" s="2562"/>
      <c r="CL11" s="2562"/>
      <c r="CM11" s="2562"/>
      <c r="CN11" s="2562"/>
      <c r="CO11" s="1021"/>
      <c r="CP11" s="958"/>
      <c r="CQ11" s="958"/>
      <c r="CR11" s="958"/>
      <c r="CS11" s="958"/>
      <c r="CT11" s="958"/>
      <c r="CU11" s="958"/>
      <c r="CV11" s="958"/>
      <c r="CW11" s="958"/>
      <c r="CX11" s="958"/>
      <c r="CY11" s="958"/>
      <c r="CZ11" s="958"/>
      <c r="DA11" s="956">
        <v>24</v>
      </c>
    </row>
    <row r="12" spans="1:105" ht="10.5" customHeight="1">
      <c r="F12" s="2561"/>
      <c r="G12" s="2563"/>
      <c r="H12" s="1014" t="s">
        <v>1137</v>
      </c>
      <c r="I12" s="1020"/>
      <c r="J12" s="1014"/>
      <c r="K12" s="1862" t="s">
        <v>1137</v>
      </c>
      <c r="L12" s="1020">
        <v>2020</v>
      </c>
      <c r="M12" s="1020">
        <v>2021</v>
      </c>
      <c r="N12" s="1020">
        <v>2022</v>
      </c>
      <c r="O12" s="1020">
        <v>2023</v>
      </c>
      <c r="P12" s="1020">
        <v>2024</v>
      </c>
      <c r="Q12" s="1020">
        <v>2025</v>
      </c>
      <c r="R12" s="1020">
        <v>2026</v>
      </c>
      <c r="S12" s="1862"/>
      <c r="T12" s="1862" t="s">
        <v>1137</v>
      </c>
      <c r="U12" s="1020">
        <v>2023</v>
      </c>
      <c r="V12" s="1020">
        <v>2024</v>
      </c>
      <c r="W12" s="1020">
        <v>2025</v>
      </c>
      <c r="X12" s="1862"/>
      <c r="Y12" s="1862" t="s">
        <v>1137</v>
      </c>
      <c r="Z12" s="1020">
        <v>2017</v>
      </c>
      <c r="AA12" s="1020">
        <v>2018</v>
      </c>
      <c r="AB12" s="1020">
        <v>2019</v>
      </c>
      <c r="AC12" s="1020">
        <v>2020</v>
      </c>
      <c r="AD12" s="1020">
        <v>2021</v>
      </c>
      <c r="AE12" s="1020">
        <v>2022</v>
      </c>
      <c r="AF12" s="1020">
        <v>2023</v>
      </c>
      <c r="AG12" s="1020">
        <v>2024</v>
      </c>
      <c r="AH12" s="1862"/>
      <c r="AI12" s="1862" t="s">
        <v>1137</v>
      </c>
      <c r="AJ12" s="1020">
        <v>2016</v>
      </c>
      <c r="AK12" s="1020">
        <v>2017</v>
      </c>
      <c r="AL12" s="1020">
        <v>2018</v>
      </c>
      <c r="AM12" s="1020">
        <v>2019</v>
      </c>
      <c r="AN12" s="1020">
        <v>2020</v>
      </c>
      <c r="AO12" s="1020">
        <v>2021</v>
      </c>
      <c r="AP12" s="1020">
        <v>2022</v>
      </c>
      <c r="AQ12" s="1020">
        <v>2023</v>
      </c>
      <c r="AR12" s="1020">
        <v>2024</v>
      </c>
      <c r="AS12" s="1020">
        <v>2025</v>
      </c>
      <c r="AT12" s="1020">
        <v>2026</v>
      </c>
      <c r="AU12" s="1862"/>
      <c r="AV12" s="1862" t="s">
        <v>1137</v>
      </c>
      <c r="AW12" s="1020">
        <v>2022</v>
      </c>
      <c r="AX12" s="1020">
        <v>2023</v>
      </c>
      <c r="AY12" s="1020">
        <v>2024</v>
      </c>
      <c r="AZ12" s="1020">
        <v>2025</v>
      </c>
      <c r="BA12" s="1862"/>
      <c r="BB12" s="1862" t="s">
        <v>1137</v>
      </c>
      <c r="BC12" s="1020">
        <v>2017</v>
      </c>
      <c r="BD12" s="1020">
        <v>2018</v>
      </c>
      <c r="BE12" s="1020">
        <v>2019</v>
      </c>
      <c r="BF12" s="1020">
        <v>2020</v>
      </c>
      <c r="BG12" s="1020">
        <v>2021</v>
      </c>
      <c r="BH12" s="1020">
        <v>2022</v>
      </c>
      <c r="BI12" s="1020">
        <v>2023</v>
      </c>
      <c r="BJ12" s="1020">
        <v>2024</v>
      </c>
      <c r="BK12" s="1862"/>
      <c r="BL12" s="1862" t="s">
        <v>1137</v>
      </c>
      <c r="BM12" s="1020">
        <v>2021</v>
      </c>
      <c r="BN12" s="1020">
        <v>2022</v>
      </c>
      <c r="BO12" s="1020">
        <v>2023</v>
      </c>
      <c r="BP12" s="1020">
        <v>2024</v>
      </c>
      <c r="BQ12" s="1020">
        <v>2025</v>
      </c>
      <c r="BR12" s="1020">
        <v>2026</v>
      </c>
      <c r="BS12" s="1020">
        <v>2027</v>
      </c>
      <c r="BT12" s="1020">
        <v>2028</v>
      </c>
      <c r="BU12" s="1020">
        <v>2029</v>
      </c>
      <c r="BV12" s="1020">
        <v>2030</v>
      </c>
      <c r="BW12" s="1020">
        <v>2031</v>
      </c>
      <c r="BX12" s="1020">
        <v>2032</v>
      </c>
      <c r="BY12" s="1020">
        <v>2033</v>
      </c>
      <c r="BZ12" s="1020">
        <v>2034</v>
      </c>
      <c r="CA12" s="1020">
        <v>2035</v>
      </c>
      <c r="CB12" s="1862"/>
      <c r="CC12" s="1862" t="s">
        <v>1137</v>
      </c>
      <c r="CD12" s="1020">
        <v>2020</v>
      </c>
      <c r="CE12" s="1020">
        <v>2021</v>
      </c>
      <c r="CF12" s="1020">
        <v>2022</v>
      </c>
      <c r="CG12" s="1020">
        <v>2023</v>
      </c>
      <c r="CH12" s="1020">
        <v>2024</v>
      </c>
      <c r="CI12" s="1862"/>
      <c r="CJ12" s="1862" t="s">
        <v>1137</v>
      </c>
      <c r="CK12" s="1020">
        <v>2024</v>
      </c>
      <c r="CL12" s="1020">
        <v>2025</v>
      </c>
      <c r="CM12" s="1020">
        <v>2026</v>
      </c>
      <c r="CN12" s="1862"/>
      <c r="CO12" s="1022"/>
      <c r="DA12" s="956">
        <v>10</v>
      </c>
    </row>
    <row r="13" spans="1:105" ht="10.5" hidden="1" customHeight="1">
      <c r="F13" s="1014">
        <v>1</v>
      </c>
      <c r="G13" s="1014">
        <v>2</v>
      </c>
      <c r="H13" s="1014">
        <v>3</v>
      </c>
      <c r="I13" s="1014">
        <v>4</v>
      </c>
      <c r="J13" s="1014">
        <v>5</v>
      </c>
      <c r="K13" s="1862">
        <v>3</v>
      </c>
      <c r="L13" s="1862">
        <v>4</v>
      </c>
      <c r="M13" s="1862">
        <v>4</v>
      </c>
      <c r="N13" s="1862">
        <v>4</v>
      </c>
      <c r="O13" s="1862">
        <v>4</v>
      </c>
      <c r="P13" s="1862">
        <v>4</v>
      </c>
      <c r="Q13" s="1862">
        <v>4</v>
      </c>
      <c r="R13" s="1862">
        <v>4</v>
      </c>
      <c r="S13" s="1862">
        <v>5</v>
      </c>
      <c r="T13" s="1862">
        <v>3</v>
      </c>
      <c r="U13" s="1862">
        <v>4</v>
      </c>
      <c r="V13" s="1862">
        <v>4</v>
      </c>
      <c r="W13" s="1862">
        <v>4</v>
      </c>
      <c r="X13" s="1862">
        <v>5</v>
      </c>
      <c r="Y13" s="1862">
        <v>3</v>
      </c>
      <c r="Z13" s="1862">
        <v>4</v>
      </c>
      <c r="AA13" s="1862">
        <v>4</v>
      </c>
      <c r="AB13" s="1862">
        <v>4</v>
      </c>
      <c r="AC13" s="1862">
        <v>4</v>
      </c>
      <c r="AD13" s="1862">
        <v>4</v>
      </c>
      <c r="AE13" s="1862">
        <v>4</v>
      </c>
      <c r="AF13" s="1862">
        <v>4</v>
      </c>
      <c r="AG13" s="1862">
        <v>4</v>
      </c>
      <c r="AH13" s="1862">
        <v>5</v>
      </c>
      <c r="AI13" s="1862">
        <v>3</v>
      </c>
      <c r="AJ13" s="1862">
        <v>4</v>
      </c>
      <c r="AK13" s="1862">
        <v>4</v>
      </c>
      <c r="AL13" s="1862">
        <v>4</v>
      </c>
      <c r="AM13" s="1862">
        <v>4</v>
      </c>
      <c r="AN13" s="1862">
        <v>4</v>
      </c>
      <c r="AO13" s="1862">
        <v>4</v>
      </c>
      <c r="AP13" s="1862">
        <v>4</v>
      </c>
      <c r="AQ13" s="1862">
        <v>4</v>
      </c>
      <c r="AR13" s="1862">
        <v>4</v>
      </c>
      <c r="AS13" s="1862">
        <v>4</v>
      </c>
      <c r="AT13" s="1862">
        <v>4</v>
      </c>
      <c r="AU13" s="1862">
        <v>5</v>
      </c>
      <c r="AV13" s="1862">
        <v>3</v>
      </c>
      <c r="AW13" s="1862">
        <v>4</v>
      </c>
      <c r="AX13" s="1862">
        <v>4</v>
      </c>
      <c r="AY13" s="1862">
        <v>4</v>
      </c>
      <c r="AZ13" s="1862">
        <v>4</v>
      </c>
      <c r="BA13" s="1862">
        <v>5</v>
      </c>
      <c r="BB13" s="1862">
        <v>3</v>
      </c>
      <c r="BC13" s="1862">
        <v>4</v>
      </c>
      <c r="BD13" s="1862">
        <v>4</v>
      </c>
      <c r="BE13" s="1862">
        <v>4</v>
      </c>
      <c r="BF13" s="1862">
        <v>4</v>
      </c>
      <c r="BG13" s="1862">
        <v>4</v>
      </c>
      <c r="BH13" s="1862">
        <v>4</v>
      </c>
      <c r="BI13" s="1862">
        <v>4</v>
      </c>
      <c r="BJ13" s="1862">
        <v>4</v>
      </c>
      <c r="BK13" s="1862">
        <v>5</v>
      </c>
      <c r="BL13" s="1862">
        <v>3</v>
      </c>
      <c r="BM13" s="1862">
        <v>4</v>
      </c>
      <c r="BN13" s="1862">
        <v>4</v>
      </c>
      <c r="BO13" s="1862">
        <v>4</v>
      </c>
      <c r="BP13" s="1862">
        <v>4</v>
      </c>
      <c r="BQ13" s="1862">
        <v>4</v>
      </c>
      <c r="BR13" s="1862">
        <v>4</v>
      </c>
      <c r="BS13" s="1862">
        <v>4</v>
      </c>
      <c r="BT13" s="1862">
        <v>4</v>
      </c>
      <c r="BU13" s="1862">
        <v>4</v>
      </c>
      <c r="BV13" s="1862">
        <v>4</v>
      </c>
      <c r="BW13" s="1862">
        <v>4</v>
      </c>
      <c r="BX13" s="1862">
        <v>4</v>
      </c>
      <c r="BY13" s="1862">
        <v>4</v>
      </c>
      <c r="BZ13" s="1862">
        <v>4</v>
      </c>
      <c r="CA13" s="1862">
        <v>4</v>
      </c>
      <c r="CB13" s="1862">
        <v>5</v>
      </c>
      <c r="CC13" s="1862">
        <v>3</v>
      </c>
      <c r="CD13" s="1862">
        <v>4</v>
      </c>
      <c r="CE13" s="1862">
        <v>4</v>
      </c>
      <c r="CF13" s="1862">
        <v>4</v>
      </c>
      <c r="CG13" s="1862">
        <v>4</v>
      </c>
      <c r="CH13" s="1862">
        <v>4</v>
      </c>
      <c r="CI13" s="1862">
        <v>5</v>
      </c>
      <c r="CJ13" s="1862">
        <v>3</v>
      </c>
      <c r="CK13" s="1862">
        <v>4</v>
      </c>
      <c r="CL13" s="1862">
        <v>4</v>
      </c>
      <c r="CM13" s="1862">
        <v>4</v>
      </c>
      <c r="CN13" s="1862">
        <v>5</v>
      </c>
      <c r="CO13" s="1022"/>
      <c r="DA13" s="956">
        <v>0</v>
      </c>
    </row>
    <row r="14" spans="1:105" ht="11.45" customHeight="1">
      <c r="F14" s="1013" t="s">
        <v>1138</v>
      </c>
      <c r="G14" s="2557" t="s">
        <v>1139</v>
      </c>
      <c r="H14" s="2557"/>
      <c r="I14" s="2557"/>
      <c r="J14" s="2557"/>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860"/>
      <c r="AN14" s="1860"/>
      <c r="AO14" s="1860"/>
      <c r="AP14" s="1860"/>
      <c r="AQ14" s="1860"/>
      <c r="AR14" s="1860"/>
      <c r="AS14" s="1860"/>
      <c r="AT14" s="1860"/>
      <c r="AU14" s="1860"/>
      <c r="AV14" s="1860"/>
      <c r="AW14" s="1860"/>
      <c r="AX14" s="1860"/>
      <c r="AY14" s="1860"/>
      <c r="AZ14" s="1860"/>
      <c r="BA14" s="1860"/>
      <c r="BB14" s="1860"/>
      <c r="BC14" s="1860"/>
      <c r="BD14" s="1860"/>
      <c r="BE14" s="1860"/>
      <c r="BF14" s="1860"/>
      <c r="BG14" s="1860"/>
      <c r="BH14" s="1860"/>
      <c r="BI14" s="1860"/>
      <c r="BJ14" s="1860"/>
      <c r="BK14" s="1860"/>
      <c r="BL14" s="1860"/>
      <c r="BM14" s="1860"/>
      <c r="BN14" s="1860"/>
      <c r="BO14" s="1860"/>
      <c r="BP14" s="1860"/>
      <c r="BQ14" s="1860"/>
      <c r="BR14" s="1860"/>
      <c r="BS14" s="1860"/>
      <c r="BT14" s="1860"/>
      <c r="BU14" s="1860"/>
      <c r="BV14" s="1860"/>
      <c r="BW14" s="1860"/>
      <c r="BX14" s="1860"/>
      <c r="BY14" s="1860"/>
      <c r="BZ14" s="1860"/>
      <c r="CA14" s="1860"/>
      <c r="CB14" s="1860"/>
      <c r="CC14" s="1860"/>
      <c r="CD14" s="1860"/>
      <c r="CE14" s="1860"/>
      <c r="CF14" s="1860"/>
      <c r="CG14" s="1860"/>
      <c r="CH14" s="1860"/>
      <c r="CI14" s="1860"/>
      <c r="CJ14" s="1860"/>
      <c r="CK14" s="1860"/>
      <c r="CL14" s="1860"/>
      <c r="CM14" s="1860"/>
      <c r="CN14" s="1860"/>
      <c r="CO14" s="1022"/>
      <c r="DA14" s="956">
        <v>11</v>
      </c>
    </row>
    <row r="15" spans="1:105" ht="11.45" customHeight="1">
      <c r="F15" s="1018">
        <v>1</v>
      </c>
      <c r="G15" s="611" t="s">
        <v>1140</v>
      </c>
      <c r="H15" s="1024">
        <f t="shared" ref="H15:H36" si="0">SUM(I15:J15)</f>
        <v>0</v>
      </c>
      <c r="I15" s="1024">
        <f>SUM(I16:I27)</f>
        <v>0</v>
      </c>
      <c r="J15" s="1013"/>
      <c r="K15" s="1024">
        <f t="shared" ref="K15:K36" si="1">SUM(L15:S15)</f>
        <v>0</v>
      </c>
      <c r="L15" s="1024">
        <f t="shared" ref="L15:R15" si="2">SUM(L16:L27)</f>
        <v>0</v>
      </c>
      <c r="M15" s="1024">
        <f t="shared" si="2"/>
        <v>0</v>
      </c>
      <c r="N15" s="1024">
        <f t="shared" si="2"/>
        <v>0</v>
      </c>
      <c r="O15" s="1024">
        <f t="shared" si="2"/>
        <v>0</v>
      </c>
      <c r="P15" s="1024">
        <f t="shared" si="2"/>
        <v>0</v>
      </c>
      <c r="Q15" s="1024">
        <f t="shared" si="2"/>
        <v>0</v>
      </c>
      <c r="R15" s="1024">
        <f t="shared" si="2"/>
        <v>0</v>
      </c>
      <c r="S15" s="1861"/>
      <c r="T15" s="1024">
        <f t="shared" ref="T15:T36" si="3">SUM(U15:X15)</f>
        <v>0</v>
      </c>
      <c r="U15" s="1024">
        <f>SUM(U16:U27)</f>
        <v>0</v>
      </c>
      <c r="V15" s="1024">
        <f>SUM(V16:V27)</f>
        <v>0</v>
      </c>
      <c r="W15" s="1024">
        <f>SUM(W16:W27)</f>
        <v>0</v>
      </c>
      <c r="X15" s="1861"/>
      <c r="Y15" s="1024">
        <f t="shared" ref="Y15:Y36" si="4">SUM(Z15:AH15)</f>
        <v>0</v>
      </c>
      <c r="Z15" s="1024">
        <f t="shared" ref="Z15:AG15" si="5">SUM(Z16:Z27)</f>
        <v>0</v>
      </c>
      <c r="AA15" s="1024">
        <f t="shared" si="5"/>
        <v>0</v>
      </c>
      <c r="AB15" s="1024">
        <f t="shared" si="5"/>
        <v>0</v>
      </c>
      <c r="AC15" s="1024">
        <f t="shared" si="5"/>
        <v>0</v>
      </c>
      <c r="AD15" s="1024">
        <f t="shared" si="5"/>
        <v>0</v>
      </c>
      <c r="AE15" s="1024">
        <f t="shared" si="5"/>
        <v>0</v>
      </c>
      <c r="AF15" s="1024">
        <f t="shared" si="5"/>
        <v>0</v>
      </c>
      <c r="AG15" s="1024">
        <f t="shared" si="5"/>
        <v>0</v>
      </c>
      <c r="AH15" s="1861"/>
      <c r="AI15" s="1024">
        <f t="shared" ref="AI15:AI36" si="6">SUM(AJ15:AU15)</f>
        <v>0</v>
      </c>
      <c r="AJ15" s="1024">
        <f t="shared" ref="AJ15:AT15" si="7">SUM(AJ16:AJ27)</f>
        <v>0</v>
      </c>
      <c r="AK15" s="1024">
        <f t="shared" si="7"/>
        <v>0</v>
      </c>
      <c r="AL15" s="1024">
        <f t="shared" si="7"/>
        <v>0</v>
      </c>
      <c r="AM15" s="1024">
        <f t="shared" si="7"/>
        <v>0</v>
      </c>
      <c r="AN15" s="1024">
        <f t="shared" si="7"/>
        <v>0</v>
      </c>
      <c r="AO15" s="1024">
        <f t="shared" si="7"/>
        <v>0</v>
      </c>
      <c r="AP15" s="1024">
        <f t="shared" si="7"/>
        <v>0</v>
      </c>
      <c r="AQ15" s="1024">
        <f t="shared" si="7"/>
        <v>0</v>
      </c>
      <c r="AR15" s="1024">
        <f t="shared" si="7"/>
        <v>0</v>
      </c>
      <c r="AS15" s="1024">
        <f t="shared" si="7"/>
        <v>0</v>
      </c>
      <c r="AT15" s="1024">
        <f t="shared" si="7"/>
        <v>0</v>
      </c>
      <c r="AU15" s="1861"/>
      <c r="AV15" s="1024">
        <f t="shared" ref="AV15:AV36" si="8">SUM(AW15:BA15)</f>
        <v>0</v>
      </c>
      <c r="AW15" s="1024">
        <f>SUM(AW16:AW27)</f>
        <v>0</v>
      </c>
      <c r="AX15" s="1024">
        <f>SUM(AX16:AX27)</f>
        <v>0</v>
      </c>
      <c r="AY15" s="1024">
        <f>SUM(AY16:AY27)</f>
        <v>0</v>
      </c>
      <c r="AZ15" s="1024">
        <f>SUM(AZ16:AZ27)</f>
        <v>0</v>
      </c>
      <c r="BA15" s="1861"/>
      <c r="BB15" s="1024">
        <f t="shared" ref="BB15:BB36" si="9">SUM(BC15:BK15)</f>
        <v>0</v>
      </c>
      <c r="BC15" s="1024">
        <f t="shared" ref="BC15:BJ15" si="10">SUM(BC16:BC27)</f>
        <v>0</v>
      </c>
      <c r="BD15" s="1024">
        <f t="shared" si="10"/>
        <v>0</v>
      </c>
      <c r="BE15" s="1024">
        <f t="shared" si="10"/>
        <v>0</v>
      </c>
      <c r="BF15" s="1024">
        <f t="shared" si="10"/>
        <v>0</v>
      </c>
      <c r="BG15" s="1024">
        <f t="shared" si="10"/>
        <v>0</v>
      </c>
      <c r="BH15" s="1024">
        <f t="shared" si="10"/>
        <v>0</v>
      </c>
      <c r="BI15" s="1024">
        <f t="shared" si="10"/>
        <v>0</v>
      </c>
      <c r="BJ15" s="1024">
        <f t="shared" si="10"/>
        <v>0</v>
      </c>
      <c r="BK15" s="1861"/>
      <c r="BL15" s="1024">
        <f t="shared" ref="BL15:BL36" si="11">SUM(BM15:CB15)</f>
        <v>0</v>
      </c>
      <c r="BM15" s="1024">
        <f t="shared" ref="BM15:CA15" si="12">SUM(BM16:BM27)</f>
        <v>0</v>
      </c>
      <c r="BN15" s="1024">
        <f t="shared" si="12"/>
        <v>0</v>
      </c>
      <c r="BO15" s="1024">
        <f t="shared" si="12"/>
        <v>0</v>
      </c>
      <c r="BP15" s="1024">
        <f t="shared" si="12"/>
        <v>0</v>
      </c>
      <c r="BQ15" s="1024">
        <f t="shared" si="12"/>
        <v>0</v>
      </c>
      <c r="BR15" s="1024">
        <f t="shared" si="12"/>
        <v>0</v>
      </c>
      <c r="BS15" s="1024">
        <f t="shared" si="12"/>
        <v>0</v>
      </c>
      <c r="BT15" s="1024">
        <f t="shared" si="12"/>
        <v>0</v>
      </c>
      <c r="BU15" s="1024">
        <f t="shared" si="12"/>
        <v>0</v>
      </c>
      <c r="BV15" s="1024">
        <f t="shared" si="12"/>
        <v>0</v>
      </c>
      <c r="BW15" s="1024">
        <f t="shared" si="12"/>
        <v>0</v>
      </c>
      <c r="BX15" s="1024">
        <f t="shared" si="12"/>
        <v>0</v>
      </c>
      <c r="BY15" s="1024">
        <f t="shared" si="12"/>
        <v>0</v>
      </c>
      <c r="BZ15" s="1024">
        <f t="shared" si="12"/>
        <v>0</v>
      </c>
      <c r="CA15" s="1024">
        <f t="shared" si="12"/>
        <v>0</v>
      </c>
      <c r="CB15" s="1861"/>
      <c r="CC15" s="1024">
        <f t="shared" ref="CC15:CC36" si="13">SUM(CD15:CI15)</f>
        <v>0</v>
      </c>
      <c r="CD15" s="1024">
        <f>SUM(CD16:CD27)</f>
        <v>0</v>
      </c>
      <c r="CE15" s="1024">
        <f>SUM(CE16:CE27)</f>
        <v>0</v>
      </c>
      <c r="CF15" s="1024">
        <f>SUM(CF16:CF27)</f>
        <v>0</v>
      </c>
      <c r="CG15" s="1024">
        <f>SUM(CG16:CG27)</f>
        <v>0</v>
      </c>
      <c r="CH15" s="1024">
        <f>SUM(CH16:CH27)</f>
        <v>0</v>
      </c>
      <c r="CI15" s="1861"/>
      <c r="CJ15" s="1024">
        <f t="shared" ref="CJ15:CJ36" si="14">SUM(CK15:CN15)</f>
        <v>0</v>
      </c>
      <c r="CK15" s="1024">
        <f>SUM(CK16:CK27)</f>
        <v>0</v>
      </c>
      <c r="CL15" s="1024">
        <f>SUM(CL16:CL27)</f>
        <v>0</v>
      </c>
      <c r="CM15" s="1024">
        <f>SUM(CM16:CM27)</f>
        <v>0</v>
      </c>
      <c r="CN15" s="1861"/>
      <c r="CO15" s="1022"/>
      <c r="DA15" s="956">
        <v>11</v>
      </c>
    </row>
    <row r="16" spans="1:105" ht="24" customHeight="1">
      <c r="F16" s="1018" t="s">
        <v>1141</v>
      </c>
      <c r="G16" s="1025" t="s">
        <v>1142</v>
      </c>
      <c r="H16" s="1024">
        <f t="shared" si="0"/>
        <v>0</v>
      </c>
      <c r="I16" s="1023"/>
      <c r="J16" s="1013"/>
      <c r="K16" s="1024">
        <f t="shared" si="1"/>
        <v>0</v>
      </c>
      <c r="L16" s="1023"/>
      <c r="M16" s="1023"/>
      <c r="N16" s="1023"/>
      <c r="O16" s="1023"/>
      <c r="P16" s="1023"/>
      <c r="Q16" s="1023"/>
      <c r="R16" s="1023"/>
      <c r="S16" s="1861"/>
      <c r="T16" s="1024">
        <f t="shared" si="3"/>
        <v>0</v>
      </c>
      <c r="U16" s="1023"/>
      <c r="V16" s="1023"/>
      <c r="W16" s="1023"/>
      <c r="X16" s="1861"/>
      <c r="Y16" s="1024">
        <f t="shared" si="4"/>
        <v>0</v>
      </c>
      <c r="Z16" s="1023"/>
      <c r="AA16" s="1023"/>
      <c r="AB16" s="1023"/>
      <c r="AC16" s="1023"/>
      <c r="AD16" s="1023"/>
      <c r="AE16" s="1023"/>
      <c r="AF16" s="1023"/>
      <c r="AG16" s="1023"/>
      <c r="AH16" s="1861"/>
      <c r="AI16" s="1024">
        <f t="shared" si="6"/>
        <v>0</v>
      </c>
      <c r="AJ16" s="1023"/>
      <c r="AK16" s="1023"/>
      <c r="AL16" s="1023"/>
      <c r="AM16" s="1023"/>
      <c r="AN16" s="1023"/>
      <c r="AO16" s="1023"/>
      <c r="AP16" s="1023"/>
      <c r="AQ16" s="1023"/>
      <c r="AR16" s="1023"/>
      <c r="AS16" s="1023"/>
      <c r="AT16" s="1023"/>
      <c r="AU16" s="1861"/>
      <c r="AV16" s="1024">
        <f t="shared" si="8"/>
        <v>0</v>
      </c>
      <c r="AW16" s="1023"/>
      <c r="AX16" s="1023"/>
      <c r="AY16" s="1023"/>
      <c r="AZ16" s="1023"/>
      <c r="BA16" s="1861"/>
      <c r="BB16" s="1024">
        <f t="shared" si="9"/>
        <v>0</v>
      </c>
      <c r="BC16" s="1023"/>
      <c r="BD16" s="1023"/>
      <c r="BE16" s="1023"/>
      <c r="BF16" s="1023"/>
      <c r="BG16" s="1023"/>
      <c r="BH16" s="1023"/>
      <c r="BI16" s="1023"/>
      <c r="BJ16" s="1023"/>
      <c r="BK16" s="1861"/>
      <c r="BL16" s="1024">
        <f t="shared" si="11"/>
        <v>0</v>
      </c>
      <c r="BM16" s="1023"/>
      <c r="BN16" s="1023"/>
      <c r="BO16" s="1023"/>
      <c r="BP16" s="1023"/>
      <c r="BQ16" s="1023"/>
      <c r="BR16" s="1023"/>
      <c r="BS16" s="1023"/>
      <c r="BT16" s="1023"/>
      <c r="BU16" s="1023"/>
      <c r="BV16" s="1023"/>
      <c r="BW16" s="1023"/>
      <c r="BX16" s="1023"/>
      <c r="BY16" s="1023"/>
      <c r="BZ16" s="1023"/>
      <c r="CA16" s="1023"/>
      <c r="CB16" s="1861"/>
      <c r="CC16" s="1024">
        <f t="shared" si="13"/>
        <v>0</v>
      </c>
      <c r="CD16" s="1023"/>
      <c r="CE16" s="1023"/>
      <c r="CF16" s="1023"/>
      <c r="CG16" s="1023"/>
      <c r="CH16" s="1023"/>
      <c r="CI16" s="1861"/>
      <c r="CJ16" s="1024">
        <f t="shared" si="14"/>
        <v>0</v>
      </c>
      <c r="CK16" s="1023"/>
      <c r="CL16" s="1023"/>
      <c r="CM16" s="1023"/>
      <c r="CN16" s="1861"/>
      <c r="CO16" s="1022"/>
      <c r="DA16" s="956">
        <v>23</v>
      </c>
    </row>
    <row r="17" spans="6:105" ht="24" customHeight="1">
      <c r="F17" s="1018" t="s">
        <v>1143</v>
      </c>
      <c r="G17" s="1025" t="s">
        <v>1144</v>
      </c>
      <c r="H17" s="1024">
        <f t="shared" si="0"/>
        <v>0</v>
      </c>
      <c r="I17" s="1023"/>
      <c r="J17" s="1013"/>
      <c r="K17" s="1024">
        <f t="shared" si="1"/>
        <v>0</v>
      </c>
      <c r="L17" s="1023"/>
      <c r="M17" s="1023"/>
      <c r="N17" s="1023"/>
      <c r="O17" s="1023"/>
      <c r="P17" s="1023"/>
      <c r="Q17" s="1023"/>
      <c r="R17" s="1023"/>
      <c r="S17" s="1861"/>
      <c r="T17" s="1024">
        <f t="shared" si="3"/>
        <v>0</v>
      </c>
      <c r="U17" s="1023"/>
      <c r="V17" s="1023"/>
      <c r="W17" s="1023"/>
      <c r="X17" s="1861"/>
      <c r="Y17" s="1024">
        <f t="shared" si="4"/>
        <v>0</v>
      </c>
      <c r="Z17" s="1023"/>
      <c r="AA17" s="1023"/>
      <c r="AB17" s="1023"/>
      <c r="AC17" s="1023"/>
      <c r="AD17" s="1023"/>
      <c r="AE17" s="1023"/>
      <c r="AF17" s="1023"/>
      <c r="AG17" s="1023"/>
      <c r="AH17" s="1861"/>
      <c r="AI17" s="1024">
        <f t="shared" si="6"/>
        <v>0</v>
      </c>
      <c r="AJ17" s="1023"/>
      <c r="AK17" s="1023"/>
      <c r="AL17" s="1023"/>
      <c r="AM17" s="1023"/>
      <c r="AN17" s="1023"/>
      <c r="AO17" s="1023"/>
      <c r="AP17" s="1023"/>
      <c r="AQ17" s="1023"/>
      <c r="AR17" s="1023"/>
      <c r="AS17" s="1023"/>
      <c r="AT17" s="1023"/>
      <c r="AU17" s="1861"/>
      <c r="AV17" s="1024">
        <f t="shared" si="8"/>
        <v>0</v>
      </c>
      <c r="AW17" s="1023"/>
      <c r="AX17" s="1023"/>
      <c r="AY17" s="1023"/>
      <c r="AZ17" s="1023"/>
      <c r="BA17" s="1861"/>
      <c r="BB17" s="1024">
        <f t="shared" si="9"/>
        <v>0</v>
      </c>
      <c r="BC17" s="1023"/>
      <c r="BD17" s="1023"/>
      <c r="BE17" s="1023"/>
      <c r="BF17" s="1023"/>
      <c r="BG17" s="1023"/>
      <c r="BH17" s="1023"/>
      <c r="BI17" s="1023"/>
      <c r="BJ17" s="1023"/>
      <c r="BK17" s="1861"/>
      <c r="BL17" s="1024">
        <f t="shared" si="11"/>
        <v>0</v>
      </c>
      <c r="BM17" s="1023"/>
      <c r="BN17" s="1023"/>
      <c r="BO17" s="1023"/>
      <c r="BP17" s="1023"/>
      <c r="BQ17" s="1023"/>
      <c r="BR17" s="1023"/>
      <c r="BS17" s="1023"/>
      <c r="BT17" s="1023"/>
      <c r="BU17" s="1023"/>
      <c r="BV17" s="1023"/>
      <c r="BW17" s="1023"/>
      <c r="BX17" s="1023"/>
      <c r="BY17" s="1023"/>
      <c r="BZ17" s="1023"/>
      <c r="CA17" s="1023"/>
      <c r="CB17" s="1861"/>
      <c r="CC17" s="1024">
        <f t="shared" si="13"/>
        <v>0</v>
      </c>
      <c r="CD17" s="1023"/>
      <c r="CE17" s="1023"/>
      <c r="CF17" s="1023"/>
      <c r="CG17" s="1023"/>
      <c r="CH17" s="1023"/>
      <c r="CI17" s="1861"/>
      <c r="CJ17" s="1024">
        <f t="shared" si="14"/>
        <v>0</v>
      </c>
      <c r="CK17" s="1023"/>
      <c r="CL17" s="1023"/>
      <c r="CM17" s="1023"/>
      <c r="CN17" s="1861"/>
      <c r="CO17" s="1022"/>
      <c r="DA17" s="956">
        <v>23</v>
      </c>
    </row>
    <row r="18" spans="6:105" ht="35.65" customHeight="1">
      <c r="F18" s="1018" t="s">
        <v>1145</v>
      </c>
      <c r="G18" s="1025" t="s">
        <v>1146</v>
      </c>
      <c r="H18" s="1024">
        <f t="shared" si="0"/>
        <v>0</v>
      </c>
      <c r="I18" s="1023"/>
      <c r="J18" s="1013"/>
      <c r="K18" s="1024">
        <f t="shared" si="1"/>
        <v>0</v>
      </c>
      <c r="L18" s="1023"/>
      <c r="M18" s="1023"/>
      <c r="N18" s="1023"/>
      <c r="O18" s="1023"/>
      <c r="P18" s="1023"/>
      <c r="Q18" s="1023"/>
      <c r="R18" s="1023"/>
      <c r="S18" s="1861"/>
      <c r="T18" s="1024">
        <f t="shared" si="3"/>
        <v>0</v>
      </c>
      <c r="U18" s="1023"/>
      <c r="V18" s="1023"/>
      <c r="W18" s="1023"/>
      <c r="X18" s="1861"/>
      <c r="Y18" s="1024">
        <f t="shared" si="4"/>
        <v>0</v>
      </c>
      <c r="Z18" s="1023"/>
      <c r="AA18" s="1023"/>
      <c r="AB18" s="1023"/>
      <c r="AC18" s="1023"/>
      <c r="AD18" s="1023"/>
      <c r="AE18" s="1023"/>
      <c r="AF18" s="1023"/>
      <c r="AG18" s="1023"/>
      <c r="AH18" s="1861"/>
      <c r="AI18" s="1024">
        <f t="shared" si="6"/>
        <v>0</v>
      </c>
      <c r="AJ18" s="1023"/>
      <c r="AK18" s="1023"/>
      <c r="AL18" s="1023"/>
      <c r="AM18" s="1023"/>
      <c r="AN18" s="1023"/>
      <c r="AO18" s="1023"/>
      <c r="AP18" s="1023"/>
      <c r="AQ18" s="1023"/>
      <c r="AR18" s="1023"/>
      <c r="AS18" s="1023"/>
      <c r="AT18" s="1023"/>
      <c r="AU18" s="1861"/>
      <c r="AV18" s="1024">
        <f t="shared" si="8"/>
        <v>0</v>
      </c>
      <c r="AW18" s="1023"/>
      <c r="AX18" s="1023"/>
      <c r="AY18" s="1023"/>
      <c r="AZ18" s="1023"/>
      <c r="BA18" s="1861"/>
      <c r="BB18" s="1024">
        <f t="shared" si="9"/>
        <v>0</v>
      </c>
      <c r="BC18" s="1023"/>
      <c r="BD18" s="1023"/>
      <c r="BE18" s="1023"/>
      <c r="BF18" s="1023"/>
      <c r="BG18" s="1023"/>
      <c r="BH18" s="1023"/>
      <c r="BI18" s="1023"/>
      <c r="BJ18" s="1023"/>
      <c r="BK18" s="1861"/>
      <c r="BL18" s="1024">
        <f t="shared" si="11"/>
        <v>0</v>
      </c>
      <c r="BM18" s="1023"/>
      <c r="BN18" s="1023"/>
      <c r="BO18" s="1023"/>
      <c r="BP18" s="1023"/>
      <c r="BQ18" s="1023"/>
      <c r="BR18" s="1023"/>
      <c r="BS18" s="1023"/>
      <c r="BT18" s="1023"/>
      <c r="BU18" s="1023"/>
      <c r="BV18" s="1023"/>
      <c r="BW18" s="1023"/>
      <c r="BX18" s="1023"/>
      <c r="BY18" s="1023"/>
      <c r="BZ18" s="1023"/>
      <c r="CA18" s="1023"/>
      <c r="CB18" s="1861"/>
      <c r="CC18" s="1024">
        <f t="shared" si="13"/>
        <v>0</v>
      </c>
      <c r="CD18" s="1023"/>
      <c r="CE18" s="1023"/>
      <c r="CF18" s="1023"/>
      <c r="CG18" s="1023"/>
      <c r="CH18" s="1023"/>
      <c r="CI18" s="1861"/>
      <c r="CJ18" s="1024">
        <f t="shared" si="14"/>
        <v>0</v>
      </c>
      <c r="CK18" s="1023"/>
      <c r="CL18" s="1023"/>
      <c r="CM18" s="1023"/>
      <c r="CN18" s="1861"/>
      <c r="CO18" s="1022"/>
      <c r="DA18" s="956">
        <v>34</v>
      </c>
    </row>
    <row r="19" spans="6:105" ht="35.65" customHeight="1">
      <c r="F19" s="1018" t="s">
        <v>1147</v>
      </c>
      <c r="G19" s="1025" t="s">
        <v>1148</v>
      </c>
      <c r="H19" s="1024">
        <f t="shared" si="0"/>
        <v>0</v>
      </c>
      <c r="I19" s="1023"/>
      <c r="J19" s="1013"/>
      <c r="K19" s="1024">
        <f t="shared" si="1"/>
        <v>0</v>
      </c>
      <c r="L19" s="1023"/>
      <c r="M19" s="1023"/>
      <c r="N19" s="1023"/>
      <c r="O19" s="1023"/>
      <c r="P19" s="1023"/>
      <c r="Q19" s="1023"/>
      <c r="R19" s="1023"/>
      <c r="S19" s="1861"/>
      <c r="T19" s="1024">
        <f t="shared" si="3"/>
        <v>0</v>
      </c>
      <c r="U19" s="1023"/>
      <c r="V19" s="1023"/>
      <c r="W19" s="1023"/>
      <c r="X19" s="1861"/>
      <c r="Y19" s="1024">
        <f t="shared" si="4"/>
        <v>0</v>
      </c>
      <c r="Z19" s="1023"/>
      <c r="AA19" s="1023"/>
      <c r="AB19" s="1023"/>
      <c r="AC19" s="1023"/>
      <c r="AD19" s="1023"/>
      <c r="AE19" s="1023"/>
      <c r="AF19" s="1023"/>
      <c r="AG19" s="1023"/>
      <c r="AH19" s="1861"/>
      <c r="AI19" s="1024">
        <f t="shared" si="6"/>
        <v>0</v>
      </c>
      <c r="AJ19" s="1023"/>
      <c r="AK19" s="1023"/>
      <c r="AL19" s="1023"/>
      <c r="AM19" s="1023"/>
      <c r="AN19" s="1023"/>
      <c r="AO19" s="1023"/>
      <c r="AP19" s="1023"/>
      <c r="AQ19" s="1023"/>
      <c r="AR19" s="1023"/>
      <c r="AS19" s="1023"/>
      <c r="AT19" s="1023"/>
      <c r="AU19" s="1861"/>
      <c r="AV19" s="1024">
        <f t="shared" si="8"/>
        <v>0</v>
      </c>
      <c r="AW19" s="1023"/>
      <c r="AX19" s="1023"/>
      <c r="AY19" s="1023"/>
      <c r="AZ19" s="1023"/>
      <c r="BA19" s="1861"/>
      <c r="BB19" s="1024">
        <f t="shared" si="9"/>
        <v>0</v>
      </c>
      <c r="BC19" s="1023"/>
      <c r="BD19" s="1023"/>
      <c r="BE19" s="1023"/>
      <c r="BF19" s="1023"/>
      <c r="BG19" s="1023"/>
      <c r="BH19" s="1023"/>
      <c r="BI19" s="1023"/>
      <c r="BJ19" s="1023"/>
      <c r="BK19" s="1861"/>
      <c r="BL19" s="1024">
        <f t="shared" si="11"/>
        <v>0</v>
      </c>
      <c r="BM19" s="1023"/>
      <c r="BN19" s="1023"/>
      <c r="BO19" s="1023"/>
      <c r="BP19" s="1023"/>
      <c r="BQ19" s="1023"/>
      <c r="BR19" s="1023"/>
      <c r="BS19" s="1023"/>
      <c r="BT19" s="1023"/>
      <c r="BU19" s="1023"/>
      <c r="BV19" s="1023"/>
      <c r="BW19" s="1023"/>
      <c r="BX19" s="1023"/>
      <c r="BY19" s="1023"/>
      <c r="BZ19" s="1023"/>
      <c r="CA19" s="1023"/>
      <c r="CB19" s="1861"/>
      <c r="CC19" s="1024">
        <f t="shared" si="13"/>
        <v>0</v>
      </c>
      <c r="CD19" s="1023"/>
      <c r="CE19" s="1023"/>
      <c r="CF19" s="1023"/>
      <c r="CG19" s="1023"/>
      <c r="CH19" s="1023"/>
      <c r="CI19" s="1861"/>
      <c r="CJ19" s="1024">
        <f t="shared" si="14"/>
        <v>0</v>
      </c>
      <c r="CK19" s="1023"/>
      <c r="CL19" s="1023"/>
      <c r="CM19" s="1023"/>
      <c r="CN19" s="1861"/>
      <c r="CO19" s="1022"/>
      <c r="DA19" s="956">
        <v>34</v>
      </c>
    </row>
    <row r="20" spans="6:105" ht="48.2" customHeight="1">
      <c r="F20" s="1018" t="s">
        <v>1149</v>
      </c>
      <c r="G20" s="1025" t="s">
        <v>1150</v>
      </c>
      <c r="H20" s="1024">
        <f t="shared" si="0"/>
        <v>0</v>
      </c>
      <c r="I20" s="1023"/>
      <c r="J20" s="1013"/>
      <c r="K20" s="1024">
        <f t="shared" si="1"/>
        <v>0</v>
      </c>
      <c r="L20" s="1023"/>
      <c r="M20" s="1023"/>
      <c r="N20" s="1023"/>
      <c r="O20" s="1023"/>
      <c r="P20" s="1023"/>
      <c r="Q20" s="1023"/>
      <c r="R20" s="1023"/>
      <c r="S20" s="1861"/>
      <c r="T20" s="1024">
        <f t="shared" si="3"/>
        <v>0</v>
      </c>
      <c r="U20" s="1023"/>
      <c r="V20" s="1023"/>
      <c r="W20" s="1023"/>
      <c r="X20" s="1861"/>
      <c r="Y20" s="1024">
        <f t="shared" si="4"/>
        <v>0</v>
      </c>
      <c r="Z20" s="1023"/>
      <c r="AA20" s="1023"/>
      <c r="AB20" s="1023"/>
      <c r="AC20" s="1023"/>
      <c r="AD20" s="1023"/>
      <c r="AE20" s="1023"/>
      <c r="AF20" s="1023"/>
      <c r="AG20" s="1023"/>
      <c r="AH20" s="1861"/>
      <c r="AI20" s="1024">
        <f t="shared" si="6"/>
        <v>0</v>
      </c>
      <c r="AJ20" s="1023"/>
      <c r="AK20" s="1023"/>
      <c r="AL20" s="1023"/>
      <c r="AM20" s="1023"/>
      <c r="AN20" s="1023"/>
      <c r="AO20" s="1023"/>
      <c r="AP20" s="1023"/>
      <c r="AQ20" s="1023"/>
      <c r="AR20" s="1023"/>
      <c r="AS20" s="1023"/>
      <c r="AT20" s="1023"/>
      <c r="AU20" s="1861"/>
      <c r="AV20" s="1024">
        <f t="shared" si="8"/>
        <v>0</v>
      </c>
      <c r="AW20" s="1023"/>
      <c r="AX20" s="1023"/>
      <c r="AY20" s="1023"/>
      <c r="AZ20" s="1023"/>
      <c r="BA20" s="1861"/>
      <c r="BB20" s="1024">
        <f t="shared" si="9"/>
        <v>0</v>
      </c>
      <c r="BC20" s="1023"/>
      <c r="BD20" s="1023"/>
      <c r="BE20" s="1023"/>
      <c r="BF20" s="1023"/>
      <c r="BG20" s="1023"/>
      <c r="BH20" s="1023"/>
      <c r="BI20" s="1023"/>
      <c r="BJ20" s="1023"/>
      <c r="BK20" s="1861"/>
      <c r="BL20" s="1024">
        <f t="shared" si="11"/>
        <v>0</v>
      </c>
      <c r="BM20" s="1023"/>
      <c r="BN20" s="1023"/>
      <c r="BO20" s="1023"/>
      <c r="BP20" s="1023"/>
      <c r="BQ20" s="1023"/>
      <c r="BR20" s="1023"/>
      <c r="BS20" s="1023"/>
      <c r="BT20" s="1023"/>
      <c r="BU20" s="1023"/>
      <c r="BV20" s="1023"/>
      <c r="BW20" s="1023"/>
      <c r="BX20" s="1023"/>
      <c r="BY20" s="1023"/>
      <c r="BZ20" s="1023"/>
      <c r="CA20" s="1023"/>
      <c r="CB20" s="1861"/>
      <c r="CC20" s="1024">
        <f t="shared" si="13"/>
        <v>0</v>
      </c>
      <c r="CD20" s="1023"/>
      <c r="CE20" s="1023"/>
      <c r="CF20" s="1023"/>
      <c r="CG20" s="1023"/>
      <c r="CH20" s="1023"/>
      <c r="CI20" s="1861"/>
      <c r="CJ20" s="1024">
        <f t="shared" si="14"/>
        <v>0</v>
      </c>
      <c r="CK20" s="1023"/>
      <c r="CL20" s="1023"/>
      <c r="CM20" s="1023"/>
      <c r="CN20" s="1861"/>
      <c r="CO20" s="1022"/>
      <c r="DA20" s="956">
        <v>46</v>
      </c>
    </row>
    <row r="21" spans="6:105" ht="35.65" customHeight="1">
      <c r="F21" s="1018" t="s">
        <v>1151</v>
      </c>
      <c r="G21" s="1025" t="s">
        <v>1152</v>
      </c>
      <c r="H21" s="1024">
        <f t="shared" si="0"/>
        <v>0</v>
      </c>
      <c r="I21" s="1023"/>
      <c r="J21" s="1013"/>
      <c r="K21" s="1024">
        <f t="shared" si="1"/>
        <v>0</v>
      </c>
      <c r="L21" s="1023"/>
      <c r="M21" s="1023"/>
      <c r="N21" s="1023"/>
      <c r="O21" s="1023"/>
      <c r="P21" s="1023"/>
      <c r="Q21" s="1023"/>
      <c r="R21" s="1023"/>
      <c r="S21" s="1861"/>
      <c r="T21" s="1024">
        <f t="shared" si="3"/>
        <v>0</v>
      </c>
      <c r="U21" s="1023"/>
      <c r="V21" s="1023"/>
      <c r="W21" s="1023"/>
      <c r="X21" s="1861"/>
      <c r="Y21" s="1024">
        <f t="shared" si="4"/>
        <v>0</v>
      </c>
      <c r="Z21" s="1023"/>
      <c r="AA21" s="1023"/>
      <c r="AB21" s="1023"/>
      <c r="AC21" s="1023"/>
      <c r="AD21" s="1023"/>
      <c r="AE21" s="1023"/>
      <c r="AF21" s="1023"/>
      <c r="AG21" s="1023"/>
      <c r="AH21" s="1861"/>
      <c r="AI21" s="1024">
        <f t="shared" si="6"/>
        <v>0</v>
      </c>
      <c r="AJ21" s="1023"/>
      <c r="AK21" s="1023"/>
      <c r="AL21" s="1023"/>
      <c r="AM21" s="1023"/>
      <c r="AN21" s="1023"/>
      <c r="AO21" s="1023"/>
      <c r="AP21" s="1023"/>
      <c r="AQ21" s="1023"/>
      <c r="AR21" s="1023"/>
      <c r="AS21" s="1023"/>
      <c r="AT21" s="1023"/>
      <c r="AU21" s="1861"/>
      <c r="AV21" s="1024">
        <f t="shared" si="8"/>
        <v>0</v>
      </c>
      <c r="AW21" s="1023"/>
      <c r="AX21" s="1023"/>
      <c r="AY21" s="1023"/>
      <c r="AZ21" s="1023"/>
      <c r="BA21" s="1861"/>
      <c r="BB21" s="1024">
        <f t="shared" si="9"/>
        <v>0</v>
      </c>
      <c r="BC21" s="1023"/>
      <c r="BD21" s="1023"/>
      <c r="BE21" s="1023"/>
      <c r="BF21" s="1023"/>
      <c r="BG21" s="1023"/>
      <c r="BH21" s="1023"/>
      <c r="BI21" s="1023"/>
      <c r="BJ21" s="1023"/>
      <c r="BK21" s="1861"/>
      <c r="BL21" s="1024">
        <f t="shared" si="11"/>
        <v>0</v>
      </c>
      <c r="BM21" s="1023"/>
      <c r="BN21" s="1023"/>
      <c r="BO21" s="1023"/>
      <c r="BP21" s="1023"/>
      <c r="BQ21" s="1023"/>
      <c r="BR21" s="1023"/>
      <c r="BS21" s="1023"/>
      <c r="BT21" s="1023"/>
      <c r="BU21" s="1023"/>
      <c r="BV21" s="1023"/>
      <c r="BW21" s="1023"/>
      <c r="BX21" s="1023"/>
      <c r="BY21" s="1023"/>
      <c r="BZ21" s="1023"/>
      <c r="CA21" s="1023"/>
      <c r="CB21" s="1861"/>
      <c r="CC21" s="1024">
        <f t="shared" si="13"/>
        <v>0</v>
      </c>
      <c r="CD21" s="1023"/>
      <c r="CE21" s="1023"/>
      <c r="CF21" s="1023"/>
      <c r="CG21" s="1023"/>
      <c r="CH21" s="1023"/>
      <c r="CI21" s="1861"/>
      <c r="CJ21" s="1024">
        <f t="shared" si="14"/>
        <v>0</v>
      </c>
      <c r="CK21" s="1023"/>
      <c r="CL21" s="1023"/>
      <c r="CM21" s="1023"/>
      <c r="CN21" s="1861"/>
      <c r="CO21" s="1022"/>
      <c r="DA21" s="956">
        <v>34</v>
      </c>
    </row>
    <row r="22" spans="6:105" ht="35.65" customHeight="1">
      <c r="F22" s="1018" t="s">
        <v>1153</v>
      </c>
      <c r="G22" s="1025" t="s">
        <v>1154</v>
      </c>
      <c r="H22" s="1024">
        <f t="shared" si="0"/>
        <v>0</v>
      </c>
      <c r="I22" s="1023"/>
      <c r="J22" s="1013"/>
      <c r="K22" s="1024">
        <f t="shared" si="1"/>
        <v>0</v>
      </c>
      <c r="L22" s="1023"/>
      <c r="M22" s="1023"/>
      <c r="N22" s="1023"/>
      <c r="O22" s="1023"/>
      <c r="P22" s="1023"/>
      <c r="Q22" s="1023"/>
      <c r="R22" s="1023"/>
      <c r="S22" s="1861"/>
      <c r="T22" s="1024">
        <f t="shared" si="3"/>
        <v>0</v>
      </c>
      <c r="U22" s="1023"/>
      <c r="V22" s="1023"/>
      <c r="W22" s="1023"/>
      <c r="X22" s="1861"/>
      <c r="Y22" s="1024">
        <f t="shared" si="4"/>
        <v>0</v>
      </c>
      <c r="Z22" s="1023"/>
      <c r="AA22" s="1023"/>
      <c r="AB22" s="1023"/>
      <c r="AC22" s="1023"/>
      <c r="AD22" s="1023"/>
      <c r="AE22" s="1023"/>
      <c r="AF22" s="1023"/>
      <c r="AG22" s="1023"/>
      <c r="AH22" s="1861"/>
      <c r="AI22" s="1024">
        <f t="shared" si="6"/>
        <v>0</v>
      </c>
      <c r="AJ22" s="1023"/>
      <c r="AK22" s="1023"/>
      <c r="AL22" s="1023"/>
      <c r="AM22" s="1023"/>
      <c r="AN22" s="1023"/>
      <c r="AO22" s="1023"/>
      <c r="AP22" s="1023"/>
      <c r="AQ22" s="1023"/>
      <c r="AR22" s="1023"/>
      <c r="AS22" s="1023"/>
      <c r="AT22" s="1023"/>
      <c r="AU22" s="1861"/>
      <c r="AV22" s="1024">
        <f t="shared" si="8"/>
        <v>0</v>
      </c>
      <c r="AW22" s="1023"/>
      <c r="AX22" s="1023"/>
      <c r="AY22" s="1023"/>
      <c r="AZ22" s="1023"/>
      <c r="BA22" s="1861"/>
      <c r="BB22" s="1024">
        <f t="shared" si="9"/>
        <v>0</v>
      </c>
      <c r="BC22" s="1023"/>
      <c r="BD22" s="1023"/>
      <c r="BE22" s="1023"/>
      <c r="BF22" s="1023"/>
      <c r="BG22" s="1023"/>
      <c r="BH22" s="1023"/>
      <c r="BI22" s="1023"/>
      <c r="BJ22" s="1023"/>
      <c r="BK22" s="1861"/>
      <c r="BL22" s="1024">
        <f t="shared" si="11"/>
        <v>0</v>
      </c>
      <c r="BM22" s="1023"/>
      <c r="BN22" s="1023"/>
      <c r="BO22" s="1023"/>
      <c r="BP22" s="1023"/>
      <c r="BQ22" s="1023"/>
      <c r="BR22" s="1023"/>
      <c r="BS22" s="1023"/>
      <c r="BT22" s="1023"/>
      <c r="BU22" s="1023"/>
      <c r="BV22" s="1023"/>
      <c r="BW22" s="1023"/>
      <c r="BX22" s="1023"/>
      <c r="BY22" s="1023"/>
      <c r="BZ22" s="1023"/>
      <c r="CA22" s="1023"/>
      <c r="CB22" s="1861"/>
      <c r="CC22" s="1024">
        <f t="shared" si="13"/>
        <v>0</v>
      </c>
      <c r="CD22" s="1023"/>
      <c r="CE22" s="1023"/>
      <c r="CF22" s="1023"/>
      <c r="CG22" s="1023"/>
      <c r="CH22" s="1023"/>
      <c r="CI22" s="1861"/>
      <c r="CJ22" s="1024">
        <f t="shared" si="14"/>
        <v>0</v>
      </c>
      <c r="CK22" s="1023"/>
      <c r="CL22" s="1023"/>
      <c r="CM22" s="1023"/>
      <c r="CN22" s="1861"/>
      <c r="CO22" s="1022"/>
      <c r="DA22" s="956">
        <v>34</v>
      </c>
    </row>
    <row r="23" spans="6:105" ht="24" customHeight="1">
      <c r="F23" s="1018" t="s">
        <v>1155</v>
      </c>
      <c r="G23" s="1025" t="s">
        <v>1156</v>
      </c>
      <c r="H23" s="1024">
        <f t="shared" si="0"/>
        <v>0</v>
      </c>
      <c r="I23" s="1023"/>
      <c r="J23" s="1013"/>
      <c r="K23" s="1024">
        <f t="shared" si="1"/>
        <v>0</v>
      </c>
      <c r="L23" s="1023"/>
      <c r="M23" s="1023"/>
      <c r="N23" s="1023"/>
      <c r="O23" s="1023"/>
      <c r="P23" s="1023"/>
      <c r="Q23" s="1023"/>
      <c r="R23" s="1023"/>
      <c r="S23" s="1861"/>
      <c r="T23" s="1024">
        <f t="shared" si="3"/>
        <v>0</v>
      </c>
      <c r="U23" s="1023"/>
      <c r="V23" s="1023"/>
      <c r="W23" s="1023"/>
      <c r="X23" s="1861"/>
      <c r="Y23" s="1024">
        <f t="shared" si="4"/>
        <v>0</v>
      </c>
      <c r="Z23" s="1023"/>
      <c r="AA23" s="1023"/>
      <c r="AB23" s="1023"/>
      <c r="AC23" s="1023"/>
      <c r="AD23" s="1023"/>
      <c r="AE23" s="1023"/>
      <c r="AF23" s="1023"/>
      <c r="AG23" s="1023"/>
      <c r="AH23" s="1861"/>
      <c r="AI23" s="1024">
        <f t="shared" si="6"/>
        <v>0</v>
      </c>
      <c r="AJ23" s="1023"/>
      <c r="AK23" s="1023"/>
      <c r="AL23" s="1023"/>
      <c r="AM23" s="1023"/>
      <c r="AN23" s="1023"/>
      <c r="AO23" s="1023"/>
      <c r="AP23" s="1023"/>
      <c r="AQ23" s="1023"/>
      <c r="AR23" s="1023"/>
      <c r="AS23" s="1023"/>
      <c r="AT23" s="1023"/>
      <c r="AU23" s="1861"/>
      <c r="AV23" s="1024">
        <f t="shared" si="8"/>
        <v>0</v>
      </c>
      <c r="AW23" s="1023"/>
      <c r="AX23" s="1023"/>
      <c r="AY23" s="1023"/>
      <c r="AZ23" s="1023"/>
      <c r="BA23" s="1861"/>
      <c r="BB23" s="1024">
        <f t="shared" si="9"/>
        <v>0</v>
      </c>
      <c r="BC23" s="1023"/>
      <c r="BD23" s="1023"/>
      <c r="BE23" s="1023"/>
      <c r="BF23" s="1023"/>
      <c r="BG23" s="1023"/>
      <c r="BH23" s="1023"/>
      <c r="BI23" s="1023"/>
      <c r="BJ23" s="1023"/>
      <c r="BK23" s="1861"/>
      <c r="BL23" s="1024">
        <f t="shared" si="11"/>
        <v>0</v>
      </c>
      <c r="BM23" s="1023"/>
      <c r="BN23" s="1023"/>
      <c r="BO23" s="1023"/>
      <c r="BP23" s="1023"/>
      <c r="BQ23" s="1023"/>
      <c r="BR23" s="1023"/>
      <c r="BS23" s="1023"/>
      <c r="BT23" s="1023"/>
      <c r="BU23" s="1023"/>
      <c r="BV23" s="1023"/>
      <c r="BW23" s="1023"/>
      <c r="BX23" s="1023"/>
      <c r="BY23" s="1023"/>
      <c r="BZ23" s="1023"/>
      <c r="CA23" s="1023"/>
      <c r="CB23" s="1861"/>
      <c r="CC23" s="1024">
        <f t="shared" si="13"/>
        <v>0</v>
      </c>
      <c r="CD23" s="1023"/>
      <c r="CE23" s="1023"/>
      <c r="CF23" s="1023"/>
      <c r="CG23" s="1023"/>
      <c r="CH23" s="1023"/>
      <c r="CI23" s="1861"/>
      <c r="CJ23" s="1024">
        <f t="shared" si="14"/>
        <v>0</v>
      </c>
      <c r="CK23" s="1023"/>
      <c r="CL23" s="1023"/>
      <c r="CM23" s="1023"/>
      <c r="CN23" s="1861"/>
      <c r="CO23" s="1022"/>
      <c r="DA23" s="956">
        <v>23</v>
      </c>
    </row>
    <row r="24" spans="6:105" ht="24" customHeight="1">
      <c r="F24" s="1018" t="s">
        <v>1157</v>
      </c>
      <c r="G24" s="1025" t="s">
        <v>1158</v>
      </c>
      <c r="H24" s="1024">
        <f t="shared" si="0"/>
        <v>0</v>
      </c>
      <c r="I24" s="1023"/>
      <c r="J24" s="1013"/>
      <c r="K24" s="1024">
        <f t="shared" si="1"/>
        <v>0</v>
      </c>
      <c r="L24" s="1023"/>
      <c r="M24" s="1023"/>
      <c r="N24" s="1023"/>
      <c r="O24" s="1023"/>
      <c r="P24" s="1023"/>
      <c r="Q24" s="1023"/>
      <c r="R24" s="1023"/>
      <c r="S24" s="1861"/>
      <c r="T24" s="1024">
        <f t="shared" si="3"/>
        <v>0</v>
      </c>
      <c r="U24" s="1023"/>
      <c r="V24" s="1023"/>
      <c r="W24" s="1023"/>
      <c r="X24" s="1861"/>
      <c r="Y24" s="1024">
        <f t="shared" si="4"/>
        <v>0</v>
      </c>
      <c r="Z24" s="1023"/>
      <c r="AA24" s="1023"/>
      <c r="AB24" s="1023"/>
      <c r="AC24" s="1023"/>
      <c r="AD24" s="1023"/>
      <c r="AE24" s="1023"/>
      <c r="AF24" s="1023"/>
      <c r="AG24" s="1023"/>
      <c r="AH24" s="1861"/>
      <c r="AI24" s="1024">
        <f t="shared" si="6"/>
        <v>0</v>
      </c>
      <c r="AJ24" s="1023"/>
      <c r="AK24" s="1023"/>
      <c r="AL24" s="1023"/>
      <c r="AM24" s="1023"/>
      <c r="AN24" s="1023"/>
      <c r="AO24" s="1023"/>
      <c r="AP24" s="1023"/>
      <c r="AQ24" s="1023"/>
      <c r="AR24" s="1023"/>
      <c r="AS24" s="1023"/>
      <c r="AT24" s="1023"/>
      <c r="AU24" s="1861"/>
      <c r="AV24" s="1024">
        <f t="shared" si="8"/>
        <v>0</v>
      </c>
      <c r="AW24" s="1023"/>
      <c r="AX24" s="1023"/>
      <c r="AY24" s="1023"/>
      <c r="AZ24" s="1023"/>
      <c r="BA24" s="1861"/>
      <c r="BB24" s="1024">
        <f t="shared" si="9"/>
        <v>0</v>
      </c>
      <c r="BC24" s="1023"/>
      <c r="BD24" s="1023"/>
      <c r="BE24" s="1023"/>
      <c r="BF24" s="1023"/>
      <c r="BG24" s="1023"/>
      <c r="BH24" s="1023"/>
      <c r="BI24" s="1023"/>
      <c r="BJ24" s="1023"/>
      <c r="BK24" s="1861"/>
      <c r="BL24" s="1024">
        <f t="shared" si="11"/>
        <v>0</v>
      </c>
      <c r="BM24" s="1023"/>
      <c r="BN24" s="1023"/>
      <c r="BO24" s="1023"/>
      <c r="BP24" s="1023"/>
      <c r="BQ24" s="1023"/>
      <c r="BR24" s="1023"/>
      <c r="BS24" s="1023"/>
      <c r="BT24" s="1023"/>
      <c r="BU24" s="1023"/>
      <c r="BV24" s="1023"/>
      <c r="BW24" s="1023"/>
      <c r="BX24" s="1023"/>
      <c r="BY24" s="1023"/>
      <c r="BZ24" s="1023"/>
      <c r="CA24" s="1023"/>
      <c r="CB24" s="1861"/>
      <c r="CC24" s="1024">
        <f t="shared" si="13"/>
        <v>0</v>
      </c>
      <c r="CD24" s="1023"/>
      <c r="CE24" s="1023"/>
      <c r="CF24" s="1023"/>
      <c r="CG24" s="1023"/>
      <c r="CH24" s="1023"/>
      <c r="CI24" s="1861"/>
      <c r="CJ24" s="1024">
        <f t="shared" si="14"/>
        <v>0</v>
      </c>
      <c r="CK24" s="1023"/>
      <c r="CL24" s="1023"/>
      <c r="CM24" s="1023"/>
      <c r="CN24" s="1861"/>
      <c r="CO24" s="1022"/>
      <c r="DA24" s="956">
        <v>23</v>
      </c>
    </row>
    <row r="25" spans="6:105" ht="35.65" customHeight="1">
      <c r="F25" s="1018" t="s">
        <v>1159</v>
      </c>
      <c r="G25" s="1025" t="s">
        <v>1160</v>
      </c>
      <c r="H25" s="1024">
        <f t="shared" si="0"/>
        <v>0</v>
      </c>
      <c r="I25" s="1023"/>
      <c r="J25" s="1013"/>
      <c r="K25" s="1024">
        <f t="shared" si="1"/>
        <v>0</v>
      </c>
      <c r="L25" s="1023"/>
      <c r="M25" s="1023"/>
      <c r="N25" s="1023"/>
      <c r="O25" s="1023"/>
      <c r="P25" s="1023"/>
      <c r="Q25" s="1023"/>
      <c r="R25" s="1023"/>
      <c r="S25" s="1861"/>
      <c r="T25" s="1024">
        <f t="shared" si="3"/>
        <v>0</v>
      </c>
      <c r="U25" s="1023"/>
      <c r="V25" s="1023"/>
      <c r="W25" s="1023"/>
      <c r="X25" s="1861"/>
      <c r="Y25" s="1024">
        <f t="shared" si="4"/>
        <v>0</v>
      </c>
      <c r="Z25" s="1023"/>
      <c r="AA25" s="1023"/>
      <c r="AB25" s="1023"/>
      <c r="AC25" s="1023"/>
      <c r="AD25" s="1023"/>
      <c r="AE25" s="1023"/>
      <c r="AF25" s="1023"/>
      <c r="AG25" s="1023"/>
      <c r="AH25" s="1861"/>
      <c r="AI25" s="1024">
        <f t="shared" si="6"/>
        <v>0</v>
      </c>
      <c r="AJ25" s="1023"/>
      <c r="AK25" s="1023"/>
      <c r="AL25" s="1023"/>
      <c r="AM25" s="1023"/>
      <c r="AN25" s="1023"/>
      <c r="AO25" s="1023"/>
      <c r="AP25" s="1023"/>
      <c r="AQ25" s="1023"/>
      <c r="AR25" s="1023"/>
      <c r="AS25" s="1023"/>
      <c r="AT25" s="1023"/>
      <c r="AU25" s="1861"/>
      <c r="AV25" s="1024">
        <f t="shared" si="8"/>
        <v>0</v>
      </c>
      <c r="AW25" s="1023"/>
      <c r="AX25" s="1023"/>
      <c r="AY25" s="1023"/>
      <c r="AZ25" s="1023"/>
      <c r="BA25" s="1861"/>
      <c r="BB25" s="1024">
        <f t="shared" si="9"/>
        <v>0</v>
      </c>
      <c r="BC25" s="1023"/>
      <c r="BD25" s="1023"/>
      <c r="BE25" s="1023"/>
      <c r="BF25" s="1023"/>
      <c r="BG25" s="1023"/>
      <c r="BH25" s="1023"/>
      <c r="BI25" s="1023"/>
      <c r="BJ25" s="1023"/>
      <c r="BK25" s="1861"/>
      <c r="BL25" s="1024">
        <f t="shared" si="11"/>
        <v>0</v>
      </c>
      <c r="BM25" s="1023"/>
      <c r="BN25" s="1023"/>
      <c r="BO25" s="1023"/>
      <c r="BP25" s="1023"/>
      <c r="BQ25" s="1023"/>
      <c r="BR25" s="1023"/>
      <c r="BS25" s="1023"/>
      <c r="BT25" s="1023"/>
      <c r="BU25" s="1023"/>
      <c r="BV25" s="1023"/>
      <c r="BW25" s="1023"/>
      <c r="BX25" s="1023"/>
      <c r="BY25" s="1023"/>
      <c r="BZ25" s="1023"/>
      <c r="CA25" s="1023"/>
      <c r="CB25" s="1861"/>
      <c r="CC25" s="1024">
        <f t="shared" si="13"/>
        <v>0</v>
      </c>
      <c r="CD25" s="1023"/>
      <c r="CE25" s="1023"/>
      <c r="CF25" s="1023"/>
      <c r="CG25" s="1023"/>
      <c r="CH25" s="1023"/>
      <c r="CI25" s="1861"/>
      <c r="CJ25" s="1024">
        <f t="shared" si="14"/>
        <v>0</v>
      </c>
      <c r="CK25" s="1023"/>
      <c r="CL25" s="1023"/>
      <c r="CM25" s="1023"/>
      <c r="CN25" s="1861"/>
      <c r="CO25" s="1022"/>
      <c r="DA25" s="956">
        <v>34</v>
      </c>
    </row>
    <row r="26" spans="6:105" ht="35.65" customHeight="1">
      <c r="F26" s="1018" t="s">
        <v>1161</v>
      </c>
      <c r="G26" s="1025" t="s">
        <v>1162</v>
      </c>
      <c r="H26" s="1024">
        <f t="shared" si="0"/>
        <v>0</v>
      </c>
      <c r="I26" s="1023"/>
      <c r="J26" s="1013"/>
      <c r="K26" s="1024">
        <f t="shared" si="1"/>
        <v>0</v>
      </c>
      <c r="L26" s="1023"/>
      <c r="M26" s="1023"/>
      <c r="N26" s="1023"/>
      <c r="O26" s="1023"/>
      <c r="P26" s="1023"/>
      <c r="Q26" s="1023"/>
      <c r="R26" s="1023"/>
      <c r="S26" s="1861"/>
      <c r="T26" s="1024">
        <f t="shared" si="3"/>
        <v>0</v>
      </c>
      <c r="U26" s="1023"/>
      <c r="V26" s="1023"/>
      <c r="W26" s="1023"/>
      <c r="X26" s="1861"/>
      <c r="Y26" s="1024">
        <f t="shared" si="4"/>
        <v>0</v>
      </c>
      <c r="Z26" s="1023"/>
      <c r="AA26" s="1023"/>
      <c r="AB26" s="1023"/>
      <c r="AC26" s="1023"/>
      <c r="AD26" s="1023"/>
      <c r="AE26" s="1023"/>
      <c r="AF26" s="1023"/>
      <c r="AG26" s="1023"/>
      <c r="AH26" s="1861"/>
      <c r="AI26" s="1024">
        <f t="shared" si="6"/>
        <v>0</v>
      </c>
      <c r="AJ26" s="1023"/>
      <c r="AK26" s="1023"/>
      <c r="AL26" s="1023"/>
      <c r="AM26" s="1023"/>
      <c r="AN26" s="1023"/>
      <c r="AO26" s="1023"/>
      <c r="AP26" s="1023"/>
      <c r="AQ26" s="1023"/>
      <c r="AR26" s="1023"/>
      <c r="AS26" s="1023"/>
      <c r="AT26" s="1023"/>
      <c r="AU26" s="1861"/>
      <c r="AV26" s="1024">
        <f t="shared" si="8"/>
        <v>0</v>
      </c>
      <c r="AW26" s="1023"/>
      <c r="AX26" s="1023"/>
      <c r="AY26" s="1023"/>
      <c r="AZ26" s="1023"/>
      <c r="BA26" s="1861"/>
      <c r="BB26" s="1024">
        <f t="shared" si="9"/>
        <v>0</v>
      </c>
      <c r="BC26" s="1023"/>
      <c r="BD26" s="1023"/>
      <c r="BE26" s="1023"/>
      <c r="BF26" s="1023"/>
      <c r="BG26" s="1023"/>
      <c r="BH26" s="1023"/>
      <c r="BI26" s="1023"/>
      <c r="BJ26" s="1023"/>
      <c r="BK26" s="1861"/>
      <c r="BL26" s="1024">
        <f t="shared" si="11"/>
        <v>0</v>
      </c>
      <c r="BM26" s="1023"/>
      <c r="BN26" s="1023"/>
      <c r="BO26" s="1023"/>
      <c r="BP26" s="1023"/>
      <c r="BQ26" s="1023"/>
      <c r="BR26" s="1023"/>
      <c r="BS26" s="1023"/>
      <c r="BT26" s="1023"/>
      <c r="BU26" s="1023"/>
      <c r="BV26" s="1023"/>
      <c r="BW26" s="1023"/>
      <c r="BX26" s="1023"/>
      <c r="BY26" s="1023"/>
      <c r="BZ26" s="1023"/>
      <c r="CA26" s="1023"/>
      <c r="CB26" s="1861"/>
      <c r="CC26" s="1024">
        <f t="shared" si="13"/>
        <v>0</v>
      </c>
      <c r="CD26" s="1023"/>
      <c r="CE26" s="1023"/>
      <c r="CF26" s="1023"/>
      <c r="CG26" s="1023"/>
      <c r="CH26" s="1023"/>
      <c r="CI26" s="1861"/>
      <c r="CJ26" s="1024">
        <f t="shared" si="14"/>
        <v>0</v>
      </c>
      <c r="CK26" s="1023"/>
      <c r="CL26" s="1023"/>
      <c r="CM26" s="1023"/>
      <c r="CN26" s="1861"/>
      <c r="CO26" s="1022"/>
      <c r="DA26" s="956">
        <v>34</v>
      </c>
    </row>
    <row r="27" spans="6:105" ht="11.45" customHeight="1">
      <c r="F27" s="1018" t="s">
        <v>1163</v>
      </c>
      <c r="G27" s="1025" t="s">
        <v>1164</v>
      </c>
      <c r="H27" s="1024">
        <f t="shared" si="0"/>
        <v>0</v>
      </c>
      <c r="I27" s="1023"/>
      <c r="J27" s="1013"/>
      <c r="K27" s="1024">
        <f t="shared" si="1"/>
        <v>0</v>
      </c>
      <c r="L27" s="1023"/>
      <c r="M27" s="1023"/>
      <c r="N27" s="1023"/>
      <c r="O27" s="1023"/>
      <c r="P27" s="1023"/>
      <c r="Q27" s="1023"/>
      <c r="R27" s="1023"/>
      <c r="S27" s="1861"/>
      <c r="T27" s="1024">
        <f t="shared" si="3"/>
        <v>0</v>
      </c>
      <c r="U27" s="1023"/>
      <c r="V27" s="1023"/>
      <c r="W27" s="1023"/>
      <c r="X27" s="1861"/>
      <c r="Y27" s="1024">
        <f t="shared" si="4"/>
        <v>0</v>
      </c>
      <c r="Z27" s="1023"/>
      <c r="AA27" s="1023"/>
      <c r="AB27" s="1023"/>
      <c r="AC27" s="1023"/>
      <c r="AD27" s="1023"/>
      <c r="AE27" s="1023"/>
      <c r="AF27" s="1023"/>
      <c r="AG27" s="1023"/>
      <c r="AH27" s="1861"/>
      <c r="AI27" s="1024">
        <f t="shared" si="6"/>
        <v>0</v>
      </c>
      <c r="AJ27" s="1023"/>
      <c r="AK27" s="1023"/>
      <c r="AL27" s="1023"/>
      <c r="AM27" s="1023"/>
      <c r="AN27" s="1023"/>
      <c r="AO27" s="1023"/>
      <c r="AP27" s="1023"/>
      <c r="AQ27" s="1023"/>
      <c r="AR27" s="1023"/>
      <c r="AS27" s="1023"/>
      <c r="AT27" s="1023"/>
      <c r="AU27" s="1861"/>
      <c r="AV27" s="1024">
        <f t="shared" si="8"/>
        <v>0</v>
      </c>
      <c r="AW27" s="1023"/>
      <c r="AX27" s="1023"/>
      <c r="AY27" s="1023"/>
      <c r="AZ27" s="1023"/>
      <c r="BA27" s="1861"/>
      <c r="BB27" s="1024">
        <f t="shared" si="9"/>
        <v>0</v>
      </c>
      <c r="BC27" s="1023"/>
      <c r="BD27" s="1023"/>
      <c r="BE27" s="1023"/>
      <c r="BF27" s="1023"/>
      <c r="BG27" s="1023"/>
      <c r="BH27" s="1023"/>
      <c r="BI27" s="1023"/>
      <c r="BJ27" s="1023"/>
      <c r="BK27" s="1861"/>
      <c r="BL27" s="1024">
        <f t="shared" si="11"/>
        <v>0</v>
      </c>
      <c r="BM27" s="1023"/>
      <c r="BN27" s="1023"/>
      <c r="BO27" s="1023"/>
      <c r="BP27" s="1023"/>
      <c r="BQ27" s="1023"/>
      <c r="BR27" s="1023"/>
      <c r="BS27" s="1023"/>
      <c r="BT27" s="1023"/>
      <c r="BU27" s="1023"/>
      <c r="BV27" s="1023"/>
      <c r="BW27" s="1023"/>
      <c r="BX27" s="1023"/>
      <c r="BY27" s="1023"/>
      <c r="BZ27" s="1023"/>
      <c r="CA27" s="1023"/>
      <c r="CB27" s="1861"/>
      <c r="CC27" s="1024">
        <f t="shared" si="13"/>
        <v>0</v>
      </c>
      <c r="CD27" s="1023"/>
      <c r="CE27" s="1023"/>
      <c r="CF27" s="1023"/>
      <c r="CG27" s="1023"/>
      <c r="CH27" s="1023"/>
      <c r="CI27" s="1861"/>
      <c r="CJ27" s="1024">
        <f t="shared" si="14"/>
        <v>0</v>
      </c>
      <c r="CK27" s="1023"/>
      <c r="CL27" s="1023"/>
      <c r="CM27" s="1023"/>
      <c r="CN27" s="1861"/>
      <c r="CO27" s="1022"/>
      <c r="DA27" s="956">
        <v>11</v>
      </c>
    </row>
    <row r="28" spans="6:105" ht="11.45" customHeight="1">
      <c r="F28" s="1018">
        <v>2</v>
      </c>
      <c r="G28" s="611" t="s">
        <v>1165</v>
      </c>
      <c r="H28" s="1024">
        <f t="shared" si="0"/>
        <v>0</v>
      </c>
      <c r="I28" s="1024">
        <f>SUM(I29:I31)</f>
        <v>0</v>
      </c>
      <c r="J28" s="1013"/>
      <c r="K28" s="1024">
        <f t="shared" si="1"/>
        <v>0</v>
      </c>
      <c r="L28" s="1024">
        <f t="shared" ref="L28:R28" si="15">SUM(L29:L31)</f>
        <v>0</v>
      </c>
      <c r="M28" s="1024">
        <f t="shared" si="15"/>
        <v>0</v>
      </c>
      <c r="N28" s="1024">
        <f t="shared" si="15"/>
        <v>0</v>
      </c>
      <c r="O28" s="1024">
        <f t="shared" si="15"/>
        <v>0</v>
      </c>
      <c r="P28" s="1024">
        <f t="shared" si="15"/>
        <v>0</v>
      </c>
      <c r="Q28" s="1024">
        <f t="shared" si="15"/>
        <v>0</v>
      </c>
      <c r="R28" s="1024">
        <f t="shared" si="15"/>
        <v>0</v>
      </c>
      <c r="S28" s="1861"/>
      <c r="T28" s="1024">
        <f t="shared" si="3"/>
        <v>0</v>
      </c>
      <c r="U28" s="1024">
        <f>SUM(U29:U31)</f>
        <v>0</v>
      </c>
      <c r="V28" s="1024">
        <f>SUM(V29:V31)</f>
        <v>0</v>
      </c>
      <c r="W28" s="1024">
        <f>SUM(W29:W31)</f>
        <v>0</v>
      </c>
      <c r="X28" s="1861"/>
      <c r="Y28" s="1024">
        <f t="shared" si="4"/>
        <v>0</v>
      </c>
      <c r="Z28" s="1024">
        <f t="shared" ref="Z28:AG28" si="16">SUM(Z29:Z31)</f>
        <v>0</v>
      </c>
      <c r="AA28" s="1024">
        <f t="shared" si="16"/>
        <v>0</v>
      </c>
      <c r="AB28" s="1024">
        <f t="shared" si="16"/>
        <v>0</v>
      </c>
      <c r="AC28" s="1024">
        <f t="shared" si="16"/>
        <v>0</v>
      </c>
      <c r="AD28" s="1024">
        <f t="shared" si="16"/>
        <v>0</v>
      </c>
      <c r="AE28" s="1024">
        <f t="shared" si="16"/>
        <v>0</v>
      </c>
      <c r="AF28" s="1024">
        <f t="shared" si="16"/>
        <v>0</v>
      </c>
      <c r="AG28" s="1024">
        <f t="shared" si="16"/>
        <v>0</v>
      </c>
      <c r="AH28" s="1861"/>
      <c r="AI28" s="1024">
        <f t="shared" si="6"/>
        <v>0</v>
      </c>
      <c r="AJ28" s="1024">
        <f t="shared" ref="AJ28:AT28" si="17">SUM(AJ29:AJ31)</f>
        <v>0</v>
      </c>
      <c r="AK28" s="1024">
        <f t="shared" si="17"/>
        <v>0</v>
      </c>
      <c r="AL28" s="1024">
        <f t="shared" si="17"/>
        <v>0</v>
      </c>
      <c r="AM28" s="1024">
        <f t="shared" si="17"/>
        <v>0</v>
      </c>
      <c r="AN28" s="1024">
        <f t="shared" si="17"/>
        <v>0</v>
      </c>
      <c r="AO28" s="1024">
        <f t="shared" si="17"/>
        <v>0</v>
      </c>
      <c r="AP28" s="1024">
        <f t="shared" si="17"/>
        <v>0</v>
      </c>
      <c r="AQ28" s="1024">
        <f t="shared" si="17"/>
        <v>0</v>
      </c>
      <c r="AR28" s="1024">
        <f t="shared" si="17"/>
        <v>0</v>
      </c>
      <c r="AS28" s="1024">
        <f t="shared" si="17"/>
        <v>0</v>
      </c>
      <c r="AT28" s="1024">
        <f t="shared" si="17"/>
        <v>0</v>
      </c>
      <c r="AU28" s="1861"/>
      <c r="AV28" s="1024">
        <f t="shared" si="8"/>
        <v>0</v>
      </c>
      <c r="AW28" s="1024">
        <f>SUM(AW29:AW31)</f>
        <v>0</v>
      </c>
      <c r="AX28" s="1024">
        <f>SUM(AX29:AX31)</f>
        <v>0</v>
      </c>
      <c r="AY28" s="1024">
        <f>SUM(AY29:AY31)</f>
        <v>0</v>
      </c>
      <c r="AZ28" s="1024">
        <f>SUM(AZ29:AZ31)</f>
        <v>0</v>
      </c>
      <c r="BA28" s="1861"/>
      <c r="BB28" s="1024">
        <f t="shared" si="9"/>
        <v>0</v>
      </c>
      <c r="BC28" s="1024">
        <f t="shared" ref="BC28:BJ28" si="18">SUM(BC29:BC31)</f>
        <v>0</v>
      </c>
      <c r="BD28" s="1024">
        <f t="shared" si="18"/>
        <v>0</v>
      </c>
      <c r="BE28" s="1024">
        <f t="shared" si="18"/>
        <v>0</v>
      </c>
      <c r="BF28" s="1024">
        <f t="shared" si="18"/>
        <v>0</v>
      </c>
      <c r="BG28" s="1024">
        <f t="shared" si="18"/>
        <v>0</v>
      </c>
      <c r="BH28" s="1024">
        <f t="shared" si="18"/>
        <v>0</v>
      </c>
      <c r="BI28" s="1024">
        <f t="shared" si="18"/>
        <v>0</v>
      </c>
      <c r="BJ28" s="1024">
        <f t="shared" si="18"/>
        <v>0</v>
      </c>
      <c r="BK28" s="1861"/>
      <c r="BL28" s="1024">
        <f t="shared" si="11"/>
        <v>0</v>
      </c>
      <c r="BM28" s="1024">
        <f t="shared" ref="BM28:CA28" si="19">SUM(BM29:BM31)</f>
        <v>0</v>
      </c>
      <c r="BN28" s="1024">
        <f t="shared" si="19"/>
        <v>0</v>
      </c>
      <c r="BO28" s="1024">
        <f t="shared" si="19"/>
        <v>0</v>
      </c>
      <c r="BP28" s="1024">
        <f t="shared" si="19"/>
        <v>0</v>
      </c>
      <c r="BQ28" s="1024">
        <f t="shared" si="19"/>
        <v>0</v>
      </c>
      <c r="BR28" s="1024">
        <f t="shared" si="19"/>
        <v>0</v>
      </c>
      <c r="BS28" s="1024">
        <f t="shared" si="19"/>
        <v>0</v>
      </c>
      <c r="BT28" s="1024">
        <f t="shared" si="19"/>
        <v>0</v>
      </c>
      <c r="BU28" s="1024">
        <f t="shared" si="19"/>
        <v>0</v>
      </c>
      <c r="BV28" s="1024">
        <f t="shared" si="19"/>
        <v>0</v>
      </c>
      <c r="BW28" s="1024">
        <f t="shared" si="19"/>
        <v>0</v>
      </c>
      <c r="BX28" s="1024">
        <f t="shared" si="19"/>
        <v>0</v>
      </c>
      <c r="BY28" s="1024">
        <f t="shared" si="19"/>
        <v>0</v>
      </c>
      <c r="BZ28" s="1024">
        <f t="shared" si="19"/>
        <v>0</v>
      </c>
      <c r="CA28" s="1024">
        <f t="shared" si="19"/>
        <v>0</v>
      </c>
      <c r="CB28" s="1861"/>
      <c r="CC28" s="1024">
        <f t="shared" si="13"/>
        <v>0</v>
      </c>
      <c r="CD28" s="1024">
        <f>SUM(CD29:CD31)</f>
        <v>0</v>
      </c>
      <c r="CE28" s="1024">
        <f>SUM(CE29:CE31)</f>
        <v>0</v>
      </c>
      <c r="CF28" s="1024">
        <f>SUM(CF29:CF31)</f>
        <v>0</v>
      </c>
      <c r="CG28" s="1024">
        <f>SUM(CG29:CG31)</f>
        <v>0</v>
      </c>
      <c r="CH28" s="1024">
        <f>SUM(CH29:CH31)</f>
        <v>0</v>
      </c>
      <c r="CI28" s="1861"/>
      <c r="CJ28" s="1024">
        <f t="shared" si="14"/>
        <v>0</v>
      </c>
      <c r="CK28" s="1024">
        <f>SUM(CK29:CK31)</f>
        <v>0</v>
      </c>
      <c r="CL28" s="1024">
        <f>SUM(CL29:CL31)</f>
        <v>0</v>
      </c>
      <c r="CM28" s="1024">
        <f>SUM(CM29:CM31)</f>
        <v>0</v>
      </c>
      <c r="CN28" s="1861"/>
      <c r="CO28" s="1022"/>
      <c r="DA28" s="956">
        <v>11</v>
      </c>
    </row>
    <row r="29" spans="6:105" ht="11.45" customHeight="1">
      <c r="F29" s="1018" t="s">
        <v>823</v>
      </c>
      <c r="G29" s="1025" t="s">
        <v>1166</v>
      </c>
      <c r="H29" s="1024">
        <f t="shared" si="0"/>
        <v>0</v>
      </c>
      <c r="I29" s="1023"/>
      <c r="J29" s="1013"/>
      <c r="K29" s="1024">
        <f t="shared" si="1"/>
        <v>0</v>
      </c>
      <c r="L29" s="1023"/>
      <c r="M29" s="1023"/>
      <c r="N29" s="1023"/>
      <c r="O29" s="1023"/>
      <c r="P29" s="1023"/>
      <c r="Q29" s="1023"/>
      <c r="R29" s="1023"/>
      <c r="S29" s="1861"/>
      <c r="T29" s="1024">
        <f t="shared" si="3"/>
        <v>0</v>
      </c>
      <c r="U29" s="1023"/>
      <c r="V29" s="1023"/>
      <c r="W29" s="1023"/>
      <c r="X29" s="1861"/>
      <c r="Y29" s="1024">
        <f t="shared" si="4"/>
        <v>0</v>
      </c>
      <c r="Z29" s="1023"/>
      <c r="AA29" s="1023"/>
      <c r="AB29" s="1023"/>
      <c r="AC29" s="1023"/>
      <c r="AD29" s="1023"/>
      <c r="AE29" s="1023"/>
      <c r="AF29" s="1023"/>
      <c r="AG29" s="1023"/>
      <c r="AH29" s="1861"/>
      <c r="AI29" s="1024">
        <f t="shared" si="6"/>
        <v>0</v>
      </c>
      <c r="AJ29" s="1023"/>
      <c r="AK29" s="1023"/>
      <c r="AL29" s="1023"/>
      <c r="AM29" s="1023"/>
      <c r="AN29" s="1023"/>
      <c r="AO29" s="1023"/>
      <c r="AP29" s="1023"/>
      <c r="AQ29" s="1023"/>
      <c r="AR29" s="1023"/>
      <c r="AS29" s="1023"/>
      <c r="AT29" s="1023"/>
      <c r="AU29" s="1861"/>
      <c r="AV29" s="1024">
        <f t="shared" si="8"/>
        <v>0</v>
      </c>
      <c r="AW29" s="1023"/>
      <c r="AX29" s="1023"/>
      <c r="AY29" s="1023"/>
      <c r="AZ29" s="1023"/>
      <c r="BA29" s="1861"/>
      <c r="BB29" s="1024">
        <f t="shared" si="9"/>
        <v>0</v>
      </c>
      <c r="BC29" s="1023"/>
      <c r="BD29" s="1023"/>
      <c r="BE29" s="1023"/>
      <c r="BF29" s="1023"/>
      <c r="BG29" s="1023"/>
      <c r="BH29" s="1023"/>
      <c r="BI29" s="1023"/>
      <c r="BJ29" s="1023"/>
      <c r="BK29" s="1861"/>
      <c r="BL29" s="1024">
        <f t="shared" si="11"/>
        <v>0</v>
      </c>
      <c r="BM29" s="1023"/>
      <c r="BN29" s="1023"/>
      <c r="BO29" s="1023"/>
      <c r="BP29" s="1023"/>
      <c r="BQ29" s="1023"/>
      <c r="BR29" s="1023"/>
      <c r="BS29" s="1023"/>
      <c r="BT29" s="1023"/>
      <c r="BU29" s="1023"/>
      <c r="BV29" s="1023"/>
      <c r="BW29" s="1023"/>
      <c r="BX29" s="1023"/>
      <c r="BY29" s="1023"/>
      <c r="BZ29" s="1023"/>
      <c r="CA29" s="1023"/>
      <c r="CB29" s="1861"/>
      <c r="CC29" s="1024">
        <f t="shared" si="13"/>
        <v>0</v>
      </c>
      <c r="CD29" s="1023"/>
      <c r="CE29" s="1023"/>
      <c r="CF29" s="1023"/>
      <c r="CG29" s="1023"/>
      <c r="CH29" s="1023"/>
      <c r="CI29" s="1861"/>
      <c r="CJ29" s="1024">
        <f t="shared" si="14"/>
        <v>0</v>
      </c>
      <c r="CK29" s="1023"/>
      <c r="CL29" s="1023"/>
      <c r="CM29" s="1023"/>
      <c r="CN29" s="1861"/>
      <c r="CO29" s="1022"/>
      <c r="DA29" s="956">
        <v>11</v>
      </c>
    </row>
    <row r="30" spans="6:105" ht="11.45" customHeight="1">
      <c r="F30" s="1018" t="s">
        <v>391</v>
      </c>
      <c r="G30" s="1025" t="s">
        <v>1167</v>
      </c>
      <c r="H30" s="1024">
        <f t="shared" si="0"/>
        <v>0</v>
      </c>
      <c r="I30" s="1023"/>
      <c r="J30" s="1013"/>
      <c r="K30" s="1024">
        <f t="shared" si="1"/>
        <v>0</v>
      </c>
      <c r="L30" s="1023"/>
      <c r="M30" s="1023"/>
      <c r="N30" s="1023"/>
      <c r="O30" s="1023"/>
      <c r="P30" s="1023"/>
      <c r="Q30" s="1023"/>
      <c r="R30" s="1023"/>
      <c r="S30" s="1861"/>
      <c r="T30" s="1024">
        <f t="shared" si="3"/>
        <v>0</v>
      </c>
      <c r="U30" s="1023"/>
      <c r="V30" s="1023"/>
      <c r="W30" s="1023"/>
      <c r="X30" s="1861"/>
      <c r="Y30" s="1024">
        <f t="shared" si="4"/>
        <v>0</v>
      </c>
      <c r="Z30" s="1023"/>
      <c r="AA30" s="1023"/>
      <c r="AB30" s="1023"/>
      <c r="AC30" s="1023"/>
      <c r="AD30" s="1023"/>
      <c r="AE30" s="1023"/>
      <c r="AF30" s="1023"/>
      <c r="AG30" s="1023"/>
      <c r="AH30" s="1861"/>
      <c r="AI30" s="1024">
        <f t="shared" si="6"/>
        <v>0</v>
      </c>
      <c r="AJ30" s="1023"/>
      <c r="AK30" s="1023"/>
      <c r="AL30" s="1023"/>
      <c r="AM30" s="1023"/>
      <c r="AN30" s="1023"/>
      <c r="AO30" s="1023"/>
      <c r="AP30" s="1023"/>
      <c r="AQ30" s="1023"/>
      <c r="AR30" s="1023"/>
      <c r="AS30" s="1023"/>
      <c r="AT30" s="1023"/>
      <c r="AU30" s="1861"/>
      <c r="AV30" s="1024">
        <f t="shared" si="8"/>
        <v>0</v>
      </c>
      <c r="AW30" s="1023"/>
      <c r="AX30" s="1023"/>
      <c r="AY30" s="1023"/>
      <c r="AZ30" s="1023"/>
      <c r="BA30" s="1861"/>
      <c r="BB30" s="1024">
        <f t="shared" si="9"/>
        <v>0</v>
      </c>
      <c r="BC30" s="1023"/>
      <c r="BD30" s="1023"/>
      <c r="BE30" s="1023"/>
      <c r="BF30" s="1023"/>
      <c r="BG30" s="1023"/>
      <c r="BH30" s="1023"/>
      <c r="BI30" s="1023"/>
      <c r="BJ30" s="1023"/>
      <c r="BK30" s="1861"/>
      <c r="BL30" s="1024">
        <f t="shared" si="11"/>
        <v>0</v>
      </c>
      <c r="BM30" s="1023"/>
      <c r="BN30" s="1023"/>
      <c r="BO30" s="1023"/>
      <c r="BP30" s="1023"/>
      <c r="BQ30" s="1023"/>
      <c r="BR30" s="1023"/>
      <c r="BS30" s="1023"/>
      <c r="BT30" s="1023"/>
      <c r="BU30" s="1023"/>
      <c r="BV30" s="1023"/>
      <c r="BW30" s="1023"/>
      <c r="BX30" s="1023"/>
      <c r="BY30" s="1023"/>
      <c r="BZ30" s="1023"/>
      <c r="CA30" s="1023"/>
      <c r="CB30" s="1861"/>
      <c r="CC30" s="1024">
        <f t="shared" si="13"/>
        <v>0</v>
      </c>
      <c r="CD30" s="1023"/>
      <c r="CE30" s="1023"/>
      <c r="CF30" s="1023"/>
      <c r="CG30" s="1023"/>
      <c r="CH30" s="1023"/>
      <c r="CI30" s="1861"/>
      <c r="CJ30" s="1024">
        <f t="shared" si="14"/>
        <v>0</v>
      </c>
      <c r="CK30" s="1023"/>
      <c r="CL30" s="1023"/>
      <c r="CM30" s="1023"/>
      <c r="CN30" s="1861"/>
      <c r="CO30" s="1022"/>
      <c r="DA30" s="956">
        <v>11</v>
      </c>
    </row>
    <row r="31" spans="6:105" ht="11.45" customHeight="1">
      <c r="F31" s="1018" t="s">
        <v>394</v>
      </c>
      <c r="G31" s="1025" t="s">
        <v>1168</v>
      </c>
      <c r="H31" s="1024">
        <f t="shared" si="0"/>
        <v>0</v>
      </c>
      <c r="I31" s="1023"/>
      <c r="J31" s="1013"/>
      <c r="K31" s="1024">
        <f t="shared" si="1"/>
        <v>0</v>
      </c>
      <c r="L31" s="1023"/>
      <c r="M31" s="1023"/>
      <c r="N31" s="1023"/>
      <c r="O31" s="1023"/>
      <c r="P31" s="1023"/>
      <c r="Q31" s="1023"/>
      <c r="R31" s="1023"/>
      <c r="S31" s="1861"/>
      <c r="T31" s="1024">
        <f t="shared" si="3"/>
        <v>0</v>
      </c>
      <c r="U31" s="1023"/>
      <c r="V31" s="1023"/>
      <c r="W31" s="1023"/>
      <c r="X31" s="1861"/>
      <c r="Y31" s="1024">
        <f t="shared" si="4"/>
        <v>0</v>
      </c>
      <c r="Z31" s="1023"/>
      <c r="AA31" s="1023"/>
      <c r="AB31" s="1023"/>
      <c r="AC31" s="1023"/>
      <c r="AD31" s="1023"/>
      <c r="AE31" s="1023"/>
      <c r="AF31" s="1023"/>
      <c r="AG31" s="1023"/>
      <c r="AH31" s="1861"/>
      <c r="AI31" s="1024">
        <f t="shared" si="6"/>
        <v>0</v>
      </c>
      <c r="AJ31" s="1023"/>
      <c r="AK31" s="1023"/>
      <c r="AL31" s="1023"/>
      <c r="AM31" s="1023"/>
      <c r="AN31" s="1023"/>
      <c r="AO31" s="1023"/>
      <c r="AP31" s="1023"/>
      <c r="AQ31" s="1023"/>
      <c r="AR31" s="1023"/>
      <c r="AS31" s="1023"/>
      <c r="AT31" s="1023"/>
      <c r="AU31" s="1861"/>
      <c r="AV31" s="1024">
        <f t="shared" si="8"/>
        <v>0</v>
      </c>
      <c r="AW31" s="1023"/>
      <c r="AX31" s="1023"/>
      <c r="AY31" s="1023"/>
      <c r="AZ31" s="1023"/>
      <c r="BA31" s="1861"/>
      <c r="BB31" s="1024">
        <f t="shared" si="9"/>
        <v>0</v>
      </c>
      <c r="BC31" s="1023"/>
      <c r="BD31" s="1023"/>
      <c r="BE31" s="1023"/>
      <c r="BF31" s="1023"/>
      <c r="BG31" s="1023"/>
      <c r="BH31" s="1023"/>
      <c r="BI31" s="1023"/>
      <c r="BJ31" s="1023"/>
      <c r="BK31" s="1861"/>
      <c r="BL31" s="1024">
        <f t="shared" si="11"/>
        <v>0</v>
      </c>
      <c r="BM31" s="1023"/>
      <c r="BN31" s="1023"/>
      <c r="BO31" s="1023"/>
      <c r="BP31" s="1023"/>
      <c r="BQ31" s="1023"/>
      <c r="BR31" s="1023"/>
      <c r="BS31" s="1023"/>
      <c r="BT31" s="1023"/>
      <c r="BU31" s="1023"/>
      <c r="BV31" s="1023"/>
      <c r="BW31" s="1023"/>
      <c r="BX31" s="1023"/>
      <c r="BY31" s="1023"/>
      <c r="BZ31" s="1023"/>
      <c r="CA31" s="1023"/>
      <c r="CB31" s="1861"/>
      <c r="CC31" s="1024">
        <f t="shared" si="13"/>
        <v>0</v>
      </c>
      <c r="CD31" s="1023"/>
      <c r="CE31" s="1023"/>
      <c r="CF31" s="1023"/>
      <c r="CG31" s="1023"/>
      <c r="CH31" s="1023"/>
      <c r="CI31" s="1861"/>
      <c r="CJ31" s="1024">
        <f t="shared" si="14"/>
        <v>0</v>
      </c>
      <c r="CK31" s="1023"/>
      <c r="CL31" s="1023"/>
      <c r="CM31" s="1023"/>
      <c r="CN31" s="1861"/>
      <c r="CO31" s="1022"/>
      <c r="DA31" s="956">
        <v>11</v>
      </c>
    </row>
    <row r="32" spans="6:105" ht="11.45" customHeight="1">
      <c r="F32" s="1018">
        <v>3</v>
      </c>
      <c r="G32" s="611" t="s">
        <v>1169</v>
      </c>
      <c r="H32" s="1024">
        <f t="shared" si="0"/>
        <v>0</v>
      </c>
      <c r="I32" s="1024">
        <f>SUM(I33:I34)</f>
        <v>0</v>
      </c>
      <c r="J32" s="1013"/>
      <c r="K32" s="1024">
        <f t="shared" si="1"/>
        <v>0</v>
      </c>
      <c r="L32" s="1024">
        <f t="shared" ref="L32:R32" si="20">SUM(L33:L34)</f>
        <v>0</v>
      </c>
      <c r="M32" s="1024">
        <f t="shared" si="20"/>
        <v>0</v>
      </c>
      <c r="N32" s="1024">
        <f t="shared" si="20"/>
        <v>0</v>
      </c>
      <c r="O32" s="1024">
        <f t="shared" si="20"/>
        <v>0</v>
      </c>
      <c r="P32" s="1024">
        <f t="shared" si="20"/>
        <v>0</v>
      </c>
      <c r="Q32" s="1024">
        <f t="shared" si="20"/>
        <v>0</v>
      </c>
      <c r="R32" s="1024">
        <f t="shared" si="20"/>
        <v>0</v>
      </c>
      <c r="S32" s="1861"/>
      <c r="T32" s="1024">
        <f t="shared" si="3"/>
        <v>0</v>
      </c>
      <c r="U32" s="1024">
        <f>SUM(U33:U34)</f>
        <v>0</v>
      </c>
      <c r="V32" s="1024">
        <f>SUM(V33:V34)</f>
        <v>0</v>
      </c>
      <c r="W32" s="1024">
        <f>SUM(W33:W34)</f>
        <v>0</v>
      </c>
      <c r="X32" s="1861"/>
      <c r="Y32" s="1024">
        <f t="shared" si="4"/>
        <v>0</v>
      </c>
      <c r="Z32" s="1024">
        <f t="shared" ref="Z32:AG32" si="21">SUM(Z33:Z34)</f>
        <v>0</v>
      </c>
      <c r="AA32" s="1024">
        <f t="shared" si="21"/>
        <v>0</v>
      </c>
      <c r="AB32" s="1024">
        <f t="shared" si="21"/>
        <v>0</v>
      </c>
      <c r="AC32" s="1024">
        <f t="shared" si="21"/>
        <v>0</v>
      </c>
      <c r="AD32" s="1024">
        <f t="shared" si="21"/>
        <v>0</v>
      </c>
      <c r="AE32" s="1024">
        <f t="shared" si="21"/>
        <v>0</v>
      </c>
      <c r="AF32" s="1024">
        <f t="shared" si="21"/>
        <v>0</v>
      </c>
      <c r="AG32" s="1024">
        <f t="shared" si="21"/>
        <v>0</v>
      </c>
      <c r="AH32" s="1861"/>
      <c r="AI32" s="1024">
        <f t="shared" si="6"/>
        <v>0</v>
      </c>
      <c r="AJ32" s="1024">
        <f t="shared" ref="AJ32:AT32" si="22">SUM(AJ33:AJ34)</f>
        <v>0</v>
      </c>
      <c r="AK32" s="1024">
        <f t="shared" si="22"/>
        <v>0</v>
      </c>
      <c r="AL32" s="1024">
        <f t="shared" si="22"/>
        <v>0</v>
      </c>
      <c r="AM32" s="1024">
        <f t="shared" si="22"/>
        <v>0</v>
      </c>
      <c r="AN32" s="1024">
        <f t="shared" si="22"/>
        <v>0</v>
      </c>
      <c r="AO32" s="1024">
        <f t="shared" si="22"/>
        <v>0</v>
      </c>
      <c r="AP32" s="1024">
        <f t="shared" si="22"/>
        <v>0</v>
      </c>
      <c r="AQ32" s="1024">
        <f t="shared" si="22"/>
        <v>0</v>
      </c>
      <c r="AR32" s="1024">
        <f t="shared" si="22"/>
        <v>0</v>
      </c>
      <c r="AS32" s="1024">
        <f t="shared" si="22"/>
        <v>0</v>
      </c>
      <c r="AT32" s="1024">
        <f t="shared" si="22"/>
        <v>0</v>
      </c>
      <c r="AU32" s="1861"/>
      <c r="AV32" s="1024">
        <f t="shared" si="8"/>
        <v>0</v>
      </c>
      <c r="AW32" s="1024">
        <f>SUM(AW33:AW34)</f>
        <v>0</v>
      </c>
      <c r="AX32" s="1024">
        <f>SUM(AX33:AX34)</f>
        <v>0</v>
      </c>
      <c r="AY32" s="1024">
        <f>SUM(AY33:AY34)</f>
        <v>0</v>
      </c>
      <c r="AZ32" s="1024">
        <f>SUM(AZ33:AZ34)</f>
        <v>0</v>
      </c>
      <c r="BA32" s="1861"/>
      <c r="BB32" s="1024">
        <f t="shared" si="9"/>
        <v>0</v>
      </c>
      <c r="BC32" s="1024">
        <f t="shared" ref="BC32:BJ32" si="23">SUM(BC33:BC34)</f>
        <v>0</v>
      </c>
      <c r="BD32" s="1024">
        <f t="shared" si="23"/>
        <v>0</v>
      </c>
      <c r="BE32" s="1024">
        <f t="shared" si="23"/>
        <v>0</v>
      </c>
      <c r="BF32" s="1024">
        <f t="shared" si="23"/>
        <v>0</v>
      </c>
      <c r="BG32" s="1024">
        <f t="shared" si="23"/>
        <v>0</v>
      </c>
      <c r="BH32" s="1024">
        <f t="shared" si="23"/>
        <v>0</v>
      </c>
      <c r="BI32" s="1024">
        <f t="shared" si="23"/>
        <v>0</v>
      </c>
      <c r="BJ32" s="1024">
        <f t="shared" si="23"/>
        <v>0</v>
      </c>
      <c r="BK32" s="1861"/>
      <c r="BL32" s="1024">
        <f t="shared" si="11"/>
        <v>0</v>
      </c>
      <c r="BM32" s="1024">
        <f t="shared" ref="BM32:CA32" si="24">SUM(BM33:BM34)</f>
        <v>0</v>
      </c>
      <c r="BN32" s="1024">
        <f t="shared" si="24"/>
        <v>0</v>
      </c>
      <c r="BO32" s="1024">
        <f t="shared" si="24"/>
        <v>0</v>
      </c>
      <c r="BP32" s="1024">
        <f t="shared" si="24"/>
        <v>0</v>
      </c>
      <c r="BQ32" s="1024">
        <f t="shared" si="24"/>
        <v>0</v>
      </c>
      <c r="BR32" s="1024">
        <f t="shared" si="24"/>
        <v>0</v>
      </c>
      <c r="BS32" s="1024">
        <f t="shared" si="24"/>
        <v>0</v>
      </c>
      <c r="BT32" s="1024">
        <f t="shared" si="24"/>
        <v>0</v>
      </c>
      <c r="BU32" s="1024">
        <f t="shared" si="24"/>
        <v>0</v>
      </c>
      <c r="BV32" s="1024">
        <f t="shared" si="24"/>
        <v>0</v>
      </c>
      <c r="BW32" s="1024">
        <f t="shared" si="24"/>
        <v>0</v>
      </c>
      <c r="BX32" s="1024">
        <f t="shared" si="24"/>
        <v>0</v>
      </c>
      <c r="BY32" s="1024">
        <f t="shared" si="24"/>
        <v>0</v>
      </c>
      <c r="BZ32" s="1024">
        <f t="shared" si="24"/>
        <v>0</v>
      </c>
      <c r="CA32" s="1024">
        <f t="shared" si="24"/>
        <v>0</v>
      </c>
      <c r="CB32" s="1861"/>
      <c r="CC32" s="1024">
        <f t="shared" si="13"/>
        <v>0</v>
      </c>
      <c r="CD32" s="1024">
        <f>SUM(CD33:CD34)</f>
        <v>0</v>
      </c>
      <c r="CE32" s="1024">
        <f>SUM(CE33:CE34)</f>
        <v>0</v>
      </c>
      <c r="CF32" s="1024">
        <f>SUM(CF33:CF34)</f>
        <v>0</v>
      </c>
      <c r="CG32" s="1024">
        <f>SUM(CG33:CG34)</f>
        <v>0</v>
      </c>
      <c r="CH32" s="1024">
        <f>SUM(CH33:CH34)</f>
        <v>0</v>
      </c>
      <c r="CI32" s="1861"/>
      <c r="CJ32" s="1024">
        <f t="shared" si="14"/>
        <v>0</v>
      </c>
      <c r="CK32" s="1024">
        <f>SUM(CK33:CK34)</f>
        <v>0</v>
      </c>
      <c r="CL32" s="1024">
        <f>SUM(CL33:CL34)</f>
        <v>0</v>
      </c>
      <c r="CM32" s="1024">
        <f>SUM(CM33:CM34)</f>
        <v>0</v>
      </c>
      <c r="CN32" s="1861"/>
      <c r="CO32" s="1022"/>
      <c r="DA32" s="956">
        <v>11</v>
      </c>
    </row>
    <row r="33" spans="6:105" ht="48.2" customHeight="1">
      <c r="F33" s="1018" t="s">
        <v>408</v>
      </c>
      <c r="G33" s="1025" t="s">
        <v>1170</v>
      </c>
      <c r="H33" s="1024">
        <f t="shared" si="0"/>
        <v>0</v>
      </c>
      <c r="I33" s="1023"/>
      <c r="J33" s="1013"/>
      <c r="K33" s="1024">
        <f t="shared" si="1"/>
        <v>0</v>
      </c>
      <c r="L33" s="1023"/>
      <c r="M33" s="1023"/>
      <c r="N33" s="1023"/>
      <c r="O33" s="1023"/>
      <c r="P33" s="1023"/>
      <c r="Q33" s="1023"/>
      <c r="R33" s="1023"/>
      <c r="S33" s="1861"/>
      <c r="T33" s="1024">
        <f t="shared" si="3"/>
        <v>0</v>
      </c>
      <c r="U33" s="1023"/>
      <c r="V33" s="1023"/>
      <c r="W33" s="1023"/>
      <c r="X33" s="1861"/>
      <c r="Y33" s="1024">
        <f t="shared" si="4"/>
        <v>0</v>
      </c>
      <c r="Z33" s="1023"/>
      <c r="AA33" s="1023"/>
      <c r="AB33" s="1023"/>
      <c r="AC33" s="1023"/>
      <c r="AD33" s="1023"/>
      <c r="AE33" s="1023"/>
      <c r="AF33" s="1023"/>
      <c r="AG33" s="1023"/>
      <c r="AH33" s="1861"/>
      <c r="AI33" s="1024">
        <f t="shared" si="6"/>
        <v>0</v>
      </c>
      <c r="AJ33" s="1023"/>
      <c r="AK33" s="1023"/>
      <c r="AL33" s="1023"/>
      <c r="AM33" s="1023"/>
      <c r="AN33" s="1023"/>
      <c r="AO33" s="1023"/>
      <c r="AP33" s="1023"/>
      <c r="AQ33" s="1023"/>
      <c r="AR33" s="1023"/>
      <c r="AS33" s="1023"/>
      <c r="AT33" s="1023"/>
      <c r="AU33" s="1861"/>
      <c r="AV33" s="1024">
        <f t="shared" si="8"/>
        <v>0</v>
      </c>
      <c r="AW33" s="1023"/>
      <c r="AX33" s="1023"/>
      <c r="AY33" s="1023"/>
      <c r="AZ33" s="1023"/>
      <c r="BA33" s="1861"/>
      <c r="BB33" s="1024">
        <f t="shared" si="9"/>
        <v>0</v>
      </c>
      <c r="BC33" s="1023"/>
      <c r="BD33" s="1023"/>
      <c r="BE33" s="1023"/>
      <c r="BF33" s="1023"/>
      <c r="BG33" s="1023"/>
      <c r="BH33" s="1023"/>
      <c r="BI33" s="1023"/>
      <c r="BJ33" s="1023"/>
      <c r="BK33" s="1861"/>
      <c r="BL33" s="1024">
        <f t="shared" si="11"/>
        <v>0</v>
      </c>
      <c r="BM33" s="1023"/>
      <c r="BN33" s="1023"/>
      <c r="BO33" s="1023"/>
      <c r="BP33" s="1023"/>
      <c r="BQ33" s="1023"/>
      <c r="BR33" s="1023"/>
      <c r="BS33" s="1023"/>
      <c r="BT33" s="1023"/>
      <c r="BU33" s="1023"/>
      <c r="BV33" s="1023"/>
      <c r="BW33" s="1023"/>
      <c r="BX33" s="1023"/>
      <c r="BY33" s="1023"/>
      <c r="BZ33" s="1023"/>
      <c r="CA33" s="1023"/>
      <c r="CB33" s="1861"/>
      <c r="CC33" s="1024">
        <f t="shared" si="13"/>
        <v>0</v>
      </c>
      <c r="CD33" s="1023"/>
      <c r="CE33" s="1023"/>
      <c r="CF33" s="1023"/>
      <c r="CG33" s="1023"/>
      <c r="CH33" s="1023"/>
      <c r="CI33" s="1861"/>
      <c r="CJ33" s="1024">
        <f t="shared" si="14"/>
        <v>0</v>
      </c>
      <c r="CK33" s="1023"/>
      <c r="CL33" s="1023"/>
      <c r="CM33" s="1023"/>
      <c r="CN33" s="1861"/>
      <c r="CO33" s="1022"/>
      <c r="DA33" s="956">
        <v>46</v>
      </c>
    </row>
    <row r="34" spans="6:105" ht="11.45" customHeight="1">
      <c r="F34" s="1018" t="s">
        <v>416</v>
      </c>
      <c r="G34" s="1025" t="s">
        <v>1171</v>
      </c>
      <c r="H34" s="1024">
        <f t="shared" si="0"/>
        <v>0</v>
      </c>
      <c r="I34" s="1023"/>
      <c r="J34" s="1013"/>
      <c r="K34" s="1024">
        <f t="shared" si="1"/>
        <v>0</v>
      </c>
      <c r="L34" s="1023"/>
      <c r="M34" s="1023"/>
      <c r="N34" s="1023"/>
      <c r="O34" s="1023"/>
      <c r="P34" s="1023"/>
      <c r="Q34" s="1023"/>
      <c r="R34" s="1023"/>
      <c r="S34" s="1861"/>
      <c r="T34" s="1024">
        <f t="shared" si="3"/>
        <v>0</v>
      </c>
      <c r="U34" s="1023"/>
      <c r="V34" s="1023"/>
      <c r="W34" s="1023"/>
      <c r="X34" s="1861"/>
      <c r="Y34" s="1024">
        <f t="shared" si="4"/>
        <v>0</v>
      </c>
      <c r="Z34" s="1023"/>
      <c r="AA34" s="1023"/>
      <c r="AB34" s="1023"/>
      <c r="AC34" s="1023"/>
      <c r="AD34" s="1023"/>
      <c r="AE34" s="1023"/>
      <c r="AF34" s="1023"/>
      <c r="AG34" s="1023"/>
      <c r="AH34" s="1861"/>
      <c r="AI34" s="1024">
        <f t="shared" si="6"/>
        <v>0</v>
      </c>
      <c r="AJ34" s="1023"/>
      <c r="AK34" s="1023"/>
      <c r="AL34" s="1023"/>
      <c r="AM34" s="1023"/>
      <c r="AN34" s="1023"/>
      <c r="AO34" s="1023"/>
      <c r="AP34" s="1023"/>
      <c r="AQ34" s="1023"/>
      <c r="AR34" s="1023"/>
      <c r="AS34" s="1023"/>
      <c r="AT34" s="1023"/>
      <c r="AU34" s="1861"/>
      <c r="AV34" s="1024">
        <f t="shared" si="8"/>
        <v>0</v>
      </c>
      <c r="AW34" s="1023"/>
      <c r="AX34" s="1023"/>
      <c r="AY34" s="1023"/>
      <c r="AZ34" s="1023"/>
      <c r="BA34" s="1861"/>
      <c r="BB34" s="1024">
        <f t="shared" si="9"/>
        <v>0</v>
      </c>
      <c r="BC34" s="1023"/>
      <c r="BD34" s="1023"/>
      <c r="BE34" s="1023"/>
      <c r="BF34" s="1023"/>
      <c r="BG34" s="1023"/>
      <c r="BH34" s="1023"/>
      <c r="BI34" s="1023"/>
      <c r="BJ34" s="1023"/>
      <c r="BK34" s="1861"/>
      <c r="BL34" s="1024">
        <f t="shared" si="11"/>
        <v>0</v>
      </c>
      <c r="BM34" s="1023"/>
      <c r="BN34" s="1023"/>
      <c r="BO34" s="1023"/>
      <c r="BP34" s="1023"/>
      <c r="BQ34" s="1023"/>
      <c r="BR34" s="1023"/>
      <c r="BS34" s="1023"/>
      <c r="BT34" s="1023"/>
      <c r="BU34" s="1023"/>
      <c r="BV34" s="1023"/>
      <c r="BW34" s="1023"/>
      <c r="BX34" s="1023"/>
      <c r="BY34" s="1023"/>
      <c r="BZ34" s="1023"/>
      <c r="CA34" s="1023"/>
      <c r="CB34" s="1861"/>
      <c r="CC34" s="1024">
        <f t="shared" si="13"/>
        <v>0</v>
      </c>
      <c r="CD34" s="1023"/>
      <c r="CE34" s="1023"/>
      <c r="CF34" s="1023"/>
      <c r="CG34" s="1023"/>
      <c r="CH34" s="1023"/>
      <c r="CI34" s="1861"/>
      <c r="CJ34" s="1024">
        <f t="shared" si="14"/>
        <v>0</v>
      </c>
      <c r="CK34" s="1023"/>
      <c r="CL34" s="1023"/>
      <c r="CM34" s="1023"/>
      <c r="CN34" s="1861"/>
      <c r="CO34" s="1022"/>
      <c r="DA34" s="956">
        <v>11</v>
      </c>
    </row>
    <row r="35" spans="6:105" ht="11.45" customHeight="1">
      <c r="F35" s="1018">
        <v>4</v>
      </c>
      <c r="G35" s="611" t="s">
        <v>1172</v>
      </c>
      <c r="H35" s="1024">
        <f t="shared" si="0"/>
        <v>0</v>
      </c>
      <c r="I35" s="1023"/>
      <c r="J35" s="1013"/>
      <c r="K35" s="1024">
        <f t="shared" si="1"/>
        <v>0</v>
      </c>
      <c r="L35" s="1023"/>
      <c r="M35" s="1023"/>
      <c r="N35" s="1023"/>
      <c r="O35" s="1023"/>
      <c r="P35" s="1023"/>
      <c r="Q35" s="1023"/>
      <c r="R35" s="1023"/>
      <c r="S35" s="1861"/>
      <c r="T35" s="1024">
        <f t="shared" si="3"/>
        <v>0</v>
      </c>
      <c r="U35" s="1023"/>
      <c r="V35" s="1023"/>
      <c r="W35" s="1023"/>
      <c r="X35" s="1861"/>
      <c r="Y35" s="1024">
        <f t="shared" si="4"/>
        <v>0</v>
      </c>
      <c r="Z35" s="1023"/>
      <c r="AA35" s="1023"/>
      <c r="AB35" s="1023"/>
      <c r="AC35" s="1023"/>
      <c r="AD35" s="1023"/>
      <c r="AE35" s="1023"/>
      <c r="AF35" s="1023"/>
      <c r="AG35" s="1023"/>
      <c r="AH35" s="1861"/>
      <c r="AI35" s="1024">
        <f t="shared" si="6"/>
        <v>0</v>
      </c>
      <c r="AJ35" s="1023"/>
      <c r="AK35" s="1023"/>
      <c r="AL35" s="1023"/>
      <c r="AM35" s="1023"/>
      <c r="AN35" s="1023"/>
      <c r="AO35" s="1023"/>
      <c r="AP35" s="1023"/>
      <c r="AQ35" s="1023"/>
      <c r="AR35" s="1023"/>
      <c r="AS35" s="1023"/>
      <c r="AT35" s="1023"/>
      <c r="AU35" s="1861"/>
      <c r="AV35" s="1024">
        <f t="shared" si="8"/>
        <v>0</v>
      </c>
      <c r="AW35" s="1023"/>
      <c r="AX35" s="1023"/>
      <c r="AY35" s="1023"/>
      <c r="AZ35" s="1023"/>
      <c r="BA35" s="1861"/>
      <c r="BB35" s="1024">
        <f t="shared" si="9"/>
        <v>0</v>
      </c>
      <c r="BC35" s="1023"/>
      <c r="BD35" s="1023"/>
      <c r="BE35" s="1023"/>
      <c r="BF35" s="1023"/>
      <c r="BG35" s="1023"/>
      <c r="BH35" s="1023"/>
      <c r="BI35" s="1023"/>
      <c r="BJ35" s="1023"/>
      <c r="BK35" s="1861"/>
      <c r="BL35" s="1024">
        <f t="shared" si="11"/>
        <v>0</v>
      </c>
      <c r="BM35" s="1023"/>
      <c r="BN35" s="1023"/>
      <c r="BO35" s="1023"/>
      <c r="BP35" s="1023"/>
      <c r="BQ35" s="1023"/>
      <c r="BR35" s="1023"/>
      <c r="BS35" s="1023"/>
      <c r="BT35" s="1023"/>
      <c r="BU35" s="1023"/>
      <c r="BV35" s="1023"/>
      <c r="BW35" s="1023"/>
      <c r="BX35" s="1023"/>
      <c r="BY35" s="1023"/>
      <c r="BZ35" s="1023"/>
      <c r="CA35" s="1023"/>
      <c r="CB35" s="1861"/>
      <c r="CC35" s="1024">
        <f t="shared" si="13"/>
        <v>0</v>
      </c>
      <c r="CD35" s="1023"/>
      <c r="CE35" s="1023"/>
      <c r="CF35" s="1023"/>
      <c r="CG35" s="1023"/>
      <c r="CH35" s="1023"/>
      <c r="CI35" s="1861"/>
      <c r="CJ35" s="1024">
        <f t="shared" si="14"/>
        <v>0</v>
      </c>
      <c r="CK35" s="1023"/>
      <c r="CL35" s="1023"/>
      <c r="CM35" s="1023"/>
      <c r="CN35" s="1861"/>
      <c r="CO35" s="1022"/>
      <c r="DA35" s="956">
        <v>11</v>
      </c>
    </row>
    <row r="36" spans="6:105" ht="11.45" customHeight="1">
      <c r="F36" s="1018"/>
      <c r="G36" s="614" t="s">
        <v>1173</v>
      </c>
      <c r="H36" s="1024">
        <f t="shared" si="0"/>
        <v>0</v>
      </c>
      <c r="I36" s="1024">
        <f>SUM(I15,I28,I32,I35)</f>
        <v>0</v>
      </c>
      <c r="J36" s="1013"/>
      <c r="K36" s="1024">
        <f t="shared" si="1"/>
        <v>0</v>
      </c>
      <c r="L36" s="1024">
        <f t="shared" ref="L36:R36" si="25">SUM(L15,L28,L32,L35)</f>
        <v>0</v>
      </c>
      <c r="M36" s="1024">
        <f t="shared" si="25"/>
        <v>0</v>
      </c>
      <c r="N36" s="1024">
        <f t="shared" si="25"/>
        <v>0</v>
      </c>
      <c r="O36" s="1024">
        <f t="shared" si="25"/>
        <v>0</v>
      </c>
      <c r="P36" s="1024">
        <f t="shared" si="25"/>
        <v>0</v>
      </c>
      <c r="Q36" s="1024">
        <f t="shared" si="25"/>
        <v>0</v>
      </c>
      <c r="R36" s="1024">
        <f t="shared" si="25"/>
        <v>0</v>
      </c>
      <c r="S36" s="1861"/>
      <c r="T36" s="1024">
        <f t="shared" si="3"/>
        <v>0</v>
      </c>
      <c r="U36" s="1024">
        <f>SUM(U15,U28,U32,U35)</f>
        <v>0</v>
      </c>
      <c r="V36" s="1024">
        <f>SUM(V15,V28,V32,V35)</f>
        <v>0</v>
      </c>
      <c r="W36" s="1024">
        <f>SUM(W15,W28,W32,W35)</f>
        <v>0</v>
      </c>
      <c r="X36" s="1861"/>
      <c r="Y36" s="1024">
        <f t="shared" si="4"/>
        <v>0</v>
      </c>
      <c r="Z36" s="1024">
        <f t="shared" ref="Z36:AG36" si="26">SUM(Z15,Z28,Z32,Z35)</f>
        <v>0</v>
      </c>
      <c r="AA36" s="1024">
        <f t="shared" si="26"/>
        <v>0</v>
      </c>
      <c r="AB36" s="1024">
        <f t="shared" si="26"/>
        <v>0</v>
      </c>
      <c r="AC36" s="1024">
        <f t="shared" si="26"/>
        <v>0</v>
      </c>
      <c r="AD36" s="1024">
        <f t="shared" si="26"/>
        <v>0</v>
      </c>
      <c r="AE36" s="1024">
        <f t="shared" si="26"/>
        <v>0</v>
      </c>
      <c r="AF36" s="1024">
        <f t="shared" si="26"/>
        <v>0</v>
      </c>
      <c r="AG36" s="1024">
        <f t="shared" si="26"/>
        <v>0</v>
      </c>
      <c r="AH36" s="1861"/>
      <c r="AI36" s="1024">
        <f t="shared" si="6"/>
        <v>0</v>
      </c>
      <c r="AJ36" s="1024">
        <f t="shared" ref="AJ36:AT36" si="27">SUM(AJ15,AJ28,AJ32,AJ35)</f>
        <v>0</v>
      </c>
      <c r="AK36" s="1024">
        <f t="shared" si="27"/>
        <v>0</v>
      </c>
      <c r="AL36" s="1024">
        <f t="shared" si="27"/>
        <v>0</v>
      </c>
      <c r="AM36" s="1024">
        <f t="shared" si="27"/>
        <v>0</v>
      </c>
      <c r="AN36" s="1024">
        <f t="shared" si="27"/>
        <v>0</v>
      </c>
      <c r="AO36" s="1024">
        <f t="shared" si="27"/>
        <v>0</v>
      </c>
      <c r="AP36" s="1024">
        <f t="shared" si="27"/>
        <v>0</v>
      </c>
      <c r="AQ36" s="1024">
        <f t="shared" si="27"/>
        <v>0</v>
      </c>
      <c r="AR36" s="1024">
        <f t="shared" si="27"/>
        <v>0</v>
      </c>
      <c r="AS36" s="1024">
        <f t="shared" si="27"/>
        <v>0</v>
      </c>
      <c r="AT36" s="1024">
        <f t="shared" si="27"/>
        <v>0</v>
      </c>
      <c r="AU36" s="1861"/>
      <c r="AV36" s="1024">
        <f t="shared" si="8"/>
        <v>0</v>
      </c>
      <c r="AW36" s="1024">
        <f>SUM(AW15,AW28,AW32,AW35)</f>
        <v>0</v>
      </c>
      <c r="AX36" s="1024">
        <f>SUM(AX15,AX28,AX32,AX35)</f>
        <v>0</v>
      </c>
      <c r="AY36" s="1024">
        <f>SUM(AY15,AY28,AY32,AY35)</f>
        <v>0</v>
      </c>
      <c r="AZ36" s="1024">
        <f>SUM(AZ15,AZ28,AZ32,AZ35)</f>
        <v>0</v>
      </c>
      <c r="BA36" s="1861"/>
      <c r="BB36" s="1024">
        <f t="shared" si="9"/>
        <v>0</v>
      </c>
      <c r="BC36" s="1024">
        <f t="shared" ref="BC36:BJ36" si="28">SUM(BC15,BC28,BC32,BC35)</f>
        <v>0</v>
      </c>
      <c r="BD36" s="1024">
        <f t="shared" si="28"/>
        <v>0</v>
      </c>
      <c r="BE36" s="1024">
        <f t="shared" si="28"/>
        <v>0</v>
      </c>
      <c r="BF36" s="1024">
        <f t="shared" si="28"/>
        <v>0</v>
      </c>
      <c r="BG36" s="1024">
        <f t="shared" si="28"/>
        <v>0</v>
      </c>
      <c r="BH36" s="1024">
        <f t="shared" si="28"/>
        <v>0</v>
      </c>
      <c r="BI36" s="1024">
        <f t="shared" si="28"/>
        <v>0</v>
      </c>
      <c r="BJ36" s="1024">
        <f t="shared" si="28"/>
        <v>0</v>
      </c>
      <c r="BK36" s="1861"/>
      <c r="BL36" s="1024">
        <f t="shared" si="11"/>
        <v>0</v>
      </c>
      <c r="BM36" s="1024">
        <f t="shared" ref="BM36:CA36" si="29">SUM(BM15,BM28,BM32,BM35)</f>
        <v>0</v>
      </c>
      <c r="BN36" s="1024">
        <f t="shared" si="29"/>
        <v>0</v>
      </c>
      <c r="BO36" s="1024">
        <f t="shared" si="29"/>
        <v>0</v>
      </c>
      <c r="BP36" s="1024">
        <f t="shared" si="29"/>
        <v>0</v>
      </c>
      <c r="BQ36" s="1024">
        <f t="shared" si="29"/>
        <v>0</v>
      </c>
      <c r="BR36" s="1024">
        <f t="shared" si="29"/>
        <v>0</v>
      </c>
      <c r="BS36" s="1024">
        <f t="shared" si="29"/>
        <v>0</v>
      </c>
      <c r="BT36" s="1024">
        <f t="shared" si="29"/>
        <v>0</v>
      </c>
      <c r="BU36" s="1024">
        <f t="shared" si="29"/>
        <v>0</v>
      </c>
      <c r="BV36" s="1024">
        <f t="shared" si="29"/>
        <v>0</v>
      </c>
      <c r="BW36" s="1024">
        <f t="shared" si="29"/>
        <v>0</v>
      </c>
      <c r="BX36" s="1024">
        <f t="shared" si="29"/>
        <v>0</v>
      </c>
      <c r="BY36" s="1024">
        <f t="shared" si="29"/>
        <v>0</v>
      </c>
      <c r="BZ36" s="1024">
        <f t="shared" si="29"/>
        <v>0</v>
      </c>
      <c r="CA36" s="1024">
        <f t="shared" si="29"/>
        <v>0</v>
      </c>
      <c r="CB36" s="1861"/>
      <c r="CC36" s="1024">
        <f t="shared" si="13"/>
        <v>0</v>
      </c>
      <c r="CD36" s="1024">
        <f>SUM(CD15,CD28,CD32,CD35)</f>
        <v>0</v>
      </c>
      <c r="CE36" s="1024">
        <f>SUM(CE15,CE28,CE32,CE35)</f>
        <v>0</v>
      </c>
      <c r="CF36" s="1024">
        <f>SUM(CF15,CF28,CF32,CF35)</f>
        <v>0</v>
      </c>
      <c r="CG36" s="1024">
        <f>SUM(CG15,CG28,CG32,CG35)</f>
        <v>0</v>
      </c>
      <c r="CH36" s="1024">
        <f>SUM(CH15,CH28,CH32,CH35)</f>
        <v>0</v>
      </c>
      <c r="CI36" s="1861"/>
      <c r="CJ36" s="1024">
        <f t="shared" si="14"/>
        <v>0</v>
      </c>
      <c r="CK36" s="1024">
        <f>SUM(CK15,CK28,CK32,CK35)</f>
        <v>0</v>
      </c>
      <c r="CL36" s="1024">
        <f>SUM(CL15,CL28,CL32,CL35)</f>
        <v>0</v>
      </c>
      <c r="CM36" s="1024">
        <f>SUM(CM15,CM28,CM32,CM35)</f>
        <v>0</v>
      </c>
      <c r="CN36" s="1861"/>
      <c r="CO36" s="1022"/>
      <c r="DA36" s="956">
        <v>11</v>
      </c>
    </row>
    <row r="37" spans="6:105" ht="29.25" customHeight="1">
      <c r="F37" s="1019" t="s">
        <v>1174</v>
      </c>
      <c r="G37" s="2558" t="s">
        <v>1175</v>
      </c>
      <c r="H37" s="2558"/>
      <c r="I37" s="2558"/>
      <c r="J37" s="2558"/>
      <c r="K37" s="1882"/>
      <c r="L37" s="1882"/>
      <c r="M37" s="1882"/>
      <c r="N37" s="1882"/>
      <c r="O37" s="1882"/>
      <c r="P37" s="1882"/>
      <c r="Q37" s="1882"/>
      <c r="R37" s="1882"/>
      <c r="S37" s="1882"/>
      <c r="T37" s="1882"/>
      <c r="U37" s="1882"/>
      <c r="V37" s="1882"/>
      <c r="W37" s="1882"/>
      <c r="X37" s="1882"/>
      <c r="Y37" s="1882"/>
      <c r="Z37" s="1882"/>
      <c r="AA37" s="1882"/>
      <c r="AB37" s="1882"/>
      <c r="AC37" s="1882"/>
      <c r="AD37" s="1882"/>
      <c r="AE37" s="1882"/>
      <c r="AF37" s="1882"/>
      <c r="AG37" s="1882"/>
      <c r="AH37" s="1882"/>
      <c r="AI37" s="1882"/>
      <c r="AJ37" s="1882"/>
      <c r="AK37" s="1882"/>
      <c r="AL37" s="1882"/>
      <c r="AM37" s="1882"/>
      <c r="AN37" s="1882"/>
      <c r="AO37" s="1882"/>
      <c r="AP37" s="1882"/>
      <c r="AQ37" s="1882"/>
      <c r="AR37" s="1882"/>
      <c r="AS37" s="1882"/>
      <c r="AT37" s="1882"/>
      <c r="AU37" s="1882"/>
      <c r="AV37" s="1882"/>
      <c r="AW37" s="1882"/>
      <c r="AX37" s="1882"/>
      <c r="AY37" s="1882"/>
      <c r="AZ37" s="1882"/>
      <c r="BA37" s="1882"/>
      <c r="BB37" s="1882"/>
      <c r="BC37" s="1882"/>
      <c r="BD37" s="1882"/>
      <c r="BE37" s="1882"/>
      <c r="BF37" s="1882"/>
      <c r="BG37" s="1882"/>
      <c r="BH37" s="1882"/>
      <c r="BI37" s="1882"/>
      <c r="BJ37" s="1882"/>
      <c r="BK37" s="1882"/>
      <c r="BL37" s="1882"/>
      <c r="BM37" s="1882"/>
      <c r="BN37" s="1882"/>
      <c r="BO37" s="1882"/>
      <c r="BP37" s="1882"/>
      <c r="BQ37" s="1882"/>
      <c r="BR37" s="1882"/>
      <c r="BS37" s="1882"/>
      <c r="BT37" s="1882"/>
      <c r="BU37" s="1882"/>
      <c r="BV37" s="1882"/>
      <c r="BW37" s="1882"/>
      <c r="BX37" s="1882"/>
      <c r="BY37" s="1882"/>
      <c r="BZ37" s="1882"/>
      <c r="CA37" s="1882"/>
      <c r="CB37" s="1882"/>
      <c r="CC37" s="1882"/>
      <c r="CD37" s="1882"/>
      <c r="CE37" s="1882"/>
      <c r="CF37" s="1882"/>
      <c r="CG37" s="1882"/>
      <c r="CH37" s="1882"/>
      <c r="CI37" s="1882"/>
      <c r="CJ37" s="1882"/>
      <c r="CK37" s="1882"/>
      <c r="CL37" s="1882"/>
      <c r="CM37" s="1882"/>
      <c r="CN37" s="1882"/>
      <c r="CO37" s="1022"/>
      <c r="DA37" s="956">
        <v>28</v>
      </c>
    </row>
    <row r="38" spans="6:105" ht="24" customHeight="1">
      <c r="F38" s="1018" t="s">
        <v>161</v>
      </c>
      <c r="G38" s="611" t="s">
        <v>1176</v>
      </c>
      <c r="H38" s="1024">
        <f t="shared" ref="H38:H58" si="30">SUM(I38:J38)</f>
        <v>0</v>
      </c>
      <c r="I38" s="1024">
        <f>SUM(I39,I44,I47)</f>
        <v>0</v>
      </c>
      <c r="J38" s="1013"/>
      <c r="K38" s="1024">
        <f t="shared" ref="K38:K58" si="31">SUM(L38:S38)</f>
        <v>0</v>
      </c>
      <c r="L38" s="1024">
        <f t="shared" ref="L38:R38" si="32">SUM(L39,L44,L47)</f>
        <v>0</v>
      </c>
      <c r="M38" s="1024">
        <f t="shared" si="32"/>
        <v>0</v>
      </c>
      <c r="N38" s="1024">
        <f t="shared" si="32"/>
        <v>0</v>
      </c>
      <c r="O38" s="1024">
        <f t="shared" si="32"/>
        <v>0</v>
      </c>
      <c r="P38" s="1024">
        <f t="shared" si="32"/>
        <v>0</v>
      </c>
      <c r="Q38" s="1024">
        <f t="shared" si="32"/>
        <v>0</v>
      </c>
      <c r="R38" s="1024">
        <f t="shared" si="32"/>
        <v>0</v>
      </c>
      <c r="S38" s="1861"/>
      <c r="T38" s="1024">
        <f t="shared" ref="T38:T58" si="33">SUM(U38:X38)</f>
        <v>0</v>
      </c>
      <c r="U38" s="1024">
        <f>SUM(U39,U44,U47)</f>
        <v>0</v>
      </c>
      <c r="V38" s="1024">
        <f>SUM(V39,V44,V47)</f>
        <v>0</v>
      </c>
      <c r="W38" s="1024">
        <f>SUM(W39,W44,W47)</f>
        <v>0</v>
      </c>
      <c r="X38" s="1861"/>
      <c r="Y38" s="1024">
        <f t="shared" ref="Y38:Y58" si="34">SUM(Z38:AH38)</f>
        <v>0</v>
      </c>
      <c r="Z38" s="1024">
        <f t="shared" ref="Z38:AG38" si="35">SUM(Z39,Z44,Z47)</f>
        <v>0</v>
      </c>
      <c r="AA38" s="1024">
        <f t="shared" si="35"/>
        <v>0</v>
      </c>
      <c r="AB38" s="1024">
        <f t="shared" si="35"/>
        <v>0</v>
      </c>
      <c r="AC38" s="1024">
        <f t="shared" si="35"/>
        <v>0</v>
      </c>
      <c r="AD38" s="1024">
        <f t="shared" si="35"/>
        <v>0</v>
      </c>
      <c r="AE38" s="1024">
        <f t="shared" si="35"/>
        <v>0</v>
      </c>
      <c r="AF38" s="1024">
        <f t="shared" si="35"/>
        <v>0</v>
      </c>
      <c r="AG38" s="1024">
        <f t="shared" si="35"/>
        <v>0</v>
      </c>
      <c r="AH38" s="1861"/>
      <c r="AI38" s="1024">
        <f t="shared" ref="AI38:AI58" si="36">SUM(AJ38:AU38)</f>
        <v>0</v>
      </c>
      <c r="AJ38" s="1024">
        <f t="shared" ref="AJ38:AT38" si="37">SUM(AJ39,AJ44,AJ47)</f>
        <v>0</v>
      </c>
      <c r="AK38" s="1024">
        <f t="shared" si="37"/>
        <v>0</v>
      </c>
      <c r="AL38" s="1024">
        <f t="shared" si="37"/>
        <v>0</v>
      </c>
      <c r="AM38" s="1024">
        <f t="shared" si="37"/>
        <v>0</v>
      </c>
      <c r="AN38" s="1024">
        <f t="shared" si="37"/>
        <v>0</v>
      </c>
      <c r="AO38" s="1024">
        <f t="shared" si="37"/>
        <v>0</v>
      </c>
      <c r="AP38" s="1024">
        <f t="shared" si="37"/>
        <v>0</v>
      </c>
      <c r="AQ38" s="1024">
        <f t="shared" si="37"/>
        <v>0</v>
      </c>
      <c r="AR38" s="1024">
        <f t="shared" si="37"/>
        <v>0</v>
      </c>
      <c r="AS38" s="1024">
        <f t="shared" si="37"/>
        <v>0</v>
      </c>
      <c r="AT38" s="1024">
        <f t="shared" si="37"/>
        <v>0</v>
      </c>
      <c r="AU38" s="1861"/>
      <c r="AV38" s="1024">
        <f t="shared" ref="AV38:AV58" si="38">SUM(AW38:BA38)</f>
        <v>0</v>
      </c>
      <c r="AW38" s="1024">
        <f>SUM(AW39,AW44,AW47)</f>
        <v>0</v>
      </c>
      <c r="AX38" s="1024">
        <f>SUM(AX39,AX44,AX47)</f>
        <v>0</v>
      </c>
      <c r="AY38" s="1024">
        <f>SUM(AY39,AY44,AY47)</f>
        <v>0</v>
      </c>
      <c r="AZ38" s="1024">
        <f>SUM(AZ39,AZ44,AZ47)</f>
        <v>0</v>
      </c>
      <c r="BA38" s="1861"/>
      <c r="BB38" s="1024">
        <f t="shared" ref="BB38:BB58" si="39">SUM(BC38:BK38)</f>
        <v>0</v>
      </c>
      <c r="BC38" s="1024">
        <f t="shared" ref="BC38:BJ38" si="40">SUM(BC39,BC44,BC47)</f>
        <v>0</v>
      </c>
      <c r="BD38" s="1024">
        <f t="shared" si="40"/>
        <v>0</v>
      </c>
      <c r="BE38" s="1024">
        <f t="shared" si="40"/>
        <v>0</v>
      </c>
      <c r="BF38" s="1024">
        <f t="shared" si="40"/>
        <v>0</v>
      </c>
      <c r="BG38" s="1024">
        <f t="shared" si="40"/>
        <v>0</v>
      </c>
      <c r="BH38" s="1024">
        <f t="shared" si="40"/>
        <v>0</v>
      </c>
      <c r="BI38" s="1024">
        <f t="shared" si="40"/>
        <v>0</v>
      </c>
      <c r="BJ38" s="1024">
        <f t="shared" si="40"/>
        <v>0</v>
      </c>
      <c r="BK38" s="1861"/>
      <c r="BL38" s="1024">
        <f t="shared" ref="BL38:BL58" si="41">SUM(BM38:CB38)</f>
        <v>0</v>
      </c>
      <c r="BM38" s="1024">
        <f t="shared" ref="BM38:CA38" si="42">SUM(BM39,BM44,BM47)</f>
        <v>0</v>
      </c>
      <c r="BN38" s="1024">
        <f t="shared" si="42"/>
        <v>0</v>
      </c>
      <c r="BO38" s="1024">
        <f t="shared" si="42"/>
        <v>0</v>
      </c>
      <c r="BP38" s="1024">
        <f t="shared" si="42"/>
        <v>0</v>
      </c>
      <c r="BQ38" s="1024">
        <f t="shared" si="42"/>
        <v>0</v>
      </c>
      <c r="BR38" s="1024">
        <f t="shared" si="42"/>
        <v>0</v>
      </c>
      <c r="BS38" s="1024">
        <f t="shared" si="42"/>
        <v>0</v>
      </c>
      <c r="BT38" s="1024">
        <f t="shared" si="42"/>
        <v>0</v>
      </c>
      <c r="BU38" s="1024">
        <f t="shared" si="42"/>
        <v>0</v>
      </c>
      <c r="BV38" s="1024">
        <f t="shared" si="42"/>
        <v>0</v>
      </c>
      <c r="BW38" s="1024">
        <f t="shared" si="42"/>
        <v>0</v>
      </c>
      <c r="BX38" s="1024">
        <f t="shared" si="42"/>
        <v>0</v>
      </c>
      <c r="BY38" s="1024">
        <f t="shared" si="42"/>
        <v>0</v>
      </c>
      <c r="BZ38" s="1024">
        <f t="shared" si="42"/>
        <v>0</v>
      </c>
      <c r="CA38" s="1024">
        <f t="shared" si="42"/>
        <v>0</v>
      </c>
      <c r="CB38" s="1861"/>
      <c r="CC38" s="1024">
        <f t="shared" ref="CC38:CC58" si="43">SUM(CD38:CI38)</f>
        <v>0</v>
      </c>
      <c r="CD38" s="1024">
        <f>SUM(CD39,CD44,CD47)</f>
        <v>0</v>
      </c>
      <c r="CE38" s="1024">
        <f>SUM(CE39,CE44,CE47)</f>
        <v>0</v>
      </c>
      <c r="CF38" s="1024">
        <f>SUM(CF39,CF44,CF47)</f>
        <v>0</v>
      </c>
      <c r="CG38" s="1024">
        <f>SUM(CG39,CG44,CG47)</f>
        <v>0</v>
      </c>
      <c r="CH38" s="1024">
        <f>SUM(CH39,CH44,CH47)</f>
        <v>0</v>
      </c>
      <c r="CI38" s="1861"/>
      <c r="CJ38" s="1024">
        <f t="shared" ref="CJ38:CJ58" si="44">SUM(CK38:CN38)</f>
        <v>0</v>
      </c>
      <c r="CK38" s="1024">
        <f>SUM(CK39,CK44,CK47)</f>
        <v>0</v>
      </c>
      <c r="CL38" s="1024">
        <f>SUM(CL39,CL44,CL47)</f>
        <v>0</v>
      </c>
      <c r="CM38" s="1024">
        <f>SUM(CM39,CM44,CM47)</f>
        <v>0</v>
      </c>
      <c r="CN38" s="1861"/>
      <c r="CO38" s="1022"/>
      <c r="DA38" s="956">
        <v>23</v>
      </c>
    </row>
    <row r="39" spans="6:105" ht="11.45" customHeight="1">
      <c r="F39" s="1018" t="s">
        <v>1141</v>
      </c>
      <c r="G39" s="1025" t="s">
        <v>1140</v>
      </c>
      <c r="H39" s="1024">
        <f t="shared" si="30"/>
        <v>0</v>
      </c>
      <c r="I39" s="1024">
        <f>SUM(I40:I43)</f>
        <v>0</v>
      </c>
      <c r="J39" s="1013"/>
      <c r="K39" s="1024">
        <f t="shared" si="31"/>
        <v>0</v>
      </c>
      <c r="L39" s="1024">
        <f t="shared" ref="L39:R39" si="45">SUM(L40:L43)</f>
        <v>0</v>
      </c>
      <c r="M39" s="1024">
        <f t="shared" si="45"/>
        <v>0</v>
      </c>
      <c r="N39" s="1024">
        <f t="shared" si="45"/>
        <v>0</v>
      </c>
      <c r="O39" s="1024">
        <f t="shared" si="45"/>
        <v>0</v>
      </c>
      <c r="P39" s="1024">
        <f t="shared" si="45"/>
        <v>0</v>
      </c>
      <c r="Q39" s="1024">
        <f t="shared" si="45"/>
        <v>0</v>
      </c>
      <c r="R39" s="1024">
        <f t="shared" si="45"/>
        <v>0</v>
      </c>
      <c r="S39" s="1861"/>
      <c r="T39" s="1024">
        <f t="shared" si="33"/>
        <v>0</v>
      </c>
      <c r="U39" s="1024">
        <f>SUM(U40:U43)</f>
        <v>0</v>
      </c>
      <c r="V39" s="1024">
        <f>SUM(V40:V43)</f>
        <v>0</v>
      </c>
      <c r="W39" s="1024">
        <f>SUM(W40:W43)</f>
        <v>0</v>
      </c>
      <c r="X39" s="1861"/>
      <c r="Y39" s="1024">
        <f t="shared" si="34"/>
        <v>0</v>
      </c>
      <c r="Z39" s="1024">
        <f t="shared" ref="Z39:AG39" si="46">SUM(Z40:Z43)</f>
        <v>0</v>
      </c>
      <c r="AA39" s="1024">
        <f t="shared" si="46"/>
        <v>0</v>
      </c>
      <c r="AB39" s="1024">
        <f t="shared" si="46"/>
        <v>0</v>
      </c>
      <c r="AC39" s="1024">
        <f t="shared" si="46"/>
        <v>0</v>
      </c>
      <c r="AD39" s="1024">
        <f t="shared" si="46"/>
        <v>0</v>
      </c>
      <c r="AE39" s="1024">
        <f t="shared" si="46"/>
        <v>0</v>
      </c>
      <c r="AF39" s="1024">
        <f t="shared" si="46"/>
        <v>0</v>
      </c>
      <c r="AG39" s="1024">
        <f t="shared" si="46"/>
        <v>0</v>
      </c>
      <c r="AH39" s="1861"/>
      <c r="AI39" s="1024">
        <f t="shared" si="36"/>
        <v>0</v>
      </c>
      <c r="AJ39" s="1024">
        <f t="shared" ref="AJ39:AT39" si="47">SUM(AJ40:AJ43)</f>
        <v>0</v>
      </c>
      <c r="AK39" s="1024">
        <f t="shared" si="47"/>
        <v>0</v>
      </c>
      <c r="AL39" s="1024">
        <f t="shared" si="47"/>
        <v>0</v>
      </c>
      <c r="AM39" s="1024">
        <f t="shared" si="47"/>
        <v>0</v>
      </c>
      <c r="AN39" s="1024">
        <f t="shared" si="47"/>
        <v>0</v>
      </c>
      <c r="AO39" s="1024">
        <f t="shared" si="47"/>
        <v>0</v>
      </c>
      <c r="AP39" s="1024">
        <f t="shared" si="47"/>
        <v>0</v>
      </c>
      <c r="AQ39" s="1024">
        <f t="shared" si="47"/>
        <v>0</v>
      </c>
      <c r="AR39" s="1024">
        <f t="shared" si="47"/>
        <v>0</v>
      </c>
      <c r="AS39" s="1024">
        <f t="shared" si="47"/>
        <v>0</v>
      </c>
      <c r="AT39" s="1024">
        <f t="shared" si="47"/>
        <v>0</v>
      </c>
      <c r="AU39" s="1861"/>
      <c r="AV39" s="1024">
        <f t="shared" si="38"/>
        <v>0</v>
      </c>
      <c r="AW39" s="1024">
        <f>SUM(AW40:AW43)</f>
        <v>0</v>
      </c>
      <c r="AX39" s="1024">
        <f>SUM(AX40:AX43)</f>
        <v>0</v>
      </c>
      <c r="AY39" s="1024">
        <f>SUM(AY40:AY43)</f>
        <v>0</v>
      </c>
      <c r="AZ39" s="1024">
        <f>SUM(AZ40:AZ43)</f>
        <v>0</v>
      </c>
      <c r="BA39" s="1861"/>
      <c r="BB39" s="1024">
        <f t="shared" si="39"/>
        <v>0</v>
      </c>
      <c r="BC39" s="1024">
        <f t="shared" ref="BC39:BJ39" si="48">SUM(BC40:BC43)</f>
        <v>0</v>
      </c>
      <c r="BD39" s="1024">
        <f t="shared" si="48"/>
        <v>0</v>
      </c>
      <c r="BE39" s="1024">
        <f t="shared" si="48"/>
        <v>0</v>
      </c>
      <c r="BF39" s="1024">
        <f t="shared" si="48"/>
        <v>0</v>
      </c>
      <c r="BG39" s="1024">
        <f t="shared" si="48"/>
        <v>0</v>
      </c>
      <c r="BH39" s="1024">
        <f t="shared" si="48"/>
        <v>0</v>
      </c>
      <c r="BI39" s="1024">
        <f t="shared" si="48"/>
        <v>0</v>
      </c>
      <c r="BJ39" s="1024">
        <f t="shared" si="48"/>
        <v>0</v>
      </c>
      <c r="BK39" s="1861"/>
      <c r="BL39" s="1024">
        <f t="shared" si="41"/>
        <v>0</v>
      </c>
      <c r="BM39" s="1024">
        <f t="shared" ref="BM39:CA39" si="49">SUM(BM40:BM43)</f>
        <v>0</v>
      </c>
      <c r="BN39" s="1024">
        <f t="shared" si="49"/>
        <v>0</v>
      </c>
      <c r="BO39" s="1024">
        <f t="shared" si="49"/>
        <v>0</v>
      </c>
      <c r="BP39" s="1024">
        <f t="shared" si="49"/>
        <v>0</v>
      </c>
      <c r="BQ39" s="1024">
        <f t="shared" si="49"/>
        <v>0</v>
      </c>
      <c r="BR39" s="1024">
        <f t="shared" si="49"/>
        <v>0</v>
      </c>
      <c r="BS39" s="1024">
        <f t="shared" si="49"/>
        <v>0</v>
      </c>
      <c r="BT39" s="1024">
        <f t="shared" si="49"/>
        <v>0</v>
      </c>
      <c r="BU39" s="1024">
        <f t="shared" si="49"/>
        <v>0</v>
      </c>
      <c r="BV39" s="1024">
        <f t="shared" si="49"/>
        <v>0</v>
      </c>
      <c r="BW39" s="1024">
        <f t="shared" si="49"/>
        <v>0</v>
      </c>
      <c r="BX39" s="1024">
        <f t="shared" si="49"/>
        <v>0</v>
      </c>
      <c r="BY39" s="1024">
        <f t="shared" si="49"/>
        <v>0</v>
      </c>
      <c r="BZ39" s="1024">
        <f t="shared" si="49"/>
        <v>0</v>
      </c>
      <c r="CA39" s="1024">
        <f t="shared" si="49"/>
        <v>0</v>
      </c>
      <c r="CB39" s="1861"/>
      <c r="CC39" s="1024">
        <f t="shared" si="43"/>
        <v>0</v>
      </c>
      <c r="CD39" s="1024">
        <f>SUM(CD40:CD43)</f>
        <v>0</v>
      </c>
      <c r="CE39" s="1024">
        <f>SUM(CE40:CE43)</f>
        <v>0</v>
      </c>
      <c r="CF39" s="1024">
        <f>SUM(CF40:CF43)</f>
        <v>0</v>
      </c>
      <c r="CG39" s="1024">
        <f>SUM(CG40:CG43)</f>
        <v>0</v>
      </c>
      <c r="CH39" s="1024">
        <f>SUM(CH40:CH43)</f>
        <v>0</v>
      </c>
      <c r="CI39" s="1861"/>
      <c r="CJ39" s="1024">
        <f t="shared" si="44"/>
        <v>0</v>
      </c>
      <c r="CK39" s="1024">
        <f>SUM(CK40:CK43)</f>
        <v>0</v>
      </c>
      <c r="CL39" s="1024">
        <f>SUM(CL40:CL43)</f>
        <v>0</v>
      </c>
      <c r="CM39" s="1024">
        <f>SUM(CM40:CM43)</f>
        <v>0</v>
      </c>
      <c r="CN39" s="1861"/>
      <c r="CO39" s="1022"/>
      <c r="DA39" s="956">
        <v>11</v>
      </c>
    </row>
    <row r="40" spans="6:105" ht="24" customHeight="1">
      <c r="F40" s="1018" t="s">
        <v>1177</v>
      </c>
      <c r="G40" s="1026" t="s">
        <v>1178</v>
      </c>
      <c r="H40" s="1024">
        <f t="shared" si="30"/>
        <v>0</v>
      </c>
      <c r="I40" s="1023"/>
      <c r="J40" s="1013"/>
      <c r="K40" s="1024">
        <f t="shared" si="31"/>
        <v>0</v>
      </c>
      <c r="L40" s="1023"/>
      <c r="M40" s="1023"/>
      <c r="N40" s="1023"/>
      <c r="O40" s="1023"/>
      <c r="P40" s="1023"/>
      <c r="Q40" s="1023"/>
      <c r="R40" s="1023"/>
      <c r="S40" s="1861"/>
      <c r="T40" s="1024">
        <f t="shared" si="33"/>
        <v>0</v>
      </c>
      <c r="U40" s="1023"/>
      <c r="V40" s="1023"/>
      <c r="W40" s="1023"/>
      <c r="X40" s="1861"/>
      <c r="Y40" s="1024">
        <f t="shared" si="34"/>
        <v>0</v>
      </c>
      <c r="Z40" s="1023"/>
      <c r="AA40" s="1023"/>
      <c r="AB40" s="1023"/>
      <c r="AC40" s="1023"/>
      <c r="AD40" s="1023"/>
      <c r="AE40" s="1023"/>
      <c r="AF40" s="1023"/>
      <c r="AG40" s="1023"/>
      <c r="AH40" s="1861"/>
      <c r="AI40" s="1024">
        <f t="shared" si="36"/>
        <v>0</v>
      </c>
      <c r="AJ40" s="1023"/>
      <c r="AK40" s="1023"/>
      <c r="AL40" s="1023"/>
      <c r="AM40" s="1023"/>
      <c r="AN40" s="1023"/>
      <c r="AO40" s="1023"/>
      <c r="AP40" s="1023"/>
      <c r="AQ40" s="1023"/>
      <c r="AR40" s="1023"/>
      <c r="AS40" s="1023"/>
      <c r="AT40" s="1023"/>
      <c r="AU40" s="1861"/>
      <c r="AV40" s="1024">
        <f t="shared" si="38"/>
        <v>0</v>
      </c>
      <c r="AW40" s="1023"/>
      <c r="AX40" s="1023"/>
      <c r="AY40" s="1023"/>
      <c r="AZ40" s="1023"/>
      <c r="BA40" s="1861"/>
      <c r="BB40" s="1024">
        <f t="shared" si="39"/>
        <v>0</v>
      </c>
      <c r="BC40" s="1023"/>
      <c r="BD40" s="1023"/>
      <c r="BE40" s="1023"/>
      <c r="BF40" s="1023"/>
      <c r="BG40" s="1023"/>
      <c r="BH40" s="1023"/>
      <c r="BI40" s="1023"/>
      <c r="BJ40" s="1023"/>
      <c r="BK40" s="1861"/>
      <c r="BL40" s="1024">
        <f t="shared" si="41"/>
        <v>0</v>
      </c>
      <c r="BM40" s="1023"/>
      <c r="BN40" s="1023"/>
      <c r="BO40" s="1023"/>
      <c r="BP40" s="1023"/>
      <c r="BQ40" s="1023"/>
      <c r="BR40" s="1023"/>
      <c r="BS40" s="1023"/>
      <c r="BT40" s="1023"/>
      <c r="BU40" s="1023"/>
      <c r="BV40" s="1023"/>
      <c r="BW40" s="1023"/>
      <c r="BX40" s="1023"/>
      <c r="BY40" s="1023"/>
      <c r="BZ40" s="1023"/>
      <c r="CA40" s="1023"/>
      <c r="CB40" s="1861"/>
      <c r="CC40" s="1024">
        <f t="shared" si="43"/>
        <v>0</v>
      </c>
      <c r="CD40" s="1023"/>
      <c r="CE40" s="1023"/>
      <c r="CF40" s="1023"/>
      <c r="CG40" s="1023"/>
      <c r="CH40" s="1023"/>
      <c r="CI40" s="1861"/>
      <c r="CJ40" s="1024">
        <f t="shared" si="44"/>
        <v>0</v>
      </c>
      <c r="CK40" s="1023"/>
      <c r="CL40" s="1023"/>
      <c r="CM40" s="1023"/>
      <c r="CN40" s="1861"/>
      <c r="CO40" s="1022"/>
      <c r="DA40" s="956">
        <v>23</v>
      </c>
    </row>
    <row r="41" spans="6:105" ht="11.45" customHeight="1">
      <c r="F41" s="1018" t="s">
        <v>1179</v>
      </c>
      <c r="G41" s="1026" t="s">
        <v>1180</v>
      </c>
      <c r="H41" s="1024">
        <f t="shared" si="30"/>
        <v>0</v>
      </c>
      <c r="I41" s="1023"/>
      <c r="J41" s="1013"/>
      <c r="K41" s="1024">
        <f t="shared" si="31"/>
        <v>0</v>
      </c>
      <c r="L41" s="1023"/>
      <c r="M41" s="1023"/>
      <c r="N41" s="1023"/>
      <c r="O41" s="1023"/>
      <c r="P41" s="1023"/>
      <c r="Q41" s="1023"/>
      <c r="R41" s="1023"/>
      <c r="S41" s="1861"/>
      <c r="T41" s="1024">
        <f t="shared" si="33"/>
        <v>0</v>
      </c>
      <c r="U41" s="1023"/>
      <c r="V41" s="1023"/>
      <c r="W41" s="1023"/>
      <c r="X41" s="1861"/>
      <c r="Y41" s="1024">
        <f t="shared" si="34"/>
        <v>0</v>
      </c>
      <c r="Z41" s="1023"/>
      <c r="AA41" s="1023"/>
      <c r="AB41" s="1023"/>
      <c r="AC41" s="1023"/>
      <c r="AD41" s="1023"/>
      <c r="AE41" s="1023"/>
      <c r="AF41" s="1023"/>
      <c r="AG41" s="1023"/>
      <c r="AH41" s="1861"/>
      <c r="AI41" s="1024">
        <f t="shared" si="36"/>
        <v>0</v>
      </c>
      <c r="AJ41" s="1023"/>
      <c r="AK41" s="1023"/>
      <c r="AL41" s="1023"/>
      <c r="AM41" s="1023"/>
      <c r="AN41" s="1023"/>
      <c r="AO41" s="1023"/>
      <c r="AP41" s="1023"/>
      <c r="AQ41" s="1023"/>
      <c r="AR41" s="1023"/>
      <c r="AS41" s="1023"/>
      <c r="AT41" s="1023"/>
      <c r="AU41" s="1861"/>
      <c r="AV41" s="1024">
        <f t="shared" si="38"/>
        <v>0</v>
      </c>
      <c r="AW41" s="1023"/>
      <c r="AX41" s="1023"/>
      <c r="AY41" s="1023"/>
      <c r="AZ41" s="1023"/>
      <c r="BA41" s="1861"/>
      <c r="BB41" s="1024">
        <f t="shared" si="39"/>
        <v>0</v>
      </c>
      <c r="BC41" s="1023"/>
      <c r="BD41" s="1023"/>
      <c r="BE41" s="1023"/>
      <c r="BF41" s="1023"/>
      <c r="BG41" s="1023"/>
      <c r="BH41" s="1023"/>
      <c r="BI41" s="1023"/>
      <c r="BJ41" s="1023"/>
      <c r="BK41" s="1861"/>
      <c r="BL41" s="1024">
        <f t="shared" si="41"/>
        <v>0</v>
      </c>
      <c r="BM41" s="1023"/>
      <c r="BN41" s="1023"/>
      <c r="BO41" s="1023"/>
      <c r="BP41" s="1023"/>
      <c r="BQ41" s="1023"/>
      <c r="BR41" s="1023"/>
      <c r="BS41" s="1023"/>
      <c r="BT41" s="1023"/>
      <c r="BU41" s="1023"/>
      <c r="BV41" s="1023"/>
      <c r="BW41" s="1023"/>
      <c r="BX41" s="1023"/>
      <c r="BY41" s="1023"/>
      <c r="BZ41" s="1023"/>
      <c r="CA41" s="1023"/>
      <c r="CB41" s="1861"/>
      <c r="CC41" s="1024">
        <f t="shared" si="43"/>
        <v>0</v>
      </c>
      <c r="CD41" s="1023"/>
      <c r="CE41" s="1023"/>
      <c r="CF41" s="1023"/>
      <c r="CG41" s="1023"/>
      <c r="CH41" s="1023"/>
      <c r="CI41" s="1861"/>
      <c r="CJ41" s="1024">
        <f t="shared" si="44"/>
        <v>0</v>
      </c>
      <c r="CK41" s="1023"/>
      <c r="CL41" s="1023"/>
      <c r="CM41" s="1023"/>
      <c r="CN41" s="1861"/>
      <c r="CO41" s="1022"/>
      <c r="DA41" s="956">
        <v>11</v>
      </c>
    </row>
    <row r="42" spans="6:105" ht="11.45" customHeight="1">
      <c r="F42" s="1018" t="s">
        <v>1181</v>
      </c>
      <c r="G42" s="1026" t="s">
        <v>1182</v>
      </c>
      <c r="H42" s="1024">
        <f t="shared" si="30"/>
        <v>0</v>
      </c>
      <c r="I42" s="1023"/>
      <c r="J42" s="1013"/>
      <c r="K42" s="1024">
        <f t="shared" si="31"/>
        <v>0</v>
      </c>
      <c r="L42" s="1023"/>
      <c r="M42" s="1023"/>
      <c r="N42" s="1023"/>
      <c r="O42" s="1023"/>
      <c r="P42" s="1023"/>
      <c r="Q42" s="1023"/>
      <c r="R42" s="1023"/>
      <c r="S42" s="1861"/>
      <c r="T42" s="1024">
        <f t="shared" si="33"/>
        <v>0</v>
      </c>
      <c r="U42" s="1023"/>
      <c r="V42" s="1023"/>
      <c r="W42" s="1023"/>
      <c r="X42" s="1861"/>
      <c r="Y42" s="1024">
        <f t="shared" si="34"/>
        <v>0</v>
      </c>
      <c r="Z42" s="1023"/>
      <c r="AA42" s="1023"/>
      <c r="AB42" s="1023"/>
      <c r="AC42" s="1023"/>
      <c r="AD42" s="1023"/>
      <c r="AE42" s="1023"/>
      <c r="AF42" s="1023"/>
      <c r="AG42" s="1023"/>
      <c r="AH42" s="1861"/>
      <c r="AI42" s="1024">
        <f t="shared" si="36"/>
        <v>0</v>
      </c>
      <c r="AJ42" s="1023"/>
      <c r="AK42" s="1023"/>
      <c r="AL42" s="1023"/>
      <c r="AM42" s="1023"/>
      <c r="AN42" s="1023"/>
      <c r="AO42" s="1023"/>
      <c r="AP42" s="1023"/>
      <c r="AQ42" s="1023"/>
      <c r="AR42" s="1023"/>
      <c r="AS42" s="1023"/>
      <c r="AT42" s="1023"/>
      <c r="AU42" s="1861"/>
      <c r="AV42" s="1024">
        <f t="shared" si="38"/>
        <v>0</v>
      </c>
      <c r="AW42" s="1023"/>
      <c r="AX42" s="1023"/>
      <c r="AY42" s="1023"/>
      <c r="AZ42" s="1023"/>
      <c r="BA42" s="1861"/>
      <c r="BB42" s="1024">
        <f t="shared" si="39"/>
        <v>0</v>
      </c>
      <c r="BC42" s="1023"/>
      <c r="BD42" s="1023"/>
      <c r="BE42" s="1023"/>
      <c r="BF42" s="1023"/>
      <c r="BG42" s="1023"/>
      <c r="BH42" s="1023"/>
      <c r="BI42" s="1023"/>
      <c r="BJ42" s="1023"/>
      <c r="BK42" s="1861"/>
      <c r="BL42" s="1024">
        <f t="shared" si="41"/>
        <v>0</v>
      </c>
      <c r="BM42" s="1023"/>
      <c r="BN42" s="1023"/>
      <c r="BO42" s="1023"/>
      <c r="BP42" s="1023"/>
      <c r="BQ42" s="1023"/>
      <c r="BR42" s="1023"/>
      <c r="BS42" s="1023"/>
      <c r="BT42" s="1023"/>
      <c r="BU42" s="1023"/>
      <c r="BV42" s="1023"/>
      <c r="BW42" s="1023"/>
      <c r="BX42" s="1023"/>
      <c r="BY42" s="1023"/>
      <c r="BZ42" s="1023"/>
      <c r="CA42" s="1023"/>
      <c r="CB42" s="1861"/>
      <c r="CC42" s="1024">
        <f t="shared" si="43"/>
        <v>0</v>
      </c>
      <c r="CD42" s="1023"/>
      <c r="CE42" s="1023"/>
      <c r="CF42" s="1023"/>
      <c r="CG42" s="1023"/>
      <c r="CH42" s="1023"/>
      <c r="CI42" s="1861"/>
      <c r="CJ42" s="1024">
        <f t="shared" si="44"/>
        <v>0</v>
      </c>
      <c r="CK42" s="1023"/>
      <c r="CL42" s="1023"/>
      <c r="CM42" s="1023"/>
      <c r="CN42" s="1861"/>
      <c r="CO42" s="1022"/>
      <c r="DA42" s="956">
        <v>11</v>
      </c>
    </row>
    <row r="43" spans="6:105" ht="35.65" customHeight="1">
      <c r="F43" s="1018" t="s">
        <v>1183</v>
      </c>
      <c r="G43" s="1026" t="s">
        <v>1184</v>
      </c>
      <c r="H43" s="1024">
        <f t="shared" si="30"/>
        <v>0</v>
      </c>
      <c r="I43" s="1023"/>
      <c r="J43" s="1013"/>
      <c r="K43" s="1024">
        <f t="shared" si="31"/>
        <v>0</v>
      </c>
      <c r="L43" s="1023"/>
      <c r="M43" s="1023"/>
      <c r="N43" s="1023"/>
      <c r="O43" s="1023"/>
      <c r="P43" s="1023"/>
      <c r="Q43" s="1023"/>
      <c r="R43" s="1023"/>
      <c r="S43" s="1861"/>
      <c r="T43" s="1024">
        <f t="shared" si="33"/>
        <v>0</v>
      </c>
      <c r="U43" s="1023"/>
      <c r="V43" s="1023"/>
      <c r="W43" s="1023"/>
      <c r="X43" s="1861"/>
      <c r="Y43" s="1024">
        <f t="shared" si="34"/>
        <v>0</v>
      </c>
      <c r="Z43" s="1023"/>
      <c r="AA43" s="1023"/>
      <c r="AB43" s="1023"/>
      <c r="AC43" s="1023"/>
      <c r="AD43" s="1023"/>
      <c r="AE43" s="1023"/>
      <c r="AF43" s="1023"/>
      <c r="AG43" s="1023"/>
      <c r="AH43" s="1861"/>
      <c r="AI43" s="1024">
        <f t="shared" si="36"/>
        <v>0</v>
      </c>
      <c r="AJ43" s="1023"/>
      <c r="AK43" s="1023"/>
      <c r="AL43" s="1023"/>
      <c r="AM43" s="1023"/>
      <c r="AN43" s="1023"/>
      <c r="AO43" s="1023"/>
      <c r="AP43" s="1023"/>
      <c r="AQ43" s="1023"/>
      <c r="AR43" s="1023"/>
      <c r="AS43" s="1023"/>
      <c r="AT43" s="1023"/>
      <c r="AU43" s="1861"/>
      <c r="AV43" s="1024">
        <f t="shared" si="38"/>
        <v>0</v>
      </c>
      <c r="AW43" s="1023"/>
      <c r="AX43" s="1023"/>
      <c r="AY43" s="1023"/>
      <c r="AZ43" s="1023"/>
      <c r="BA43" s="1861"/>
      <c r="BB43" s="1024">
        <f t="shared" si="39"/>
        <v>0</v>
      </c>
      <c r="BC43" s="1023"/>
      <c r="BD43" s="1023"/>
      <c r="BE43" s="1023"/>
      <c r="BF43" s="1023"/>
      <c r="BG43" s="1023"/>
      <c r="BH43" s="1023"/>
      <c r="BI43" s="1023"/>
      <c r="BJ43" s="1023"/>
      <c r="BK43" s="1861"/>
      <c r="BL43" s="1024">
        <f t="shared" si="41"/>
        <v>0</v>
      </c>
      <c r="BM43" s="1023"/>
      <c r="BN43" s="1023"/>
      <c r="BO43" s="1023"/>
      <c r="BP43" s="1023"/>
      <c r="BQ43" s="1023"/>
      <c r="BR43" s="1023"/>
      <c r="BS43" s="1023"/>
      <c r="BT43" s="1023"/>
      <c r="BU43" s="1023"/>
      <c r="BV43" s="1023"/>
      <c r="BW43" s="1023"/>
      <c r="BX43" s="1023"/>
      <c r="BY43" s="1023"/>
      <c r="BZ43" s="1023"/>
      <c r="CA43" s="1023"/>
      <c r="CB43" s="1861"/>
      <c r="CC43" s="1024">
        <f t="shared" si="43"/>
        <v>0</v>
      </c>
      <c r="CD43" s="1023"/>
      <c r="CE43" s="1023"/>
      <c r="CF43" s="1023"/>
      <c r="CG43" s="1023"/>
      <c r="CH43" s="1023"/>
      <c r="CI43" s="1861"/>
      <c r="CJ43" s="1024">
        <f t="shared" si="44"/>
        <v>0</v>
      </c>
      <c r="CK43" s="1023"/>
      <c r="CL43" s="1023"/>
      <c r="CM43" s="1023"/>
      <c r="CN43" s="1861"/>
      <c r="CO43" s="1022"/>
      <c r="DA43" s="956">
        <v>34</v>
      </c>
    </row>
    <row r="44" spans="6:105" ht="11.45" customHeight="1">
      <c r="F44" s="1018" t="s">
        <v>1143</v>
      </c>
      <c r="G44" s="1025" t="s">
        <v>1169</v>
      </c>
      <c r="H44" s="1024">
        <f t="shared" si="30"/>
        <v>0</v>
      </c>
      <c r="I44" s="1024">
        <f>SUM(I45:I46)</f>
        <v>0</v>
      </c>
      <c r="J44" s="1013"/>
      <c r="K44" s="1024">
        <f t="shared" si="31"/>
        <v>0</v>
      </c>
      <c r="L44" s="1024">
        <f t="shared" ref="L44:R44" si="50">SUM(L45:L46)</f>
        <v>0</v>
      </c>
      <c r="M44" s="1024">
        <f t="shared" si="50"/>
        <v>0</v>
      </c>
      <c r="N44" s="1024">
        <f t="shared" si="50"/>
        <v>0</v>
      </c>
      <c r="O44" s="1024">
        <f t="shared" si="50"/>
        <v>0</v>
      </c>
      <c r="P44" s="1024">
        <f t="shared" si="50"/>
        <v>0</v>
      </c>
      <c r="Q44" s="1024">
        <f t="shared" si="50"/>
        <v>0</v>
      </c>
      <c r="R44" s="1024">
        <f t="shared" si="50"/>
        <v>0</v>
      </c>
      <c r="S44" s="1861"/>
      <c r="T44" s="1024">
        <f t="shared" si="33"/>
        <v>0</v>
      </c>
      <c r="U44" s="1024">
        <f>SUM(U45:U46)</f>
        <v>0</v>
      </c>
      <c r="V44" s="1024">
        <f>SUM(V45:V46)</f>
        <v>0</v>
      </c>
      <c r="W44" s="1024">
        <f>SUM(W45:W46)</f>
        <v>0</v>
      </c>
      <c r="X44" s="1861"/>
      <c r="Y44" s="1024">
        <f t="shared" si="34"/>
        <v>0</v>
      </c>
      <c r="Z44" s="1024">
        <f t="shared" ref="Z44:AG44" si="51">SUM(Z45:Z46)</f>
        <v>0</v>
      </c>
      <c r="AA44" s="1024">
        <f t="shared" si="51"/>
        <v>0</v>
      </c>
      <c r="AB44" s="1024">
        <f t="shared" si="51"/>
        <v>0</v>
      </c>
      <c r="AC44" s="1024">
        <f t="shared" si="51"/>
        <v>0</v>
      </c>
      <c r="AD44" s="1024">
        <f t="shared" si="51"/>
        <v>0</v>
      </c>
      <c r="AE44" s="1024">
        <f t="shared" si="51"/>
        <v>0</v>
      </c>
      <c r="AF44" s="1024">
        <f t="shared" si="51"/>
        <v>0</v>
      </c>
      <c r="AG44" s="1024">
        <f t="shared" si="51"/>
        <v>0</v>
      </c>
      <c r="AH44" s="1861"/>
      <c r="AI44" s="1024">
        <f t="shared" si="36"/>
        <v>0</v>
      </c>
      <c r="AJ44" s="1024">
        <f t="shared" ref="AJ44:AT44" si="52">SUM(AJ45:AJ46)</f>
        <v>0</v>
      </c>
      <c r="AK44" s="1024">
        <f t="shared" si="52"/>
        <v>0</v>
      </c>
      <c r="AL44" s="1024">
        <f t="shared" si="52"/>
        <v>0</v>
      </c>
      <c r="AM44" s="1024">
        <f t="shared" si="52"/>
        <v>0</v>
      </c>
      <c r="AN44" s="1024">
        <f t="shared" si="52"/>
        <v>0</v>
      </c>
      <c r="AO44" s="1024">
        <f t="shared" si="52"/>
        <v>0</v>
      </c>
      <c r="AP44" s="1024">
        <f t="shared" si="52"/>
        <v>0</v>
      </c>
      <c r="AQ44" s="1024">
        <f t="shared" si="52"/>
        <v>0</v>
      </c>
      <c r="AR44" s="1024">
        <f t="shared" si="52"/>
        <v>0</v>
      </c>
      <c r="AS44" s="1024">
        <f t="shared" si="52"/>
        <v>0</v>
      </c>
      <c r="AT44" s="1024">
        <f t="shared" si="52"/>
        <v>0</v>
      </c>
      <c r="AU44" s="1861"/>
      <c r="AV44" s="1024">
        <f t="shared" si="38"/>
        <v>0</v>
      </c>
      <c r="AW44" s="1024">
        <f>SUM(AW45:AW46)</f>
        <v>0</v>
      </c>
      <c r="AX44" s="1024">
        <f>SUM(AX45:AX46)</f>
        <v>0</v>
      </c>
      <c r="AY44" s="1024">
        <f>SUM(AY45:AY46)</f>
        <v>0</v>
      </c>
      <c r="AZ44" s="1024">
        <f>SUM(AZ45:AZ46)</f>
        <v>0</v>
      </c>
      <c r="BA44" s="1861"/>
      <c r="BB44" s="1024">
        <f t="shared" si="39"/>
        <v>0</v>
      </c>
      <c r="BC44" s="1024">
        <f t="shared" ref="BC44:BJ44" si="53">SUM(BC45:BC46)</f>
        <v>0</v>
      </c>
      <c r="BD44" s="1024">
        <f t="shared" si="53"/>
        <v>0</v>
      </c>
      <c r="BE44" s="1024">
        <f t="shared" si="53"/>
        <v>0</v>
      </c>
      <c r="BF44" s="1024">
        <f t="shared" si="53"/>
        <v>0</v>
      </c>
      <c r="BG44" s="1024">
        <f t="shared" si="53"/>
        <v>0</v>
      </c>
      <c r="BH44" s="1024">
        <f t="shared" si="53"/>
        <v>0</v>
      </c>
      <c r="BI44" s="1024">
        <f t="shared" si="53"/>
        <v>0</v>
      </c>
      <c r="BJ44" s="1024">
        <f t="shared" si="53"/>
        <v>0</v>
      </c>
      <c r="BK44" s="1861"/>
      <c r="BL44" s="1024">
        <f t="shared" si="41"/>
        <v>0</v>
      </c>
      <c r="BM44" s="1024">
        <f t="shared" ref="BM44:CA44" si="54">SUM(BM45:BM46)</f>
        <v>0</v>
      </c>
      <c r="BN44" s="1024">
        <f t="shared" si="54"/>
        <v>0</v>
      </c>
      <c r="BO44" s="1024">
        <f t="shared" si="54"/>
        <v>0</v>
      </c>
      <c r="BP44" s="1024">
        <f t="shared" si="54"/>
        <v>0</v>
      </c>
      <c r="BQ44" s="1024">
        <f t="shared" si="54"/>
        <v>0</v>
      </c>
      <c r="BR44" s="1024">
        <f t="shared" si="54"/>
        <v>0</v>
      </c>
      <c r="BS44" s="1024">
        <f t="shared" si="54"/>
        <v>0</v>
      </c>
      <c r="BT44" s="1024">
        <f t="shared" si="54"/>
        <v>0</v>
      </c>
      <c r="BU44" s="1024">
        <f t="shared" si="54"/>
        <v>0</v>
      </c>
      <c r="BV44" s="1024">
        <f t="shared" si="54"/>
        <v>0</v>
      </c>
      <c r="BW44" s="1024">
        <f t="shared" si="54"/>
        <v>0</v>
      </c>
      <c r="BX44" s="1024">
        <f t="shared" si="54"/>
        <v>0</v>
      </c>
      <c r="BY44" s="1024">
        <f t="shared" si="54"/>
        <v>0</v>
      </c>
      <c r="BZ44" s="1024">
        <f t="shared" si="54"/>
        <v>0</v>
      </c>
      <c r="CA44" s="1024">
        <f t="shared" si="54"/>
        <v>0</v>
      </c>
      <c r="CB44" s="1861"/>
      <c r="CC44" s="1024">
        <f t="shared" si="43"/>
        <v>0</v>
      </c>
      <c r="CD44" s="1024">
        <f>SUM(CD45:CD46)</f>
        <v>0</v>
      </c>
      <c r="CE44" s="1024">
        <f>SUM(CE45:CE46)</f>
        <v>0</v>
      </c>
      <c r="CF44" s="1024">
        <f>SUM(CF45:CF46)</f>
        <v>0</v>
      </c>
      <c r="CG44" s="1024">
        <f>SUM(CG45:CG46)</f>
        <v>0</v>
      </c>
      <c r="CH44" s="1024">
        <f>SUM(CH45:CH46)</f>
        <v>0</v>
      </c>
      <c r="CI44" s="1861"/>
      <c r="CJ44" s="1024">
        <f t="shared" si="44"/>
        <v>0</v>
      </c>
      <c r="CK44" s="1024">
        <f>SUM(CK45:CK46)</f>
        <v>0</v>
      </c>
      <c r="CL44" s="1024">
        <f>SUM(CL45:CL46)</f>
        <v>0</v>
      </c>
      <c r="CM44" s="1024">
        <f>SUM(CM45:CM46)</f>
        <v>0</v>
      </c>
      <c r="CN44" s="1861"/>
      <c r="CO44" s="1022"/>
      <c r="DA44" s="956">
        <v>11</v>
      </c>
    </row>
    <row r="45" spans="6:105" ht="48.2" customHeight="1">
      <c r="F45" s="1018" t="s">
        <v>1185</v>
      </c>
      <c r="G45" s="1026" t="s">
        <v>1170</v>
      </c>
      <c r="H45" s="1024">
        <f t="shared" si="30"/>
        <v>0</v>
      </c>
      <c r="I45" s="1023"/>
      <c r="J45" s="1013"/>
      <c r="K45" s="1024">
        <f t="shared" si="31"/>
        <v>0</v>
      </c>
      <c r="L45" s="1023"/>
      <c r="M45" s="1023"/>
      <c r="N45" s="1023"/>
      <c r="O45" s="1023"/>
      <c r="P45" s="1023"/>
      <c r="Q45" s="1023"/>
      <c r="R45" s="1023"/>
      <c r="S45" s="1861"/>
      <c r="T45" s="1024">
        <f t="shared" si="33"/>
        <v>0</v>
      </c>
      <c r="U45" s="1023"/>
      <c r="V45" s="1023"/>
      <c r="W45" s="1023"/>
      <c r="X45" s="1861"/>
      <c r="Y45" s="1024">
        <f t="shared" si="34"/>
        <v>0</v>
      </c>
      <c r="Z45" s="1023"/>
      <c r="AA45" s="1023"/>
      <c r="AB45" s="1023"/>
      <c r="AC45" s="1023"/>
      <c r="AD45" s="1023"/>
      <c r="AE45" s="1023"/>
      <c r="AF45" s="1023"/>
      <c r="AG45" s="1023"/>
      <c r="AH45" s="1861"/>
      <c r="AI45" s="1024">
        <f t="shared" si="36"/>
        <v>0</v>
      </c>
      <c r="AJ45" s="1023"/>
      <c r="AK45" s="1023"/>
      <c r="AL45" s="1023"/>
      <c r="AM45" s="1023"/>
      <c r="AN45" s="1023"/>
      <c r="AO45" s="1023"/>
      <c r="AP45" s="1023"/>
      <c r="AQ45" s="1023"/>
      <c r="AR45" s="1023"/>
      <c r="AS45" s="1023"/>
      <c r="AT45" s="1023"/>
      <c r="AU45" s="1861"/>
      <c r="AV45" s="1024">
        <f t="shared" si="38"/>
        <v>0</v>
      </c>
      <c r="AW45" s="1023"/>
      <c r="AX45" s="1023"/>
      <c r="AY45" s="1023"/>
      <c r="AZ45" s="1023"/>
      <c r="BA45" s="1861"/>
      <c r="BB45" s="1024">
        <f t="shared" si="39"/>
        <v>0</v>
      </c>
      <c r="BC45" s="1023"/>
      <c r="BD45" s="1023"/>
      <c r="BE45" s="1023"/>
      <c r="BF45" s="1023"/>
      <c r="BG45" s="1023"/>
      <c r="BH45" s="1023"/>
      <c r="BI45" s="1023"/>
      <c r="BJ45" s="1023"/>
      <c r="BK45" s="1861"/>
      <c r="BL45" s="1024">
        <f t="shared" si="41"/>
        <v>0</v>
      </c>
      <c r="BM45" s="1023"/>
      <c r="BN45" s="1023"/>
      <c r="BO45" s="1023"/>
      <c r="BP45" s="1023"/>
      <c r="BQ45" s="1023"/>
      <c r="BR45" s="1023"/>
      <c r="BS45" s="1023"/>
      <c r="BT45" s="1023"/>
      <c r="BU45" s="1023"/>
      <c r="BV45" s="1023"/>
      <c r="BW45" s="1023"/>
      <c r="BX45" s="1023"/>
      <c r="BY45" s="1023"/>
      <c r="BZ45" s="1023"/>
      <c r="CA45" s="1023"/>
      <c r="CB45" s="1861"/>
      <c r="CC45" s="1024">
        <f t="shared" si="43"/>
        <v>0</v>
      </c>
      <c r="CD45" s="1023"/>
      <c r="CE45" s="1023"/>
      <c r="CF45" s="1023"/>
      <c r="CG45" s="1023"/>
      <c r="CH45" s="1023"/>
      <c r="CI45" s="1861"/>
      <c r="CJ45" s="1024">
        <f t="shared" si="44"/>
        <v>0</v>
      </c>
      <c r="CK45" s="1023"/>
      <c r="CL45" s="1023"/>
      <c r="CM45" s="1023"/>
      <c r="CN45" s="1861"/>
      <c r="CO45" s="1022"/>
      <c r="DA45" s="956">
        <v>46</v>
      </c>
    </row>
    <row r="46" spans="6:105" ht="11.45" customHeight="1">
      <c r="F46" s="1018" t="s">
        <v>1186</v>
      </c>
      <c r="G46" s="1026" t="s">
        <v>1171</v>
      </c>
      <c r="H46" s="1024">
        <f t="shared" si="30"/>
        <v>0</v>
      </c>
      <c r="I46" s="1023"/>
      <c r="J46" s="1013"/>
      <c r="K46" s="1024">
        <f t="shared" si="31"/>
        <v>0</v>
      </c>
      <c r="L46" s="1023"/>
      <c r="M46" s="1023"/>
      <c r="N46" s="1023"/>
      <c r="O46" s="1023"/>
      <c r="P46" s="1023"/>
      <c r="Q46" s="1023"/>
      <c r="R46" s="1023"/>
      <c r="S46" s="1861"/>
      <c r="T46" s="1024">
        <f t="shared" si="33"/>
        <v>0</v>
      </c>
      <c r="U46" s="1023"/>
      <c r="V46" s="1023"/>
      <c r="W46" s="1023"/>
      <c r="X46" s="1861"/>
      <c r="Y46" s="1024">
        <f t="shared" si="34"/>
        <v>0</v>
      </c>
      <c r="Z46" s="1023"/>
      <c r="AA46" s="1023"/>
      <c r="AB46" s="1023"/>
      <c r="AC46" s="1023"/>
      <c r="AD46" s="1023"/>
      <c r="AE46" s="1023"/>
      <c r="AF46" s="1023"/>
      <c r="AG46" s="1023"/>
      <c r="AH46" s="1861"/>
      <c r="AI46" s="1024">
        <f t="shared" si="36"/>
        <v>0</v>
      </c>
      <c r="AJ46" s="1023"/>
      <c r="AK46" s="1023"/>
      <c r="AL46" s="1023"/>
      <c r="AM46" s="1023"/>
      <c r="AN46" s="1023"/>
      <c r="AO46" s="1023"/>
      <c r="AP46" s="1023"/>
      <c r="AQ46" s="1023"/>
      <c r="AR46" s="1023"/>
      <c r="AS46" s="1023"/>
      <c r="AT46" s="1023"/>
      <c r="AU46" s="1861"/>
      <c r="AV46" s="1024">
        <f t="shared" si="38"/>
        <v>0</v>
      </c>
      <c r="AW46" s="1023"/>
      <c r="AX46" s="1023"/>
      <c r="AY46" s="1023"/>
      <c r="AZ46" s="1023"/>
      <c r="BA46" s="1861"/>
      <c r="BB46" s="1024">
        <f t="shared" si="39"/>
        <v>0</v>
      </c>
      <c r="BC46" s="1023"/>
      <c r="BD46" s="1023"/>
      <c r="BE46" s="1023"/>
      <c r="BF46" s="1023"/>
      <c r="BG46" s="1023"/>
      <c r="BH46" s="1023"/>
      <c r="BI46" s="1023"/>
      <c r="BJ46" s="1023"/>
      <c r="BK46" s="1861"/>
      <c r="BL46" s="1024">
        <f t="shared" si="41"/>
        <v>0</v>
      </c>
      <c r="BM46" s="1023"/>
      <c r="BN46" s="1023"/>
      <c r="BO46" s="1023"/>
      <c r="BP46" s="1023"/>
      <c r="BQ46" s="1023"/>
      <c r="BR46" s="1023"/>
      <c r="BS46" s="1023"/>
      <c r="BT46" s="1023"/>
      <c r="BU46" s="1023"/>
      <c r="BV46" s="1023"/>
      <c r="BW46" s="1023"/>
      <c r="BX46" s="1023"/>
      <c r="BY46" s="1023"/>
      <c r="BZ46" s="1023"/>
      <c r="CA46" s="1023"/>
      <c r="CB46" s="1861"/>
      <c r="CC46" s="1024">
        <f t="shared" si="43"/>
        <v>0</v>
      </c>
      <c r="CD46" s="1023"/>
      <c r="CE46" s="1023"/>
      <c r="CF46" s="1023"/>
      <c r="CG46" s="1023"/>
      <c r="CH46" s="1023"/>
      <c r="CI46" s="1861"/>
      <c r="CJ46" s="1024">
        <f t="shared" si="44"/>
        <v>0</v>
      </c>
      <c r="CK46" s="1023"/>
      <c r="CL46" s="1023"/>
      <c r="CM46" s="1023"/>
      <c r="CN46" s="1861"/>
      <c r="CO46" s="1022"/>
      <c r="DA46" s="956">
        <v>11</v>
      </c>
    </row>
    <row r="47" spans="6:105" ht="11.45" customHeight="1">
      <c r="F47" s="1018" t="s">
        <v>1145</v>
      </c>
      <c r="G47" s="1025" t="s">
        <v>1187</v>
      </c>
      <c r="H47" s="1024">
        <f t="shared" si="30"/>
        <v>0</v>
      </c>
      <c r="I47" s="1023"/>
      <c r="J47" s="1013"/>
      <c r="K47" s="1024">
        <f t="shared" si="31"/>
        <v>0</v>
      </c>
      <c r="L47" s="1023"/>
      <c r="M47" s="1023"/>
      <c r="N47" s="1023"/>
      <c r="O47" s="1023"/>
      <c r="P47" s="1023"/>
      <c r="Q47" s="1023"/>
      <c r="R47" s="1023"/>
      <c r="S47" s="1861"/>
      <c r="T47" s="1024">
        <f t="shared" si="33"/>
        <v>0</v>
      </c>
      <c r="U47" s="1023"/>
      <c r="V47" s="1023"/>
      <c r="W47" s="1023"/>
      <c r="X47" s="1861"/>
      <c r="Y47" s="1024">
        <f t="shared" si="34"/>
        <v>0</v>
      </c>
      <c r="Z47" s="1023"/>
      <c r="AA47" s="1023"/>
      <c r="AB47" s="1023"/>
      <c r="AC47" s="1023"/>
      <c r="AD47" s="1023"/>
      <c r="AE47" s="1023"/>
      <c r="AF47" s="1023"/>
      <c r="AG47" s="1023"/>
      <c r="AH47" s="1861"/>
      <c r="AI47" s="1024">
        <f t="shared" si="36"/>
        <v>0</v>
      </c>
      <c r="AJ47" s="1023"/>
      <c r="AK47" s="1023"/>
      <c r="AL47" s="1023"/>
      <c r="AM47" s="1023"/>
      <c r="AN47" s="1023"/>
      <c r="AO47" s="1023"/>
      <c r="AP47" s="1023"/>
      <c r="AQ47" s="1023"/>
      <c r="AR47" s="1023"/>
      <c r="AS47" s="1023"/>
      <c r="AT47" s="1023"/>
      <c r="AU47" s="1861"/>
      <c r="AV47" s="1024">
        <f t="shared" si="38"/>
        <v>0</v>
      </c>
      <c r="AW47" s="1023"/>
      <c r="AX47" s="1023"/>
      <c r="AY47" s="1023"/>
      <c r="AZ47" s="1023"/>
      <c r="BA47" s="1861"/>
      <c r="BB47" s="1024">
        <f t="shared" si="39"/>
        <v>0</v>
      </c>
      <c r="BC47" s="1023"/>
      <c r="BD47" s="1023"/>
      <c r="BE47" s="1023"/>
      <c r="BF47" s="1023"/>
      <c r="BG47" s="1023"/>
      <c r="BH47" s="1023"/>
      <c r="BI47" s="1023"/>
      <c r="BJ47" s="1023"/>
      <c r="BK47" s="1861"/>
      <c r="BL47" s="1024">
        <f t="shared" si="41"/>
        <v>0</v>
      </c>
      <c r="BM47" s="1023"/>
      <c r="BN47" s="1023"/>
      <c r="BO47" s="1023"/>
      <c r="BP47" s="1023"/>
      <c r="BQ47" s="1023"/>
      <c r="BR47" s="1023"/>
      <c r="BS47" s="1023"/>
      <c r="BT47" s="1023"/>
      <c r="BU47" s="1023"/>
      <c r="BV47" s="1023"/>
      <c r="BW47" s="1023"/>
      <c r="BX47" s="1023"/>
      <c r="BY47" s="1023"/>
      <c r="BZ47" s="1023"/>
      <c r="CA47" s="1023"/>
      <c r="CB47" s="1861"/>
      <c r="CC47" s="1024">
        <f t="shared" si="43"/>
        <v>0</v>
      </c>
      <c r="CD47" s="1023"/>
      <c r="CE47" s="1023"/>
      <c r="CF47" s="1023"/>
      <c r="CG47" s="1023"/>
      <c r="CH47" s="1023"/>
      <c r="CI47" s="1861"/>
      <c r="CJ47" s="1024">
        <f t="shared" si="44"/>
        <v>0</v>
      </c>
      <c r="CK47" s="1023"/>
      <c r="CL47" s="1023"/>
      <c r="CM47" s="1023"/>
      <c r="CN47" s="1861"/>
      <c r="CO47" s="1022"/>
      <c r="DA47" s="956">
        <v>11</v>
      </c>
    </row>
    <row r="48" spans="6:105" ht="24" customHeight="1">
      <c r="F48" s="1018" t="s">
        <v>89</v>
      </c>
      <c r="G48" s="611" t="s">
        <v>1188</v>
      </c>
      <c r="H48" s="1024">
        <f t="shared" si="30"/>
        <v>0</v>
      </c>
      <c r="I48" s="1024">
        <f>SUM(I49,I54,I57)</f>
        <v>0</v>
      </c>
      <c r="J48" s="1013"/>
      <c r="K48" s="1024">
        <f t="shared" si="31"/>
        <v>0</v>
      </c>
      <c r="L48" s="1024">
        <f t="shared" ref="L48:R48" si="55">SUM(L49,L54,L57)</f>
        <v>0</v>
      </c>
      <c r="M48" s="1024">
        <f t="shared" si="55"/>
        <v>0</v>
      </c>
      <c r="N48" s="1024">
        <f t="shared" si="55"/>
        <v>0</v>
      </c>
      <c r="O48" s="1024">
        <f t="shared" si="55"/>
        <v>0</v>
      </c>
      <c r="P48" s="1024">
        <f t="shared" si="55"/>
        <v>0</v>
      </c>
      <c r="Q48" s="1024">
        <f t="shared" si="55"/>
        <v>0</v>
      </c>
      <c r="R48" s="1024">
        <f t="shared" si="55"/>
        <v>0</v>
      </c>
      <c r="S48" s="1861"/>
      <c r="T48" s="1024">
        <f t="shared" si="33"/>
        <v>0</v>
      </c>
      <c r="U48" s="1024">
        <f>SUM(U49,U54,U57)</f>
        <v>0</v>
      </c>
      <c r="V48" s="1024">
        <f>SUM(V49,V54,V57)</f>
        <v>0</v>
      </c>
      <c r="W48" s="1024">
        <f>SUM(W49,W54,W57)</f>
        <v>0</v>
      </c>
      <c r="X48" s="1861"/>
      <c r="Y48" s="1024">
        <f t="shared" si="34"/>
        <v>0</v>
      </c>
      <c r="Z48" s="1024">
        <f t="shared" ref="Z48:AG48" si="56">SUM(Z49,Z54,Z57)</f>
        <v>0</v>
      </c>
      <c r="AA48" s="1024">
        <f t="shared" si="56"/>
        <v>0</v>
      </c>
      <c r="AB48" s="1024">
        <f t="shared" si="56"/>
        <v>0</v>
      </c>
      <c r="AC48" s="1024">
        <f t="shared" si="56"/>
        <v>0</v>
      </c>
      <c r="AD48" s="1024">
        <f t="shared" si="56"/>
        <v>0</v>
      </c>
      <c r="AE48" s="1024">
        <f t="shared" si="56"/>
        <v>0</v>
      </c>
      <c r="AF48" s="1024">
        <f t="shared" si="56"/>
        <v>0</v>
      </c>
      <c r="AG48" s="1024">
        <f t="shared" si="56"/>
        <v>0</v>
      </c>
      <c r="AH48" s="1861"/>
      <c r="AI48" s="1024">
        <f t="shared" si="36"/>
        <v>0</v>
      </c>
      <c r="AJ48" s="1024">
        <f t="shared" ref="AJ48:AT48" si="57">SUM(AJ49,AJ54,AJ57)</f>
        <v>0</v>
      </c>
      <c r="AK48" s="1024">
        <f t="shared" si="57"/>
        <v>0</v>
      </c>
      <c r="AL48" s="1024">
        <f t="shared" si="57"/>
        <v>0</v>
      </c>
      <c r="AM48" s="1024">
        <f t="shared" si="57"/>
        <v>0</v>
      </c>
      <c r="AN48" s="1024">
        <f t="shared" si="57"/>
        <v>0</v>
      </c>
      <c r="AO48" s="1024">
        <f t="shared" si="57"/>
        <v>0</v>
      </c>
      <c r="AP48" s="1024">
        <f t="shared" si="57"/>
        <v>0</v>
      </c>
      <c r="AQ48" s="1024">
        <f t="shared" si="57"/>
        <v>0</v>
      </c>
      <c r="AR48" s="1024">
        <f t="shared" si="57"/>
        <v>0</v>
      </c>
      <c r="AS48" s="1024">
        <f t="shared" si="57"/>
        <v>0</v>
      </c>
      <c r="AT48" s="1024">
        <f t="shared" si="57"/>
        <v>0</v>
      </c>
      <c r="AU48" s="1861"/>
      <c r="AV48" s="1024">
        <f t="shared" si="38"/>
        <v>0</v>
      </c>
      <c r="AW48" s="1024">
        <f>SUM(AW49,AW54,AW57)</f>
        <v>0</v>
      </c>
      <c r="AX48" s="1024">
        <f>SUM(AX49,AX54,AX57)</f>
        <v>0</v>
      </c>
      <c r="AY48" s="1024">
        <f>SUM(AY49,AY54,AY57)</f>
        <v>0</v>
      </c>
      <c r="AZ48" s="1024">
        <f>SUM(AZ49,AZ54,AZ57)</f>
        <v>0</v>
      </c>
      <c r="BA48" s="1861"/>
      <c r="BB48" s="1024">
        <f t="shared" si="39"/>
        <v>0</v>
      </c>
      <c r="BC48" s="1024">
        <f t="shared" ref="BC48:BJ48" si="58">SUM(BC49,BC54,BC57)</f>
        <v>0</v>
      </c>
      <c r="BD48" s="1024">
        <f t="shared" si="58"/>
        <v>0</v>
      </c>
      <c r="BE48" s="1024">
        <f t="shared" si="58"/>
        <v>0</v>
      </c>
      <c r="BF48" s="1024">
        <f t="shared" si="58"/>
        <v>0</v>
      </c>
      <c r="BG48" s="1024">
        <f t="shared" si="58"/>
        <v>0</v>
      </c>
      <c r="BH48" s="1024">
        <f t="shared" si="58"/>
        <v>0</v>
      </c>
      <c r="BI48" s="1024">
        <f t="shared" si="58"/>
        <v>0</v>
      </c>
      <c r="BJ48" s="1024">
        <f t="shared" si="58"/>
        <v>0</v>
      </c>
      <c r="BK48" s="1861"/>
      <c r="BL48" s="1024">
        <f t="shared" si="41"/>
        <v>0</v>
      </c>
      <c r="BM48" s="1024">
        <f t="shared" ref="BM48:CA48" si="59">SUM(BM49,BM54,BM57)</f>
        <v>0</v>
      </c>
      <c r="BN48" s="1024">
        <f t="shared" si="59"/>
        <v>0</v>
      </c>
      <c r="BO48" s="1024">
        <f t="shared" si="59"/>
        <v>0</v>
      </c>
      <c r="BP48" s="1024">
        <f t="shared" si="59"/>
        <v>0</v>
      </c>
      <c r="BQ48" s="1024">
        <f t="shared" si="59"/>
        <v>0</v>
      </c>
      <c r="BR48" s="1024">
        <f t="shared" si="59"/>
        <v>0</v>
      </c>
      <c r="BS48" s="1024">
        <f t="shared" si="59"/>
        <v>0</v>
      </c>
      <c r="BT48" s="1024">
        <f t="shared" si="59"/>
        <v>0</v>
      </c>
      <c r="BU48" s="1024">
        <f t="shared" si="59"/>
        <v>0</v>
      </c>
      <c r="BV48" s="1024">
        <f t="shared" si="59"/>
        <v>0</v>
      </c>
      <c r="BW48" s="1024">
        <f t="shared" si="59"/>
        <v>0</v>
      </c>
      <c r="BX48" s="1024">
        <f t="shared" si="59"/>
        <v>0</v>
      </c>
      <c r="BY48" s="1024">
        <f t="shared" si="59"/>
        <v>0</v>
      </c>
      <c r="BZ48" s="1024">
        <f t="shared" si="59"/>
        <v>0</v>
      </c>
      <c r="CA48" s="1024">
        <f t="shared" si="59"/>
        <v>0</v>
      </c>
      <c r="CB48" s="1861"/>
      <c r="CC48" s="1024">
        <f t="shared" si="43"/>
        <v>0</v>
      </c>
      <c r="CD48" s="1024">
        <f>SUM(CD49,CD54,CD57)</f>
        <v>0</v>
      </c>
      <c r="CE48" s="1024">
        <f>SUM(CE49,CE54,CE57)</f>
        <v>0</v>
      </c>
      <c r="CF48" s="1024">
        <f>SUM(CF49,CF54,CF57)</f>
        <v>0</v>
      </c>
      <c r="CG48" s="1024">
        <f>SUM(CG49,CG54,CG57)</f>
        <v>0</v>
      </c>
      <c r="CH48" s="1024">
        <f>SUM(CH49,CH54,CH57)</f>
        <v>0</v>
      </c>
      <c r="CI48" s="1861"/>
      <c r="CJ48" s="1024">
        <f t="shared" si="44"/>
        <v>0</v>
      </c>
      <c r="CK48" s="1024">
        <f>SUM(CK49,CK54,CK57)</f>
        <v>0</v>
      </c>
      <c r="CL48" s="1024">
        <f>SUM(CL49,CL54,CL57)</f>
        <v>0</v>
      </c>
      <c r="CM48" s="1024">
        <f>SUM(CM49,CM54,CM57)</f>
        <v>0</v>
      </c>
      <c r="CN48" s="1861"/>
      <c r="CO48" s="1022"/>
      <c r="DA48" s="956">
        <v>23</v>
      </c>
    </row>
    <row r="49" spans="1:105" ht="11.45" customHeight="1">
      <c r="F49" s="1018" t="s">
        <v>823</v>
      </c>
      <c r="G49" s="1025" t="s">
        <v>1140</v>
      </c>
      <c r="H49" s="1024">
        <f t="shared" si="30"/>
        <v>0</v>
      </c>
      <c r="I49" s="1024">
        <f>SUM(I50:I53)</f>
        <v>0</v>
      </c>
      <c r="J49" s="1013"/>
      <c r="K49" s="1024">
        <f t="shared" si="31"/>
        <v>0</v>
      </c>
      <c r="L49" s="1024">
        <f t="shared" ref="L49:R49" si="60">SUM(L50:L53)</f>
        <v>0</v>
      </c>
      <c r="M49" s="1024">
        <f t="shared" si="60"/>
        <v>0</v>
      </c>
      <c r="N49" s="1024">
        <f t="shared" si="60"/>
        <v>0</v>
      </c>
      <c r="O49" s="1024">
        <f t="shared" si="60"/>
        <v>0</v>
      </c>
      <c r="P49" s="1024">
        <f t="shared" si="60"/>
        <v>0</v>
      </c>
      <c r="Q49" s="1024">
        <f t="shared" si="60"/>
        <v>0</v>
      </c>
      <c r="R49" s="1024">
        <f t="shared" si="60"/>
        <v>0</v>
      </c>
      <c r="S49" s="1861"/>
      <c r="T49" s="1024">
        <f t="shared" si="33"/>
        <v>0</v>
      </c>
      <c r="U49" s="1024">
        <f>SUM(U50:U53)</f>
        <v>0</v>
      </c>
      <c r="V49" s="1024">
        <f>SUM(V50:V53)</f>
        <v>0</v>
      </c>
      <c r="W49" s="1024">
        <f>SUM(W50:W53)</f>
        <v>0</v>
      </c>
      <c r="X49" s="1861"/>
      <c r="Y49" s="1024">
        <f t="shared" si="34"/>
        <v>0</v>
      </c>
      <c r="Z49" s="1024">
        <f t="shared" ref="Z49:AG49" si="61">SUM(Z50:Z53)</f>
        <v>0</v>
      </c>
      <c r="AA49" s="1024">
        <f t="shared" si="61"/>
        <v>0</v>
      </c>
      <c r="AB49" s="1024">
        <f t="shared" si="61"/>
        <v>0</v>
      </c>
      <c r="AC49" s="1024">
        <f t="shared" si="61"/>
        <v>0</v>
      </c>
      <c r="AD49" s="1024">
        <f t="shared" si="61"/>
        <v>0</v>
      </c>
      <c r="AE49" s="1024">
        <f t="shared" si="61"/>
        <v>0</v>
      </c>
      <c r="AF49" s="1024">
        <f t="shared" si="61"/>
        <v>0</v>
      </c>
      <c r="AG49" s="1024">
        <f t="shared" si="61"/>
        <v>0</v>
      </c>
      <c r="AH49" s="1861"/>
      <c r="AI49" s="1024">
        <f t="shared" si="36"/>
        <v>0</v>
      </c>
      <c r="AJ49" s="1024">
        <f t="shared" ref="AJ49:AT49" si="62">SUM(AJ50:AJ53)</f>
        <v>0</v>
      </c>
      <c r="AK49" s="1024">
        <f t="shared" si="62"/>
        <v>0</v>
      </c>
      <c r="AL49" s="1024">
        <f t="shared" si="62"/>
        <v>0</v>
      </c>
      <c r="AM49" s="1024">
        <f t="shared" si="62"/>
        <v>0</v>
      </c>
      <c r="AN49" s="1024">
        <f t="shared" si="62"/>
        <v>0</v>
      </c>
      <c r="AO49" s="1024">
        <f t="shared" si="62"/>
        <v>0</v>
      </c>
      <c r="AP49" s="1024">
        <f t="shared" si="62"/>
        <v>0</v>
      </c>
      <c r="AQ49" s="1024">
        <f t="shared" si="62"/>
        <v>0</v>
      </c>
      <c r="AR49" s="1024">
        <f t="shared" si="62"/>
        <v>0</v>
      </c>
      <c r="AS49" s="1024">
        <f t="shared" si="62"/>
        <v>0</v>
      </c>
      <c r="AT49" s="1024">
        <f t="shared" si="62"/>
        <v>0</v>
      </c>
      <c r="AU49" s="1861"/>
      <c r="AV49" s="1024">
        <f t="shared" si="38"/>
        <v>0</v>
      </c>
      <c r="AW49" s="1024">
        <f>SUM(AW50:AW53)</f>
        <v>0</v>
      </c>
      <c r="AX49" s="1024">
        <f>SUM(AX50:AX53)</f>
        <v>0</v>
      </c>
      <c r="AY49" s="1024">
        <f>SUM(AY50:AY53)</f>
        <v>0</v>
      </c>
      <c r="AZ49" s="1024">
        <f>SUM(AZ50:AZ53)</f>
        <v>0</v>
      </c>
      <c r="BA49" s="1861"/>
      <c r="BB49" s="1024">
        <f t="shared" si="39"/>
        <v>0</v>
      </c>
      <c r="BC49" s="1024">
        <f t="shared" ref="BC49:BJ49" si="63">SUM(BC50:BC53)</f>
        <v>0</v>
      </c>
      <c r="BD49" s="1024">
        <f t="shared" si="63"/>
        <v>0</v>
      </c>
      <c r="BE49" s="1024">
        <f t="shared" si="63"/>
        <v>0</v>
      </c>
      <c r="BF49" s="1024">
        <f t="shared" si="63"/>
        <v>0</v>
      </c>
      <c r="BG49" s="1024">
        <f t="shared" si="63"/>
        <v>0</v>
      </c>
      <c r="BH49" s="1024">
        <f t="shared" si="63"/>
        <v>0</v>
      </c>
      <c r="BI49" s="1024">
        <f t="shared" si="63"/>
        <v>0</v>
      </c>
      <c r="BJ49" s="1024">
        <f t="shared" si="63"/>
        <v>0</v>
      </c>
      <c r="BK49" s="1861"/>
      <c r="BL49" s="1024">
        <f t="shared" si="41"/>
        <v>0</v>
      </c>
      <c r="BM49" s="1024">
        <f t="shared" ref="BM49:CA49" si="64">SUM(BM50:BM53)</f>
        <v>0</v>
      </c>
      <c r="BN49" s="1024">
        <f t="shared" si="64"/>
        <v>0</v>
      </c>
      <c r="BO49" s="1024">
        <f t="shared" si="64"/>
        <v>0</v>
      </c>
      <c r="BP49" s="1024">
        <f t="shared" si="64"/>
        <v>0</v>
      </c>
      <c r="BQ49" s="1024">
        <f t="shared" si="64"/>
        <v>0</v>
      </c>
      <c r="BR49" s="1024">
        <f t="shared" si="64"/>
        <v>0</v>
      </c>
      <c r="BS49" s="1024">
        <f t="shared" si="64"/>
        <v>0</v>
      </c>
      <c r="BT49" s="1024">
        <f t="shared" si="64"/>
        <v>0</v>
      </c>
      <c r="BU49" s="1024">
        <f t="shared" si="64"/>
        <v>0</v>
      </c>
      <c r="BV49" s="1024">
        <f t="shared" si="64"/>
        <v>0</v>
      </c>
      <c r="BW49" s="1024">
        <f t="shared" si="64"/>
        <v>0</v>
      </c>
      <c r="BX49" s="1024">
        <f t="shared" si="64"/>
        <v>0</v>
      </c>
      <c r="BY49" s="1024">
        <f t="shared" si="64"/>
        <v>0</v>
      </c>
      <c r="BZ49" s="1024">
        <f t="shared" si="64"/>
        <v>0</v>
      </c>
      <c r="CA49" s="1024">
        <f t="shared" si="64"/>
        <v>0</v>
      </c>
      <c r="CB49" s="1861"/>
      <c r="CC49" s="1024">
        <f t="shared" si="43"/>
        <v>0</v>
      </c>
      <c r="CD49" s="1024">
        <f>SUM(CD50:CD53)</f>
        <v>0</v>
      </c>
      <c r="CE49" s="1024">
        <f>SUM(CE50:CE53)</f>
        <v>0</v>
      </c>
      <c r="CF49" s="1024">
        <f>SUM(CF50:CF53)</f>
        <v>0</v>
      </c>
      <c r="CG49" s="1024">
        <f>SUM(CG50:CG53)</f>
        <v>0</v>
      </c>
      <c r="CH49" s="1024">
        <f>SUM(CH50:CH53)</f>
        <v>0</v>
      </c>
      <c r="CI49" s="1861"/>
      <c r="CJ49" s="1024">
        <f t="shared" si="44"/>
        <v>0</v>
      </c>
      <c r="CK49" s="1024">
        <f>SUM(CK50:CK53)</f>
        <v>0</v>
      </c>
      <c r="CL49" s="1024">
        <f>SUM(CL50:CL53)</f>
        <v>0</v>
      </c>
      <c r="CM49" s="1024">
        <f>SUM(CM50:CM53)</f>
        <v>0</v>
      </c>
      <c r="CN49" s="1861"/>
      <c r="CO49" s="1022"/>
      <c r="DA49" s="956">
        <v>11</v>
      </c>
    </row>
    <row r="50" spans="1:105" ht="24" customHeight="1">
      <c r="F50" s="1018" t="s">
        <v>826</v>
      </c>
      <c r="G50" s="1026" t="s">
        <v>1178</v>
      </c>
      <c r="H50" s="1024">
        <f t="shared" si="30"/>
        <v>0</v>
      </c>
      <c r="I50" s="1023"/>
      <c r="J50" s="1013"/>
      <c r="K50" s="1024">
        <f t="shared" si="31"/>
        <v>0</v>
      </c>
      <c r="L50" s="1023"/>
      <c r="M50" s="1023"/>
      <c r="N50" s="1023"/>
      <c r="O50" s="1023"/>
      <c r="P50" s="1023"/>
      <c r="Q50" s="1023"/>
      <c r="R50" s="1023"/>
      <c r="S50" s="1861"/>
      <c r="T50" s="1024">
        <f t="shared" si="33"/>
        <v>0</v>
      </c>
      <c r="U50" s="1023"/>
      <c r="V50" s="1023"/>
      <c r="W50" s="1023"/>
      <c r="X50" s="1861"/>
      <c r="Y50" s="1024">
        <f t="shared" si="34"/>
        <v>0</v>
      </c>
      <c r="Z50" s="1023"/>
      <c r="AA50" s="1023"/>
      <c r="AB50" s="1023"/>
      <c r="AC50" s="1023"/>
      <c r="AD50" s="1023"/>
      <c r="AE50" s="1023"/>
      <c r="AF50" s="1023"/>
      <c r="AG50" s="1023"/>
      <c r="AH50" s="1861"/>
      <c r="AI50" s="1024">
        <f t="shared" si="36"/>
        <v>0</v>
      </c>
      <c r="AJ50" s="1023"/>
      <c r="AK50" s="1023"/>
      <c r="AL50" s="1023"/>
      <c r="AM50" s="1023"/>
      <c r="AN50" s="1023"/>
      <c r="AO50" s="1023"/>
      <c r="AP50" s="1023"/>
      <c r="AQ50" s="1023"/>
      <c r="AR50" s="1023"/>
      <c r="AS50" s="1023"/>
      <c r="AT50" s="1023"/>
      <c r="AU50" s="1861"/>
      <c r="AV50" s="1024">
        <f t="shared" si="38"/>
        <v>0</v>
      </c>
      <c r="AW50" s="1023"/>
      <c r="AX50" s="1023"/>
      <c r="AY50" s="1023"/>
      <c r="AZ50" s="1023"/>
      <c r="BA50" s="1861"/>
      <c r="BB50" s="1024">
        <f t="shared" si="39"/>
        <v>0</v>
      </c>
      <c r="BC50" s="1023"/>
      <c r="BD50" s="1023"/>
      <c r="BE50" s="1023"/>
      <c r="BF50" s="1023"/>
      <c r="BG50" s="1023"/>
      <c r="BH50" s="1023"/>
      <c r="BI50" s="1023"/>
      <c r="BJ50" s="1023"/>
      <c r="BK50" s="1861"/>
      <c r="BL50" s="1024">
        <f t="shared" si="41"/>
        <v>0</v>
      </c>
      <c r="BM50" s="1023"/>
      <c r="BN50" s="1023"/>
      <c r="BO50" s="1023"/>
      <c r="BP50" s="1023"/>
      <c r="BQ50" s="1023"/>
      <c r="BR50" s="1023"/>
      <c r="BS50" s="1023"/>
      <c r="BT50" s="1023"/>
      <c r="BU50" s="1023"/>
      <c r="BV50" s="1023"/>
      <c r="BW50" s="1023"/>
      <c r="BX50" s="1023"/>
      <c r="BY50" s="1023"/>
      <c r="BZ50" s="1023"/>
      <c r="CA50" s="1023"/>
      <c r="CB50" s="1861"/>
      <c r="CC50" s="1024">
        <f t="shared" si="43"/>
        <v>0</v>
      </c>
      <c r="CD50" s="1023"/>
      <c r="CE50" s="1023"/>
      <c r="CF50" s="1023"/>
      <c r="CG50" s="1023"/>
      <c r="CH50" s="1023"/>
      <c r="CI50" s="1861"/>
      <c r="CJ50" s="1024">
        <f t="shared" si="44"/>
        <v>0</v>
      </c>
      <c r="CK50" s="1023"/>
      <c r="CL50" s="1023"/>
      <c r="CM50" s="1023"/>
      <c r="CN50" s="1861"/>
      <c r="CO50" s="1022"/>
      <c r="DA50" s="956">
        <v>23</v>
      </c>
    </row>
    <row r="51" spans="1:105" ht="11.45" customHeight="1">
      <c r="F51" s="1018" t="s">
        <v>829</v>
      </c>
      <c r="G51" s="1026" t="s">
        <v>1180</v>
      </c>
      <c r="H51" s="1024">
        <f t="shared" si="30"/>
        <v>0</v>
      </c>
      <c r="I51" s="1023"/>
      <c r="J51" s="1013"/>
      <c r="K51" s="1024">
        <f t="shared" si="31"/>
        <v>0</v>
      </c>
      <c r="L51" s="1023"/>
      <c r="M51" s="1023"/>
      <c r="N51" s="1023"/>
      <c r="O51" s="1023"/>
      <c r="P51" s="1023"/>
      <c r="Q51" s="1023"/>
      <c r="R51" s="1023"/>
      <c r="S51" s="1861"/>
      <c r="T51" s="1024">
        <f t="shared" si="33"/>
        <v>0</v>
      </c>
      <c r="U51" s="1023"/>
      <c r="V51" s="1023"/>
      <c r="W51" s="1023"/>
      <c r="X51" s="1861"/>
      <c r="Y51" s="1024">
        <f t="shared" si="34"/>
        <v>0</v>
      </c>
      <c r="Z51" s="1023"/>
      <c r="AA51" s="1023"/>
      <c r="AB51" s="1023"/>
      <c r="AC51" s="1023"/>
      <c r="AD51" s="1023"/>
      <c r="AE51" s="1023"/>
      <c r="AF51" s="1023"/>
      <c r="AG51" s="1023"/>
      <c r="AH51" s="1861"/>
      <c r="AI51" s="1024">
        <f t="shared" si="36"/>
        <v>0</v>
      </c>
      <c r="AJ51" s="1023"/>
      <c r="AK51" s="1023"/>
      <c r="AL51" s="1023"/>
      <c r="AM51" s="1023"/>
      <c r="AN51" s="1023"/>
      <c r="AO51" s="1023"/>
      <c r="AP51" s="1023"/>
      <c r="AQ51" s="1023"/>
      <c r="AR51" s="1023"/>
      <c r="AS51" s="1023"/>
      <c r="AT51" s="1023"/>
      <c r="AU51" s="1861"/>
      <c r="AV51" s="1024">
        <f t="shared" si="38"/>
        <v>0</v>
      </c>
      <c r="AW51" s="1023"/>
      <c r="AX51" s="1023"/>
      <c r="AY51" s="1023"/>
      <c r="AZ51" s="1023"/>
      <c r="BA51" s="1861"/>
      <c r="BB51" s="1024">
        <f t="shared" si="39"/>
        <v>0</v>
      </c>
      <c r="BC51" s="1023"/>
      <c r="BD51" s="1023"/>
      <c r="BE51" s="1023"/>
      <c r="BF51" s="1023"/>
      <c r="BG51" s="1023"/>
      <c r="BH51" s="1023"/>
      <c r="BI51" s="1023"/>
      <c r="BJ51" s="1023"/>
      <c r="BK51" s="1861"/>
      <c r="BL51" s="1024">
        <f t="shared" si="41"/>
        <v>0</v>
      </c>
      <c r="BM51" s="1023"/>
      <c r="BN51" s="1023"/>
      <c r="BO51" s="1023"/>
      <c r="BP51" s="1023"/>
      <c r="BQ51" s="1023"/>
      <c r="BR51" s="1023"/>
      <c r="BS51" s="1023"/>
      <c r="BT51" s="1023"/>
      <c r="BU51" s="1023"/>
      <c r="BV51" s="1023"/>
      <c r="BW51" s="1023"/>
      <c r="BX51" s="1023"/>
      <c r="BY51" s="1023"/>
      <c r="BZ51" s="1023"/>
      <c r="CA51" s="1023"/>
      <c r="CB51" s="1861"/>
      <c r="CC51" s="1024">
        <f t="shared" si="43"/>
        <v>0</v>
      </c>
      <c r="CD51" s="1023"/>
      <c r="CE51" s="1023"/>
      <c r="CF51" s="1023"/>
      <c r="CG51" s="1023"/>
      <c r="CH51" s="1023"/>
      <c r="CI51" s="1861"/>
      <c r="CJ51" s="1024">
        <f t="shared" si="44"/>
        <v>0</v>
      </c>
      <c r="CK51" s="1023"/>
      <c r="CL51" s="1023"/>
      <c r="CM51" s="1023"/>
      <c r="CN51" s="1861"/>
      <c r="CO51" s="1022"/>
      <c r="DA51" s="956">
        <v>11</v>
      </c>
    </row>
    <row r="52" spans="1:105" ht="11.45" customHeight="1">
      <c r="F52" s="1018" t="s">
        <v>1189</v>
      </c>
      <c r="G52" s="1026" t="s">
        <v>1182</v>
      </c>
      <c r="H52" s="1024">
        <f t="shared" si="30"/>
        <v>0</v>
      </c>
      <c r="I52" s="1023"/>
      <c r="J52" s="1013"/>
      <c r="K52" s="1024">
        <f t="shared" si="31"/>
        <v>0</v>
      </c>
      <c r="L52" s="1023"/>
      <c r="M52" s="1023"/>
      <c r="N52" s="1023"/>
      <c r="O52" s="1023"/>
      <c r="P52" s="1023"/>
      <c r="Q52" s="1023"/>
      <c r="R52" s="1023"/>
      <c r="S52" s="1861"/>
      <c r="T52" s="1024">
        <f t="shared" si="33"/>
        <v>0</v>
      </c>
      <c r="U52" s="1023"/>
      <c r="V52" s="1023"/>
      <c r="W52" s="1023"/>
      <c r="X52" s="1861"/>
      <c r="Y52" s="1024">
        <f t="shared" si="34"/>
        <v>0</v>
      </c>
      <c r="Z52" s="1023"/>
      <c r="AA52" s="1023"/>
      <c r="AB52" s="1023"/>
      <c r="AC52" s="1023"/>
      <c r="AD52" s="1023"/>
      <c r="AE52" s="1023"/>
      <c r="AF52" s="1023"/>
      <c r="AG52" s="1023"/>
      <c r="AH52" s="1861"/>
      <c r="AI52" s="1024">
        <f t="shared" si="36"/>
        <v>0</v>
      </c>
      <c r="AJ52" s="1023"/>
      <c r="AK52" s="1023"/>
      <c r="AL52" s="1023"/>
      <c r="AM52" s="1023"/>
      <c r="AN52" s="1023"/>
      <c r="AO52" s="1023"/>
      <c r="AP52" s="1023"/>
      <c r="AQ52" s="1023"/>
      <c r="AR52" s="1023"/>
      <c r="AS52" s="1023"/>
      <c r="AT52" s="1023"/>
      <c r="AU52" s="1861"/>
      <c r="AV52" s="1024">
        <f t="shared" si="38"/>
        <v>0</v>
      </c>
      <c r="AW52" s="1023"/>
      <c r="AX52" s="1023"/>
      <c r="AY52" s="1023"/>
      <c r="AZ52" s="1023"/>
      <c r="BA52" s="1861"/>
      <c r="BB52" s="1024">
        <f t="shared" si="39"/>
        <v>0</v>
      </c>
      <c r="BC52" s="1023"/>
      <c r="BD52" s="1023"/>
      <c r="BE52" s="1023"/>
      <c r="BF52" s="1023"/>
      <c r="BG52" s="1023"/>
      <c r="BH52" s="1023"/>
      <c r="BI52" s="1023"/>
      <c r="BJ52" s="1023"/>
      <c r="BK52" s="1861"/>
      <c r="BL52" s="1024">
        <f t="shared" si="41"/>
        <v>0</v>
      </c>
      <c r="BM52" s="1023"/>
      <c r="BN52" s="1023"/>
      <c r="BO52" s="1023"/>
      <c r="BP52" s="1023"/>
      <c r="BQ52" s="1023"/>
      <c r="BR52" s="1023"/>
      <c r="BS52" s="1023"/>
      <c r="BT52" s="1023"/>
      <c r="BU52" s="1023"/>
      <c r="BV52" s="1023"/>
      <c r="BW52" s="1023"/>
      <c r="BX52" s="1023"/>
      <c r="BY52" s="1023"/>
      <c r="BZ52" s="1023"/>
      <c r="CA52" s="1023"/>
      <c r="CB52" s="1861"/>
      <c r="CC52" s="1024">
        <f t="shared" si="43"/>
        <v>0</v>
      </c>
      <c r="CD52" s="1023"/>
      <c r="CE52" s="1023"/>
      <c r="CF52" s="1023"/>
      <c r="CG52" s="1023"/>
      <c r="CH52" s="1023"/>
      <c r="CI52" s="1861"/>
      <c r="CJ52" s="1024">
        <f t="shared" si="44"/>
        <v>0</v>
      </c>
      <c r="CK52" s="1023"/>
      <c r="CL52" s="1023"/>
      <c r="CM52" s="1023"/>
      <c r="CN52" s="1861"/>
      <c r="CO52" s="1022"/>
      <c r="DA52" s="956">
        <v>11</v>
      </c>
    </row>
    <row r="53" spans="1:105" ht="35.65" customHeight="1">
      <c r="F53" s="1018" t="s">
        <v>1190</v>
      </c>
      <c r="G53" s="1026" t="s">
        <v>1184</v>
      </c>
      <c r="H53" s="1024">
        <f t="shared" si="30"/>
        <v>0</v>
      </c>
      <c r="I53" s="1023"/>
      <c r="J53" s="1013"/>
      <c r="K53" s="1024">
        <f t="shared" si="31"/>
        <v>0</v>
      </c>
      <c r="L53" s="1023"/>
      <c r="M53" s="1023"/>
      <c r="N53" s="1023"/>
      <c r="O53" s="1023"/>
      <c r="P53" s="1023"/>
      <c r="Q53" s="1023"/>
      <c r="R53" s="1023"/>
      <c r="S53" s="1861"/>
      <c r="T53" s="1024">
        <f t="shared" si="33"/>
        <v>0</v>
      </c>
      <c r="U53" s="1023"/>
      <c r="V53" s="1023"/>
      <c r="W53" s="1023"/>
      <c r="X53" s="1861"/>
      <c r="Y53" s="1024">
        <f t="shared" si="34"/>
        <v>0</v>
      </c>
      <c r="Z53" s="1023"/>
      <c r="AA53" s="1023"/>
      <c r="AB53" s="1023"/>
      <c r="AC53" s="1023"/>
      <c r="AD53" s="1023"/>
      <c r="AE53" s="1023"/>
      <c r="AF53" s="1023"/>
      <c r="AG53" s="1023"/>
      <c r="AH53" s="1861"/>
      <c r="AI53" s="1024">
        <f t="shared" si="36"/>
        <v>0</v>
      </c>
      <c r="AJ53" s="1023"/>
      <c r="AK53" s="1023"/>
      <c r="AL53" s="1023"/>
      <c r="AM53" s="1023"/>
      <c r="AN53" s="1023"/>
      <c r="AO53" s="1023"/>
      <c r="AP53" s="1023"/>
      <c r="AQ53" s="1023"/>
      <c r="AR53" s="1023"/>
      <c r="AS53" s="1023"/>
      <c r="AT53" s="1023"/>
      <c r="AU53" s="1861"/>
      <c r="AV53" s="1024">
        <f t="shared" si="38"/>
        <v>0</v>
      </c>
      <c r="AW53" s="1023"/>
      <c r="AX53" s="1023"/>
      <c r="AY53" s="1023"/>
      <c r="AZ53" s="1023"/>
      <c r="BA53" s="1861"/>
      <c r="BB53" s="1024">
        <f t="shared" si="39"/>
        <v>0</v>
      </c>
      <c r="BC53" s="1023"/>
      <c r="BD53" s="1023"/>
      <c r="BE53" s="1023"/>
      <c r="BF53" s="1023"/>
      <c r="BG53" s="1023"/>
      <c r="BH53" s="1023"/>
      <c r="BI53" s="1023"/>
      <c r="BJ53" s="1023"/>
      <c r="BK53" s="1861"/>
      <c r="BL53" s="1024">
        <f t="shared" si="41"/>
        <v>0</v>
      </c>
      <c r="BM53" s="1023"/>
      <c r="BN53" s="1023"/>
      <c r="BO53" s="1023"/>
      <c r="BP53" s="1023"/>
      <c r="BQ53" s="1023"/>
      <c r="BR53" s="1023"/>
      <c r="BS53" s="1023"/>
      <c r="BT53" s="1023"/>
      <c r="BU53" s="1023"/>
      <c r="BV53" s="1023"/>
      <c r="BW53" s="1023"/>
      <c r="BX53" s="1023"/>
      <c r="BY53" s="1023"/>
      <c r="BZ53" s="1023"/>
      <c r="CA53" s="1023"/>
      <c r="CB53" s="1861"/>
      <c r="CC53" s="1024">
        <f t="shared" si="43"/>
        <v>0</v>
      </c>
      <c r="CD53" s="1023"/>
      <c r="CE53" s="1023"/>
      <c r="CF53" s="1023"/>
      <c r="CG53" s="1023"/>
      <c r="CH53" s="1023"/>
      <c r="CI53" s="1861"/>
      <c r="CJ53" s="1024">
        <f t="shared" si="44"/>
        <v>0</v>
      </c>
      <c r="CK53" s="1023"/>
      <c r="CL53" s="1023"/>
      <c r="CM53" s="1023"/>
      <c r="CN53" s="1861"/>
      <c r="CO53" s="1022"/>
      <c r="DA53" s="956">
        <v>34</v>
      </c>
    </row>
    <row r="54" spans="1:105" ht="11.45" customHeight="1">
      <c r="F54" s="1018" t="s">
        <v>391</v>
      </c>
      <c r="G54" s="1025" t="s">
        <v>1169</v>
      </c>
      <c r="H54" s="1024">
        <f t="shared" si="30"/>
        <v>0</v>
      </c>
      <c r="I54" s="1024">
        <f>SUM(I55:I56)</f>
        <v>0</v>
      </c>
      <c r="J54" s="1013"/>
      <c r="K54" s="1024">
        <f t="shared" si="31"/>
        <v>0</v>
      </c>
      <c r="L54" s="1024">
        <f t="shared" ref="L54:R54" si="65">SUM(L55:L56)</f>
        <v>0</v>
      </c>
      <c r="M54" s="1024">
        <f t="shared" si="65"/>
        <v>0</v>
      </c>
      <c r="N54" s="1024">
        <f t="shared" si="65"/>
        <v>0</v>
      </c>
      <c r="O54" s="1024">
        <f t="shared" si="65"/>
        <v>0</v>
      </c>
      <c r="P54" s="1024">
        <f t="shared" si="65"/>
        <v>0</v>
      </c>
      <c r="Q54" s="1024">
        <f t="shared" si="65"/>
        <v>0</v>
      </c>
      <c r="R54" s="1024">
        <f t="shared" si="65"/>
        <v>0</v>
      </c>
      <c r="S54" s="1861"/>
      <c r="T54" s="1024">
        <f t="shared" si="33"/>
        <v>0</v>
      </c>
      <c r="U54" s="1024">
        <f>SUM(U55:U56)</f>
        <v>0</v>
      </c>
      <c r="V54" s="1024">
        <f>SUM(V55:V56)</f>
        <v>0</v>
      </c>
      <c r="W54" s="1024">
        <f>SUM(W55:W56)</f>
        <v>0</v>
      </c>
      <c r="X54" s="1861"/>
      <c r="Y54" s="1024">
        <f t="shared" si="34"/>
        <v>0</v>
      </c>
      <c r="Z54" s="1024">
        <f t="shared" ref="Z54:AG54" si="66">SUM(Z55:Z56)</f>
        <v>0</v>
      </c>
      <c r="AA54" s="1024">
        <f t="shared" si="66"/>
        <v>0</v>
      </c>
      <c r="AB54" s="1024">
        <f t="shared" si="66"/>
        <v>0</v>
      </c>
      <c r="AC54" s="1024">
        <f t="shared" si="66"/>
        <v>0</v>
      </c>
      <c r="AD54" s="1024">
        <f t="shared" si="66"/>
        <v>0</v>
      </c>
      <c r="AE54" s="1024">
        <f t="shared" si="66"/>
        <v>0</v>
      </c>
      <c r="AF54" s="1024">
        <f t="shared" si="66"/>
        <v>0</v>
      </c>
      <c r="AG54" s="1024">
        <f t="shared" si="66"/>
        <v>0</v>
      </c>
      <c r="AH54" s="1861"/>
      <c r="AI54" s="1024">
        <f t="shared" si="36"/>
        <v>0</v>
      </c>
      <c r="AJ54" s="1024">
        <f t="shared" ref="AJ54:AT54" si="67">SUM(AJ55:AJ56)</f>
        <v>0</v>
      </c>
      <c r="AK54" s="1024">
        <f t="shared" si="67"/>
        <v>0</v>
      </c>
      <c r="AL54" s="1024">
        <f t="shared" si="67"/>
        <v>0</v>
      </c>
      <c r="AM54" s="1024">
        <f t="shared" si="67"/>
        <v>0</v>
      </c>
      <c r="AN54" s="1024">
        <f t="shared" si="67"/>
        <v>0</v>
      </c>
      <c r="AO54" s="1024">
        <f t="shared" si="67"/>
        <v>0</v>
      </c>
      <c r="AP54" s="1024">
        <f t="shared" si="67"/>
        <v>0</v>
      </c>
      <c r="AQ54" s="1024">
        <f t="shared" si="67"/>
        <v>0</v>
      </c>
      <c r="AR54" s="1024">
        <f t="shared" si="67"/>
        <v>0</v>
      </c>
      <c r="AS54" s="1024">
        <f t="shared" si="67"/>
        <v>0</v>
      </c>
      <c r="AT54" s="1024">
        <f t="shared" si="67"/>
        <v>0</v>
      </c>
      <c r="AU54" s="1861"/>
      <c r="AV54" s="1024">
        <f t="shared" si="38"/>
        <v>0</v>
      </c>
      <c r="AW54" s="1024">
        <f>SUM(AW55:AW56)</f>
        <v>0</v>
      </c>
      <c r="AX54" s="1024">
        <f>SUM(AX55:AX56)</f>
        <v>0</v>
      </c>
      <c r="AY54" s="1024">
        <f>SUM(AY55:AY56)</f>
        <v>0</v>
      </c>
      <c r="AZ54" s="1024">
        <f>SUM(AZ55:AZ56)</f>
        <v>0</v>
      </c>
      <c r="BA54" s="1861"/>
      <c r="BB54" s="1024">
        <f t="shared" si="39"/>
        <v>0</v>
      </c>
      <c r="BC54" s="1024">
        <f t="shared" ref="BC54:BJ54" si="68">SUM(BC55:BC56)</f>
        <v>0</v>
      </c>
      <c r="BD54" s="1024">
        <f t="shared" si="68"/>
        <v>0</v>
      </c>
      <c r="BE54" s="1024">
        <f t="shared" si="68"/>
        <v>0</v>
      </c>
      <c r="BF54" s="1024">
        <f t="shared" si="68"/>
        <v>0</v>
      </c>
      <c r="BG54" s="1024">
        <f t="shared" si="68"/>
        <v>0</v>
      </c>
      <c r="BH54" s="1024">
        <f t="shared" si="68"/>
        <v>0</v>
      </c>
      <c r="BI54" s="1024">
        <f t="shared" si="68"/>
        <v>0</v>
      </c>
      <c r="BJ54" s="1024">
        <f t="shared" si="68"/>
        <v>0</v>
      </c>
      <c r="BK54" s="1861"/>
      <c r="BL54" s="1024">
        <f t="shared" si="41"/>
        <v>0</v>
      </c>
      <c r="BM54" s="1024">
        <f t="shared" ref="BM54:CA54" si="69">SUM(BM55:BM56)</f>
        <v>0</v>
      </c>
      <c r="BN54" s="1024">
        <f t="shared" si="69"/>
        <v>0</v>
      </c>
      <c r="BO54" s="1024">
        <f t="shared" si="69"/>
        <v>0</v>
      </c>
      <c r="BP54" s="1024">
        <f t="shared" si="69"/>
        <v>0</v>
      </c>
      <c r="BQ54" s="1024">
        <f t="shared" si="69"/>
        <v>0</v>
      </c>
      <c r="BR54" s="1024">
        <f t="shared" si="69"/>
        <v>0</v>
      </c>
      <c r="BS54" s="1024">
        <f t="shared" si="69"/>
        <v>0</v>
      </c>
      <c r="BT54" s="1024">
        <f t="shared" si="69"/>
        <v>0</v>
      </c>
      <c r="BU54" s="1024">
        <f t="shared" si="69"/>
        <v>0</v>
      </c>
      <c r="BV54" s="1024">
        <f t="shared" si="69"/>
        <v>0</v>
      </c>
      <c r="BW54" s="1024">
        <f t="shared" si="69"/>
        <v>0</v>
      </c>
      <c r="BX54" s="1024">
        <f t="shared" si="69"/>
        <v>0</v>
      </c>
      <c r="BY54" s="1024">
        <f t="shared" si="69"/>
        <v>0</v>
      </c>
      <c r="BZ54" s="1024">
        <f t="shared" si="69"/>
        <v>0</v>
      </c>
      <c r="CA54" s="1024">
        <f t="shared" si="69"/>
        <v>0</v>
      </c>
      <c r="CB54" s="1861"/>
      <c r="CC54" s="1024">
        <f t="shared" si="43"/>
        <v>0</v>
      </c>
      <c r="CD54" s="1024">
        <f>SUM(CD55:CD56)</f>
        <v>0</v>
      </c>
      <c r="CE54" s="1024">
        <f>SUM(CE55:CE56)</f>
        <v>0</v>
      </c>
      <c r="CF54" s="1024">
        <f>SUM(CF55:CF56)</f>
        <v>0</v>
      </c>
      <c r="CG54" s="1024">
        <f>SUM(CG55:CG56)</f>
        <v>0</v>
      </c>
      <c r="CH54" s="1024">
        <f>SUM(CH55:CH56)</f>
        <v>0</v>
      </c>
      <c r="CI54" s="1861"/>
      <c r="CJ54" s="1024">
        <f t="shared" si="44"/>
        <v>0</v>
      </c>
      <c r="CK54" s="1024">
        <f>SUM(CK55:CK56)</f>
        <v>0</v>
      </c>
      <c r="CL54" s="1024">
        <f>SUM(CL55:CL56)</f>
        <v>0</v>
      </c>
      <c r="CM54" s="1024">
        <f>SUM(CM55:CM56)</f>
        <v>0</v>
      </c>
      <c r="CN54" s="1861"/>
      <c r="CO54" s="1022"/>
      <c r="DA54" s="956">
        <v>11</v>
      </c>
    </row>
    <row r="55" spans="1:105" ht="48.2" customHeight="1">
      <c r="F55" s="1018" t="s">
        <v>833</v>
      </c>
      <c r="G55" s="1026" t="s">
        <v>1170</v>
      </c>
      <c r="H55" s="1024">
        <f t="shared" si="30"/>
        <v>0</v>
      </c>
      <c r="I55" s="1023"/>
      <c r="J55" s="1013"/>
      <c r="K55" s="1024">
        <f t="shared" si="31"/>
        <v>0</v>
      </c>
      <c r="L55" s="1023"/>
      <c r="M55" s="1023"/>
      <c r="N55" s="1023"/>
      <c r="O55" s="1023"/>
      <c r="P55" s="1023"/>
      <c r="Q55" s="1023"/>
      <c r="R55" s="1023"/>
      <c r="S55" s="1861"/>
      <c r="T55" s="1024">
        <f t="shared" si="33"/>
        <v>0</v>
      </c>
      <c r="U55" s="1023"/>
      <c r="V55" s="1023"/>
      <c r="W55" s="1023"/>
      <c r="X55" s="1861"/>
      <c r="Y55" s="1024">
        <f t="shared" si="34"/>
        <v>0</v>
      </c>
      <c r="Z55" s="1023"/>
      <c r="AA55" s="1023"/>
      <c r="AB55" s="1023"/>
      <c r="AC55" s="1023"/>
      <c r="AD55" s="1023"/>
      <c r="AE55" s="1023"/>
      <c r="AF55" s="1023"/>
      <c r="AG55" s="1023"/>
      <c r="AH55" s="1861"/>
      <c r="AI55" s="1024">
        <f t="shared" si="36"/>
        <v>0</v>
      </c>
      <c r="AJ55" s="1023"/>
      <c r="AK55" s="1023"/>
      <c r="AL55" s="1023"/>
      <c r="AM55" s="1023"/>
      <c r="AN55" s="1023"/>
      <c r="AO55" s="1023"/>
      <c r="AP55" s="1023"/>
      <c r="AQ55" s="1023"/>
      <c r="AR55" s="1023"/>
      <c r="AS55" s="1023"/>
      <c r="AT55" s="1023"/>
      <c r="AU55" s="1861"/>
      <c r="AV55" s="1024">
        <f t="shared" si="38"/>
        <v>0</v>
      </c>
      <c r="AW55" s="1023"/>
      <c r="AX55" s="1023"/>
      <c r="AY55" s="1023"/>
      <c r="AZ55" s="1023"/>
      <c r="BA55" s="1861"/>
      <c r="BB55" s="1024">
        <f t="shared" si="39"/>
        <v>0</v>
      </c>
      <c r="BC55" s="1023"/>
      <c r="BD55" s="1023"/>
      <c r="BE55" s="1023"/>
      <c r="BF55" s="1023"/>
      <c r="BG55" s="1023"/>
      <c r="BH55" s="1023"/>
      <c r="BI55" s="1023"/>
      <c r="BJ55" s="1023"/>
      <c r="BK55" s="1861"/>
      <c r="BL55" s="1024">
        <f t="shared" si="41"/>
        <v>0</v>
      </c>
      <c r="BM55" s="1023"/>
      <c r="BN55" s="1023"/>
      <c r="BO55" s="1023"/>
      <c r="BP55" s="1023"/>
      <c r="BQ55" s="1023"/>
      <c r="BR55" s="1023"/>
      <c r="BS55" s="1023"/>
      <c r="BT55" s="1023"/>
      <c r="BU55" s="1023"/>
      <c r="BV55" s="1023"/>
      <c r="BW55" s="1023"/>
      <c r="BX55" s="1023"/>
      <c r="BY55" s="1023"/>
      <c r="BZ55" s="1023"/>
      <c r="CA55" s="1023"/>
      <c r="CB55" s="1861"/>
      <c r="CC55" s="1024">
        <f t="shared" si="43"/>
        <v>0</v>
      </c>
      <c r="CD55" s="1023"/>
      <c r="CE55" s="1023"/>
      <c r="CF55" s="1023"/>
      <c r="CG55" s="1023"/>
      <c r="CH55" s="1023"/>
      <c r="CI55" s="1861"/>
      <c r="CJ55" s="1024">
        <f t="shared" si="44"/>
        <v>0</v>
      </c>
      <c r="CK55" s="1023"/>
      <c r="CL55" s="1023"/>
      <c r="CM55" s="1023"/>
      <c r="CN55" s="1861"/>
      <c r="CO55" s="1022"/>
      <c r="DA55" s="956">
        <v>46</v>
      </c>
    </row>
    <row r="56" spans="1:105" ht="11.45" customHeight="1">
      <c r="F56" s="1018" t="s">
        <v>835</v>
      </c>
      <c r="G56" s="1026" t="s">
        <v>1171</v>
      </c>
      <c r="H56" s="1024">
        <f t="shared" si="30"/>
        <v>0</v>
      </c>
      <c r="I56" s="1023"/>
      <c r="J56" s="1013"/>
      <c r="K56" s="1024">
        <f t="shared" si="31"/>
        <v>0</v>
      </c>
      <c r="L56" s="1023"/>
      <c r="M56" s="1023"/>
      <c r="N56" s="1023"/>
      <c r="O56" s="1023"/>
      <c r="P56" s="1023"/>
      <c r="Q56" s="1023"/>
      <c r="R56" s="1023"/>
      <c r="S56" s="1861"/>
      <c r="T56" s="1024">
        <f t="shared" si="33"/>
        <v>0</v>
      </c>
      <c r="U56" s="1023"/>
      <c r="V56" s="1023"/>
      <c r="W56" s="1023"/>
      <c r="X56" s="1861"/>
      <c r="Y56" s="1024">
        <f t="shared" si="34"/>
        <v>0</v>
      </c>
      <c r="Z56" s="1023"/>
      <c r="AA56" s="1023"/>
      <c r="AB56" s="1023"/>
      <c r="AC56" s="1023"/>
      <c r="AD56" s="1023"/>
      <c r="AE56" s="1023"/>
      <c r="AF56" s="1023"/>
      <c r="AG56" s="1023"/>
      <c r="AH56" s="1861"/>
      <c r="AI56" s="1024">
        <f t="shared" si="36"/>
        <v>0</v>
      </c>
      <c r="AJ56" s="1023"/>
      <c r="AK56" s="1023"/>
      <c r="AL56" s="1023"/>
      <c r="AM56" s="1023"/>
      <c r="AN56" s="1023"/>
      <c r="AO56" s="1023"/>
      <c r="AP56" s="1023"/>
      <c r="AQ56" s="1023"/>
      <c r="AR56" s="1023"/>
      <c r="AS56" s="1023"/>
      <c r="AT56" s="1023"/>
      <c r="AU56" s="1861"/>
      <c r="AV56" s="1024">
        <f t="shared" si="38"/>
        <v>0</v>
      </c>
      <c r="AW56" s="1023"/>
      <c r="AX56" s="1023"/>
      <c r="AY56" s="1023"/>
      <c r="AZ56" s="1023"/>
      <c r="BA56" s="1861"/>
      <c r="BB56" s="1024">
        <f t="shared" si="39"/>
        <v>0</v>
      </c>
      <c r="BC56" s="1023"/>
      <c r="BD56" s="1023"/>
      <c r="BE56" s="1023"/>
      <c r="BF56" s="1023"/>
      <c r="BG56" s="1023"/>
      <c r="BH56" s="1023"/>
      <c r="BI56" s="1023"/>
      <c r="BJ56" s="1023"/>
      <c r="BK56" s="1861"/>
      <c r="BL56" s="1024">
        <f t="shared" si="41"/>
        <v>0</v>
      </c>
      <c r="BM56" s="1023"/>
      <c r="BN56" s="1023"/>
      <c r="BO56" s="1023"/>
      <c r="BP56" s="1023"/>
      <c r="BQ56" s="1023"/>
      <c r="BR56" s="1023"/>
      <c r="BS56" s="1023"/>
      <c r="BT56" s="1023"/>
      <c r="BU56" s="1023"/>
      <c r="BV56" s="1023"/>
      <c r="BW56" s="1023"/>
      <c r="BX56" s="1023"/>
      <c r="BY56" s="1023"/>
      <c r="BZ56" s="1023"/>
      <c r="CA56" s="1023"/>
      <c r="CB56" s="1861"/>
      <c r="CC56" s="1024">
        <f t="shared" si="43"/>
        <v>0</v>
      </c>
      <c r="CD56" s="1023"/>
      <c r="CE56" s="1023"/>
      <c r="CF56" s="1023"/>
      <c r="CG56" s="1023"/>
      <c r="CH56" s="1023"/>
      <c r="CI56" s="1861"/>
      <c r="CJ56" s="1024">
        <f t="shared" si="44"/>
        <v>0</v>
      </c>
      <c r="CK56" s="1023"/>
      <c r="CL56" s="1023"/>
      <c r="CM56" s="1023"/>
      <c r="CN56" s="1861"/>
      <c r="CO56" s="1022"/>
      <c r="DA56" s="956">
        <v>11</v>
      </c>
    </row>
    <row r="57" spans="1:105" ht="11.45" customHeight="1">
      <c r="F57" s="1018" t="s">
        <v>394</v>
      </c>
      <c r="G57" s="1025" t="s">
        <v>1187</v>
      </c>
      <c r="H57" s="1024">
        <f t="shared" si="30"/>
        <v>0</v>
      </c>
      <c r="I57" s="1023"/>
      <c r="J57" s="1013"/>
      <c r="K57" s="1024">
        <f t="shared" si="31"/>
        <v>0</v>
      </c>
      <c r="L57" s="1023"/>
      <c r="M57" s="1023"/>
      <c r="N57" s="1023"/>
      <c r="O57" s="1023"/>
      <c r="P57" s="1023"/>
      <c r="Q57" s="1023"/>
      <c r="R57" s="1023"/>
      <c r="S57" s="1861"/>
      <c r="T57" s="1024">
        <f t="shared" si="33"/>
        <v>0</v>
      </c>
      <c r="U57" s="1023"/>
      <c r="V57" s="1023"/>
      <c r="W57" s="1023"/>
      <c r="X57" s="1861"/>
      <c r="Y57" s="1024">
        <f t="shared" si="34"/>
        <v>0</v>
      </c>
      <c r="Z57" s="1023"/>
      <c r="AA57" s="1023"/>
      <c r="AB57" s="1023"/>
      <c r="AC57" s="1023"/>
      <c r="AD57" s="1023"/>
      <c r="AE57" s="1023"/>
      <c r="AF57" s="1023"/>
      <c r="AG57" s="1023"/>
      <c r="AH57" s="1861"/>
      <c r="AI57" s="1024">
        <f t="shared" si="36"/>
        <v>0</v>
      </c>
      <c r="AJ57" s="1023"/>
      <c r="AK57" s="1023"/>
      <c r="AL57" s="1023"/>
      <c r="AM57" s="1023"/>
      <c r="AN57" s="1023"/>
      <c r="AO57" s="1023"/>
      <c r="AP57" s="1023"/>
      <c r="AQ57" s="1023"/>
      <c r="AR57" s="1023"/>
      <c r="AS57" s="1023"/>
      <c r="AT57" s="1023"/>
      <c r="AU57" s="1861"/>
      <c r="AV57" s="1024">
        <f t="shared" si="38"/>
        <v>0</v>
      </c>
      <c r="AW57" s="1023"/>
      <c r="AX57" s="1023"/>
      <c r="AY57" s="1023"/>
      <c r="AZ57" s="1023"/>
      <c r="BA57" s="1861"/>
      <c r="BB57" s="1024">
        <f t="shared" si="39"/>
        <v>0</v>
      </c>
      <c r="BC57" s="1023"/>
      <c r="BD57" s="1023"/>
      <c r="BE57" s="1023"/>
      <c r="BF57" s="1023"/>
      <c r="BG57" s="1023"/>
      <c r="BH57" s="1023"/>
      <c r="BI57" s="1023"/>
      <c r="BJ57" s="1023"/>
      <c r="BK57" s="1861"/>
      <c r="BL57" s="1024">
        <f t="shared" si="41"/>
        <v>0</v>
      </c>
      <c r="BM57" s="1023"/>
      <c r="BN57" s="1023"/>
      <c r="BO57" s="1023"/>
      <c r="BP57" s="1023"/>
      <c r="BQ57" s="1023"/>
      <c r="BR57" s="1023"/>
      <c r="BS57" s="1023"/>
      <c r="BT57" s="1023"/>
      <c r="BU57" s="1023"/>
      <c r="BV57" s="1023"/>
      <c r="BW57" s="1023"/>
      <c r="BX57" s="1023"/>
      <c r="BY57" s="1023"/>
      <c r="BZ57" s="1023"/>
      <c r="CA57" s="1023"/>
      <c r="CB57" s="1861"/>
      <c r="CC57" s="1024">
        <f t="shared" si="43"/>
        <v>0</v>
      </c>
      <c r="CD57" s="1023"/>
      <c r="CE57" s="1023"/>
      <c r="CF57" s="1023"/>
      <c r="CG57" s="1023"/>
      <c r="CH57" s="1023"/>
      <c r="CI57" s="1861"/>
      <c r="CJ57" s="1024">
        <f t="shared" si="44"/>
        <v>0</v>
      </c>
      <c r="CK57" s="1023"/>
      <c r="CL57" s="1023"/>
      <c r="CM57" s="1023"/>
      <c r="CN57" s="1861"/>
      <c r="CO57" s="1022"/>
      <c r="DA57" s="956">
        <v>11</v>
      </c>
    </row>
    <row r="58" spans="1:105" ht="11.45" customHeight="1">
      <c r="F58" s="1018"/>
      <c r="G58" s="1027" t="s">
        <v>1173</v>
      </c>
      <c r="H58" s="1024">
        <f t="shared" si="30"/>
        <v>0</v>
      </c>
      <c r="I58" s="1024">
        <f>SUM(I38,I48)</f>
        <v>0</v>
      </c>
      <c r="J58" s="1013"/>
      <c r="K58" s="1024">
        <f t="shared" si="31"/>
        <v>0</v>
      </c>
      <c r="L58" s="1024">
        <f t="shared" ref="L58:R58" si="70">SUM(L38,L48)</f>
        <v>0</v>
      </c>
      <c r="M58" s="1024">
        <f t="shared" si="70"/>
        <v>0</v>
      </c>
      <c r="N58" s="1024">
        <f t="shared" si="70"/>
        <v>0</v>
      </c>
      <c r="O58" s="1024">
        <f t="shared" si="70"/>
        <v>0</v>
      </c>
      <c r="P58" s="1024">
        <f t="shared" si="70"/>
        <v>0</v>
      </c>
      <c r="Q58" s="1024">
        <f t="shared" si="70"/>
        <v>0</v>
      </c>
      <c r="R58" s="1024">
        <f t="shared" si="70"/>
        <v>0</v>
      </c>
      <c r="S58" s="1861"/>
      <c r="T58" s="1024">
        <f t="shared" si="33"/>
        <v>0</v>
      </c>
      <c r="U58" s="1024">
        <f>SUM(U38,U48)</f>
        <v>0</v>
      </c>
      <c r="V58" s="1024">
        <f>SUM(V38,V48)</f>
        <v>0</v>
      </c>
      <c r="W58" s="1024">
        <f>SUM(W38,W48)</f>
        <v>0</v>
      </c>
      <c r="X58" s="1861"/>
      <c r="Y58" s="1024">
        <f t="shared" si="34"/>
        <v>0</v>
      </c>
      <c r="Z58" s="1024">
        <f t="shared" ref="Z58:AG58" si="71">SUM(Z38,Z48)</f>
        <v>0</v>
      </c>
      <c r="AA58" s="1024">
        <f t="shared" si="71"/>
        <v>0</v>
      </c>
      <c r="AB58" s="1024">
        <f t="shared" si="71"/>
        <v>0</v>
      </c>
      <c r="AC58" s="1024">
        <f t="shared" si="71"/>
        <v>0</v>
      </c>
      <c r="AD58" s="1024">
        <f t="shared" si="71"/>
        <v>0</v>
      </c>
      <c r="AE58" s="1024">
        <f t="shared" si="71"/>
        <v>0</v>
      </c>
      <c r="AF58" s="1024">
        <f t="shared" si="71"/>
        <v>0</v>
      </c>
      <c r="AG58" s="1024">
        <f t="shared" si="71"/>
        <v>0</v>
      </c>
      <c r="AH58" s="1861"/>
      <c r="AI58" s="1024">
        <f t="shared" si="36"/>
        <v>0</v>
      </c>
      <c r="AJ58" s="1024">
        <f t="shared" ref="AJ58:AT58" si="72">SUM(AJ38,AJ48)</f>
        <v>0</v>
      </c>
      <c r="AK58" s="1024">
        <f t="shared" si="72"/>
        <v>0</v>
      </c>
      <c r="AL58" s="1024">
        <f t="shared" si="72"/>
        <v>0</v>
      </c>
      <c r="AM58" s="1024">
        <f t="shared" si="72"/>
        <v>0</v>
      </c>
      <c r="AN58" s="1024">
        <f t="shared" si="72"/>
        <v>0</v>
      </c>
      <c r="AO58" s="1024">
        <f t="shared" si="72"/>
        <v>0</v>
      </c>
      <c r="AP58" s="1024">
        <f t="shared" si="72"/>
        <v>0</v>
      </c>
      <c r="AQ58" s="1024">
        <f t="shared" si="72"/>
        <v>0</v>
      </c>
      <c r="AR58" s="1024">
        <f t="shared" si="72"/>
        <v>0</v>
      </c>
      <c r="AS58" s="1024">
        <f t="shared" si="72"/>
        <v>0</v>
      </c>
      <c r="AT58" s="1024">
        <f t="shared" si="72"/>
        <v>0</v>
      </c>
      <c r="AU58" s="1861"/>
      <c r="AV58" s="1024">
        <f t="shared" si="38"/>
        <v>0</v>
      </c>
      <c r="AW58" s="1024">
        <f>SUM(AW38,AW48)</f>
        <v>0</v>
      </c>
      <c r="AX58" s="1024">
        <f>SUM(AX38,AX48)</f>
        <v>0</v>
      </c>
      <c r="AY58" s="1024">
        <f>SUM(AY38,AY48)</f>
        <v>0</v>
      </c>
      <c r="AZ58" s="1024">
        <f>SUM(AZ38,AZ48)</f>
        <v>0</v>
      </c>
      <c r="BA58" s="1861"/>
      <c r="BB58" s="1024">
        <f t="shared" si="39"/>
        <v>0</v>
      </c>
      <c r="BC58" s="1024">
        <f t="shared" ref="BC58:BJ58" si="73">SUM(BC38,BC48)</f>
        <v>0</v>
      </c>
      <c r="BD58" s="1024">
        <f t="shared" si="73"/>
        <v>0</v>
      </c>
      <c r="BE58" s="1024">
        <f t="shared" si="73"/>
        <v>0</v>
      </c>
      <c r="BF58" s="1024">
        <f t="shared" si="73"/>
        <v>0</v>
      </c>
      <c r="BG58" s="1024">
        <f t="shared" si="73"/>
        <v>0</v>
      </c>
      <c r="BH58" s="1024">
        <f t="shared" si="73"/>
        <v>0</v>
      </c>
      <c r="BI58" s="1024">
        <f t="shared" si="73"/>
        <v>0</v>
      </c>
      <c r="BJ58" s="1024">
        <f t="shared" si="73"/>
        <v>0</v>
      </c>
      <c r="BK58" s="1861"/>
      <c r="BL58" s="1024">
        <f t="shared" si="41"/>
        <v>0</v>
      </c>
      <c r="BM58" s="1024">
        <f t="shared" ref="BM58:CA58" si="74">SUM(BM38,BM48)</f>
        <v>0</v>
      </c>
      <c r="BN58" s="1024">
        <f t="shared" si="74"/>
        <v>0</v>
      </c>
      <c r="BO58" s="1024">
        <f t="shared" si="74"/>
        <v>0</v>
      </c>
      <c r="BP58" s="1024">
        <f t="shared" si="74"/>
        <v>0</v>
      </c>
      <c r="BQ58" s="1024">
        <f t="shared" si="74"/>
        <v>0</v>
      </c>
      <c r="BR58" s="1024">
        <f t="shared" si="74"/>
        <v>0</v>
      </c>
      <c r="BS58" s="1024">
        <f t="shared" si="74"/>
        <v>0</v>
      </c>
      <c r="BT58" s="1024">
        <f t="shared" si="74"/>
        <v>0</v>
      </c>
      <c r="BU58" s="1024">
        <f t="shared" si="74"/>
        <v>0</v>
      </c>
      <c r="BV58" s="1024">
        <f t="shared" si="74"/>
        <v>0</v>
      </c>
      <c r="BW58" s="1024">
        <f t="shared" si="74"/>
        <v>0</v>
      </c>
      <c r="BX58" s="1024">
        <f t="shared" si="74"/>
        <v>0</v>
      </c>
      <c r="BY58" s="1024">
        <f t="shared" si="74"/>
        <v>0</v>
      </c>
      <c r="BZ58" s="1024">
        <f t="shared" si="74"/>
        <v>0</v>
      </c>
      <c r="CA58" s="1024">
        <f t="shared" si="74"/>
        <v>0</v>
      </c>
      <c r="CB58" s="1861"/>
      <c r="CC58" s="1024">
        <f t="shared" si="43"/>
        <v>0</v>
      </c>
      <c r="CD58" s="1024">
        <f>SUM(CD38,CD48)</f>
        <v>0</v>
      </c>
      <c r="CE58" s="1024">
        <f>SUM(CE38,CE48)</f>
        <v>0</v>
      </c>
      <c r="CF58" s="1024">
        <f>SUM(CF38,CF48)</f>
        <v>0</v>
      </c>
      <c r="CG58" s="1024">
        <f>SUM(CG38,CG48)</f>
        <v>0</v>
      </c>
      <c r="CH58" s="1024">
        <f>SUM(CH38,CH48)</f>
        <v>0</v>
      </c>
      <c r="CI58" s="1861"/>
      <c r="CJ58" s="1024">
        <f t="shared" si="44"/>
        <v>0</v>
      </c>
      <c r="CK58" s="1024">
        <f>SUM(CK38,CK48)</f>
        <v>0</v>
      </c>
      <c r="CL58" s="1024">
        <f>SUM(CL38,CL48)</f>
        <v>0</v>
      </c>
      <c r="CM58" s="1024">
        <f>SUM(CM38,CM48)</f>
        <v>0</v>
      </c>
      <c r="CN58" s="1861"/>
      <c r="CO58" s="1022"/>
      <c r="DA58" s="956">
        <v>11</v>
      </c>
    </row>
    <row r="59" spans="1:105" ht="10.5" hidden="1" customHeight="1">
      <c r="A59" s="967" t="s">
        <v>69</v>
      </c>
      <c r="B59" s="967">
        <v>0</v>
      </c>
      <c r="C59" s="967">
        <v>0</v>
      </c>
      <c r="D59" s="961">
        <v>0</v>
      </c>
      <c r="E59" s="442">
        <v>3</v>
      </c>
      <c r="F59" s="956">
        <v>6</v>
      </c>
      <c r="G59" s="956">
        <v>60</v>
      </c>
      <c r="H59" s="956">
        <v>0</v>
      </c>
      <c r="I59" s="956">
        <v>0</v>
      </c>
      <c r="J59" s="956">
        <v>0</v>
      </c>
      <c r="K59" s="1423">
        <v>0</v>
      </c>
      <c r="L59" s="1423">
        <v>0</v>
      </c>
      <c r="M59" s="1423">
        <v>0</v>
      </c>
      <c r="N59" s="1423">
        <v>0</v>
      </c>
      <c r="O59" s="1423">
        <v>0</v>
      </c>
      <c r="P59" s="1423">
        <v>0</v>
      </c>
      <c r="Q59" s="1423">
        <v>0</v>
      </c>
      <c r="R59" s="1423">
        <v>0</v>
      </c>
      <c r="S59" s="1423">
        <v>0</v>
      </c>
      <c r="T59" s="1423">
        <v>0</v>
      </c>
      <c r="U59" s="1423">
        <v>0</v>
      </c>
      <c r="V59" s="1423">
        <v>0</v>
      </c>
      <c r="W59" s="1423">
        <v>0</v>
      </c>
      <c r="X59" s="1423">
        <v>0</v>
      </c>
      <c r="Y59" s="1423">
        <v>0</v>
      </c>
      <c r="Z59" s="1423">
        <v>0</v>
      </c>
      <c r="AA59" s="1423">
        <v>0</v>
      </c>
      <c r="AB59" s="1423">
        <v>0</v>
      </c>
      <c r="AC59" s="1423">
        <v>0</v>
      </c>
      <c r="AD59" s="1423">
        <v>0</v>
      </c>
      <c r="AE59" s="1423">
        <v>0</v>
      </c>
      <c r="AF59" s="1423">
        <v>0</v>
      </c>
      <c r="AG59" s="1423">
        <v>0</v>
      </c>
      <c r="AH59" s="1423">
        <v>0</v>
      </c>
      <c r="AI59" s="1423">
        <v>0</v>
      </c>
      <c r="AJ59" s="1423">
        <v>0</v>
      </c>
      <c r="AK59" s="1423">
        <v>0</v>
      </c>
      <c r="AL59" s="1423">
        <v>0</v>
      </c>
      <c r="AM59" s="1423">
        <v>0</v>
      </c>
      <c r="AN59" s="1423">
        <v>0</v>
      </c>
      <c r="AO59" s="1423">
        <v>0</v>
      </c>
      <c r="AP59" s="1423">
        <v>0</v>
      </c>
      <c r="AQ59" s="1423">
        <v>0</v>
      </c>
      <c r="AR59" s="1423">
        <v>0</v>
      </c>
      <c r="AS59" s="1423">
        <v>0</v>
      </c>
      <c r="AT59" s="1423">
        <v>0</v>
      </c>
      <c r="AU59" s="1423">
        <v>0</v>
      </c>
      <c r="AV59" s="1423">
        <v>0</v>
      </c>
      <c r="AW59" s="1423">
        <v>0</v>
      </c>
      <c r="AX59" s="1423">
        <v>0</v>
      </c>
      <c r="AY59" s="1423">
        <v>0</v>
      </c>
      <c r="AZ59" s="1423">
        <v>0</v>
      </c>
      <c r="BA59" s="1423">
        <v>0</v>
      </c>
      <c r="BB59" s="1423">
        <v>0</v>
      </c>
      <c r="BC59" s="1423">
        <v>0</v>
      </c>
      <c r="BD59" s="1423">
        <v>0</v>
      </c>
      <c r="BE59" s="1423">
        <v>0</v>
      </c>
      <c r="BF59" s="1423">
        <v>0</v>
      </c>
      <c r="BG59" s="1423">
        <v>0</v>
      </c>
      <c r="BH59" s="1423">
        <v>0</v>
      </c>
      <c r="BI59" s="1423">
        <v>0</v>
      </c>
      <c r="BJ59" s="1423">
        <v>0</v>
      </c>
      <c r="BK59" s="1423">
        <v>0</v>
      </c>
      <c r="BL59" s="1423">
        <v>0</v>
      </c>
      <c r="BM59" s="1423">
        <v>0</v>
      </c>
      <c r="BN59" s="1423">
        <v>0</v>
      </c>
      <c r="BO59" s="1423">
        <v>0</v>
      </c>
      <c r="BP59" s="1423">
        <v>0</v>
      </c>
      <c r="BQ59" s="1423">
        <v>0</v>
      </c>
      <c r="BR59" s="1423">
        <v>0</v>
      </c>
      <c r="BS59" s="1423">
        <v>0</v>
      </c>
      <c r="BT59" s="1423">
        <v>0</v>
      </c>
      <c r="BU59" s="1423">
        <v>0</v>
      </c>
      <c r="BV59" s="1423">
        <v>0</v>
      </c>
      <c r="BW59" s="1423">
        <v>0</v>
      </c>
      <c r="BX59" s="1423">
        <v>0</v>
      </c>
      <c r="BY59" s="1423">
        <v>0</v>
      </c>
      <c r="BZ59" s="1423">
        <v>0</v>
      </c>
      <c r="CA59" s="1423">
        <v>0</v>
      </c>
      <c r="CB59" s="1423">
        <v>0</v>
      </c>
      <c r="CC59" s="1423">
        <v>0</v>
      </c>
      <c r="CD59" s="1423">
        <v>0</v>
      </c>
      <c r="CE59" s="1423">
        <v>0</v>
      </c>
      <c r="CF59" s="1423">
        <v>0</v>
      </c>
      <c r="CG59" s="1423">
        <v>0</v>
      </c>
      <c r="CH59" s="1423">
        <v>0</v>
      </c>
      <c r="CI59" s="1423">
        <v>0</v>
      </c>
      <c r="CJ59" s="1423">
        <v>0</v>
      </c>
      <c r="CK59" s="1423">
        <v>0</v>
      </c>
      <c r="CL59" s="1423">
        <v>0</v>
      </c>
      <c r="CM59" s="1423">
        <v>0</v>
      </c>
      <c r="CN59" s="1423">
        <v>0</v>
      </c>
      <c r="CO59" s="956">
        <v>1</v>
      </c>
      <c r="CP59" s="956">
        <v>8</v>
      </c>
      <c r="CQ59" s="956">
        <v>8</v>
      </c>
      <c r="CR59" s="956">
        <v>8</v>
      </c>
      <c r="CS59" s="956">
        <v>8</v>
      </c>
      <c r="CT59" s="956">
        <v>8</v>
      </c>
      <c r="CU59" s="956">
        <v>8</v>
      </c>
      <c r="CV59" s="956">
        <v>8</v>
      </c>
      <c r="CW59" s="956">
        <v>8</v>
      </c>
      <c r="CX59" s="956">
        <v>8</v>
      </c>
      <c r="CY59" s="956">
        <v>8</v>
      </c>
      <c r="CZ59" s="956">
        <v>8</v>
      </c>
      <c r="DA59" s="956">
        <v>10</v>
      </c>
    </row>
  </sheetData>
  <sheetProtection formatColumns="0" formatRows="0" insertRows="0" deleteColumns="0" deleteRows="0" sort="0" autoFilter="0"/>
  <mergeCells count="27">
    <mergeCell ref="BL10:CB10"/>
    <mergeCell ref="BL11:CB11"/>
    <mergeCell ref="CC10:CI10"/>
    <mergeCell ref="CC11:CI11"/>
    <mergeCell ref="CJ10:CN10"/>
    <mergeCell ref="CJ11:CN11"/>
    <mergeCell ref="AI10:AU10"/>
    <mergeCell ref="AI11:AU11"/>
    <mergeCell ref="AV10:BA10"/>
    <mergeCell ref="AV11:BA11"/>
    <mergeCell ref="BB10:BK10"/>
    <mergeCell ref="BB11:BK11"/>
    <mergeCell ref="K10:S10"/>
    <mergeCell ref="K11:S11"/>
    <mergeCell ref="T10:X10"/>
    <mergeCell ref="T11:X11"/>
    <mergeCell ref="Y10:AH10"/>
    <mergeCell ref="Y11:AH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R16 L17:R17 L18:R18 L19:R19 L20:R20 L21:R21 L22:R22 L23:R23 L24:R24 L25:R25 L26:R26 L27:R27 L29:R29 L30:R30 L31:R31 L33:R33 L34:R34 L35:R35 L40:R40 L41:R41 L42:R42 L43:R43 L45:R45 L46:R46 L47:R47 L50:R50 L51:R51 L52:R52 L53:R53 L55:R55 L56:R56 L57:R57 U16:W16 U17:W17 U18:W18 U19:W19 U20:W20 U21:W21 U22:W22 U23:W23 U24:W24 U25:W25 U26:W26 U27:W27 U29:W29 U30:W30 U31:W31 U33:W33 U34:W34 U35:W35 U40:W40 U41:W41 U42:W42 U43:W43 U45:W45 U46:W46 U47:W47 U50:W50 U51:W51 U52:W52 U53:W53 U55:W55 U56:W56 U57:W57 Z16:AG16 Z17:AG17 Z18:AG18 Z19:AG19 Z20:AG20 Z21:AG21 Z22:AG22 Z23:AG23 Z24:AG24 Z25:AG25 Z26:AG26 Z27:AG27 Z29:AG29 Z30:AG30 Z31:AG31 Z33:AG33 Z34:AG34 Z35:AG35 Z40:AG40 Z41:AG41 Z42:AG42 Z43:AG43 Z45:AG45 Z46:AG46 Z47:AG47 Z50:AG50 Z51:AG51 Z52:AG52 Z53:AG53 Z55:AG55 Z56:AG56 Z57:AG57 AJ16:AT16 AJ17:AT17 AJ18:AT18 AJ19:AT19 AJ20:AT20 AJ21:AT21 AJ22:AT22 AJ23:AT23 AJ24:AT24 AJ25:AT25 AJ26:AT26 AJ27:AT27 AJ29:AT29 AJ30:AT30 AJ31:AT31 AJ33:AT33 AJ34:AT34 AJ35:AT35 AJ40:AT40 AJ41:AT41 AJ42:AT42 AJ43:AT43 AJ45:AT45 AJ46:AT46 AJ47:AT47 AJ50:AT50 AJ51:AT51 AJ52:AT52 AJ53:AT53 AJ55:AT55 AJ56:AT56 AJ57:AT57 AW16:AZ16 AW17:AZ17 AW18:AZ18 AW19:AZ19 AW20:AZ20 AW21:AZ21 AW22:AZ22 AW23:AZ23 AW24:AZ24 AW25:AZ25 AW26:AZ26 AW27:AZ27 AW29:AZ29 AW30:AZ30 AW31:AZ31 AW33:AZ33 AW34:AZ34 AW35:AZ35 AW40:AZ40 AW41:AZ41 AW42:AZ42 AW43:AZ43 AW45:AZ45 AW46:AZ46 AW47:AZ47 AW50:AZ50 AW51:AZ51 AW52:AZ52 AW53:AZ53 AW55:AZ55 AW56:AZ56 AW57:AZ57 BC16:BJ16 BC17:BJ17 BC18:BJ18 BC19:BJ19 BC20:BJ20 BC21:BJ21 BC22:BJ22 BC23:BJ23 BC24:BJ24 BC25:BJ25 BC26:BJ26 BC27:BJ27 BC29:BJ29 BC30:BJ30 BC31:BJ31 BC33:BJ33 BC34:BJ34 BC35:BJ35 BC40:BJ40 BC41:BJ41 BC42:BJ42 BC43:BJ43 BC45:BJ45 BC46:BJ46 BC47:BJ47 BC50:BJ50 BC51:BJ51 BC52:BJ52 BC53:BJ53 BC55:BJ55 BC56:BJ56 BC57:BJ57 BM16:CA16 BM17:CA17 BM18:CA18 BM19:CA19 BM20:CA20 BM21:CA21 BM22:CA22 BM23:CA23 BM24:CA24 BM25:CA25 BM26:CA26 BM27:CA27 BM29:CA29 BM30:CA30 BM31:CA31 BM33:CA33 BM34:CA34 BM35:CA35 BM40:CA40 BM41:CA41 BM42:CA42 BM43:CA43 BM45:CA45 BM46:CA46 BM47:CA47 BM50:CA50 BM51:CA51 BM52:CA52 BM53:CA53 BM55:CA55 BM56:CA56 BM57:CA57 CD16:CH16 CD17:CH17 CD18:CH18 CD19:CH19 CD20:CH20 CD21:CH21 CD22:CH22 CD23:CH23 CD24:CH24 CD25:CH25 CD26:CH26 CD27:CH27 CD29:CH29 CD30:CH30 CD31:CH31 CD33:CH33 CD34:CH34 CD35:CH35 CD40:CH40 CD41:CH41 CD42:CH42 CD43:CH43 CD45:CH45 CD46:CH46 CD47:CH47 CD50:CH50 CD51:CH51 CD52:CH52 CD53:CH53 CD55:CH55 CD56:CH56 CD57:CH57 CK16:CM16 CK17:CM17 CK18:CM18 CK19:CM19 CK20:CM20 CK21:CM21 CK22:CM22 CK23:CM23 CK24:CM24 CK25:CM25 CK26:CM26 CK27:CM27 CK29:CM29 CK30:CM30 CK31:CM31 CK33:CM33 CK34:CM34 CK35:CM35 CK40:CM40 CK41:CM41 CK42:CM42 CK43:CM43 CK45:CM45 CK46:CM46 CK47:CM47 CK50:CM50 CK51:CM51 CK52:CM52 CK53:CM53 CK55:CM55 CK56:CM56 CK57:CM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412" hidden="1" customWidth="1"/>
    <col min="3" max="3" width="3" style="1609" customWidth="1"/>
    <col min="4" max="4" width="6" style="1609" customWidth="1"/>
    <col min="5" max="5" width="42" style="1609" customWidth="1"/>
    <col min="6" max="6" width="15" style="1609" customWidth="1"/>
    <col min="7" max="7" width="42" style="1609" customWidth="1"/>
    <col min="8" max="8" width="3" style="1609" customWidth="1"/>
    <col min="9" max="9" width="5" style="1609" customWidth="1"/>
    <col min="10" max="10" width="47" style="1609" customWidth="1"/>
    <col min="11" max="12" width="3" style="1609" customWidth="1"/>
    <col min="13" max="13" width="5" style="1609" customWidth="1"/>
    <col min="14" max="14" width="28" style="1609" customWidth="1"/>
    <col min="15" max="16" width="3" style="1609" customWidth="1"/>
    <col min="17" max="17" width="5" style="1609" customWidth="1"/>
    <col min="18" max="18" width="34" style="1609" customWidth="1"/>
    <col min="19" max="20" width="3.7109375" style="1609" customWidth="1"/>
    <col min="21" max="21" width="5.7109375" style="1609" customWidth="1"/>
    <col min="22" max="22" width="34.42578125" style="1609" customWidth="1"/>
    <col min="23" max="23" width="30" style="1609" customWidth="1"/>
    <col min="24" max="24" width="3" style="1609" customWidth="1"/>
    <col min="25" max="28" width="9.85546875" style="1054" hidden="1" customWidth="1"/>
    <col min="29" max="29" width="27" style="1054" hidden="1" customWidth="1"/>
    <col min="30" max="30" width="10.5703125" style="1054" hidden="1" customWidth="1"/>
    <col min="31" max="31" width="10.7109375" style="1054" hidden="1" customWidth="1"/>
    <col min="32" max="32" width="10" style="1054" hidden="1" customWidth="1"/>
    <col min="33" max="33" width="12.85546875" style="1054" hidden="1" customWidth="1"/>
    <col min="34" max="34" width="24.42578125" style="1054" hidden="1" customWidth="1"/>
    <col min="35" max="35" width="15.85546875" style="1054" hidden="1" customWidth="1"/>
    <col min="36" max="36" width="19.42578125" style="1054" hidden="1" customWidth="1"/>
    <col min="37" max="37" width="11" style="1054" hidden="1" customWidth="1"/>
    <col min="38" max="38" width="23.5703125" style="1054" hidden="1" customWidth="1"/>
    <col min="39" max="39" width="23.85546875" style="1054" hidden="1" customWidth="1"/>
    <col min="40" max="40" width="25.28515625" style="1054" hidden="1" customWidth="1"/>
    <col min="41" max="41" width="16.85546875" style="1054" hidden="1" customWidth="1"/>
    <col min="42" max="42" width="29.5703125" style="1054" hidden="1" customWidth="1"/>
    <col min="43" max="43" width="29.85546875" style="1054" hidden="1" customWidth="1"/>
    <col min="44" max="44" width="9.140625" style="1609" hidden="1"/>
  </cols>
  <sheetData>
    <row r="1" spans="1:44" ht="11.25" hidden="1" customHeight="1">
      <c r="A1" s="90"/>
      <c r="AR1" s="42" t="s">
        <v>1</v>
      </c>
    </row>
    <row r="2" spans="1:44" ht="11.25" hidden="1" customHeight="1">
      <c r="AR2" s="42">
        <v>0</v>
      </c>
    </row>
    <row r="3" spans="1:44" ht="11.25" hidden="1" customHeight="1">
      <c r="AR3" s="42">
        <v>0</v>
      </c>
    </row>
    <row r="4" spans="1:44" ht="3" customHeight="1">
      <c r="AR4" s="42">
        <v>3</v>
      </c>
    </row>
    <row r="5" spans="1:44" s="520" customFormat="1" ht="30.4" customHeight="1">
      <c r="A5" s="88"/>
      <c r="B5" s="88"/>
      <c r="D5" s="231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19"/>
      <c r="F5" s="2319"/>
      <c r="G5" s="2319"/>
      <c r="H5" s="2319"/>
      <c r="I5" s="2319"/>
      <c r="J5" s="2320"/>
      <c r="K5" s="199"/>
      <c r="L5" s="78"/>
      <c r="M5" s="78"/>
      <c r="N5" s="78"/>
      <c r="O5" s="78"/>
      <c r="P5" s="78"/>
      <c r="Q5" s="78"/>
      <c r="R5" s="78"/>
      <c r="S5" s="224"/>
      <c r="T5" s="224"/>
      <c r="U5" s="224"/>
      <c r="V5" s="224"/>
      <c r="W5" s="78"/>
      <c r="Y5" s="1048"/>
      <c r="Z5" s="1048"/>
      <c r="AA5" s="1048"/>
      <c r="AB5" s="1048"/>
      <c r="AC5" s="1048"/>
      <c r="AD5" s="1048"/>
      <c r="AE5" s="1048"/>
      <c r="AF5" s="1048"/>
      <c r="AG5" s="1048"/>
      <c r="AH5" s="1048"/>
      <c r="AI5" s="1048"/>
      <c r="AJ5" s="1048"/>
      <c r="AK5" s="1048"/>
      <c r="AL5" s="1048"/>
      <c r="AM5" s="1048"/>
      <c r="AN5" s="1048"/>
      <c r="AO5" s="1048"/>
      <c r="AP5" s="1048"/>
      <c r="AQ5" s="1048"/>
      <c r="AR5" s="48">
        <v>29</v>
      </c>
    </row>
    <row r="6" spans="1:44" s="520" customFormat="1" ht="14.65" customHeight="1">
      <c r="A6" s="516"/>
      <c r="B6" s="516"/>
      <c r="C6" s="516"/>
      <c r="D6" s="2324" t="str">
        <f>IF(org=0,"Не определено",org)</f>
        <v>ООО "Смоленскрегионтеплоэнерго"</v>
      </c>
      <c r="E6" s="2324"/>
      <c r="F6" s="2324"/>
      <c r="G6" s="2324"/>
      <c r="H6" s="2324"/>
      <c r="I6" s="2324"/>
      <c r="J6" s="2324"/>
      <c r="K6" s="517"/>
      <c r="L6" s="517"/>
      <c r="M6" s="517"/>
      <c r="N6" s="517"/>
      <c r="O6" s="769"/>
      <c r="P6" s="769"/>
      <c r="Q6" s="769"/>
      <c r="R6" s="769"/>
      <c r="S6" s="769"/>
      <c r="T6" s="769"/>
      <c r="U6" s="769"/>
      <c r="V6" s="769"/>
      <c r="W6" s="769"/>
      <c r="X6" s="517"/>
      <c r="Y6" s="1049"/>
      <c r="Z6" s="1049"/>
      <c r="AA6" s="1049"/>
      <c r="AB6" s="1049"/>
      <c r="AC6" s="1049"/>
      <c r="AD6" s="1049"/>
      <c r="AE6" s="1049"/>
      <c r="AF6" s="1049"/>
      <c r="AG6" s="1049"/>
      <c r="AH6" s="1049"/>
      <c r="AI6" s="1049"/>
      <c r="AJ6" s="1049"/>
      <c r="AK6" s="1049"/>
      <c r="AL6" s="1049"/>
      <c r="AM6" s="1049"/>
      <c r="AN6" s="1049"/>
      <c r="AO6" s="1049"/>
      <c r="AP6" s="1049"/>
      <c r="AQ6" s="1049"/>
      <c r="AR6" s="518">
        <v>14</v>
      </c>
    </row>
    <row r="7" spans="1:44" s="233" customFormat="1" ht="11.45" customHeight="1">
      <c r="A7" s="145"/>
      <c r="B7" s="145"/>
      <c r="D7" s="2321"/>
      <c r="E7" s="2322"/>
      <c r="F7" s="2322"/>
      <c r="G7" s="2322"/>
      <c r="H7" s="2322"/>
      <c r="I7" s="2322"/>
      <c r="J7" s="2323"/>
      <c r="Y7" s="1050"/>
      <c r="Z7" s="1050"/>
      <c r="AA7" s="1050"/>
      <c r="AB7" s="1050"/>
      <c r="AC7" s="1050"/>
      <c r="AD7" s="1050"/>
      <c r="AE7" s="1050"/>
      <c r="AF7" s="1050"/>
      <c r="AG7" s="1050"/>
      <c r="AH7" s="1050"/>
      <c r="AI7" s="1050"/>
      <c r="AJ7" s="1050"/>
      <c r="AK7" s="1050"/>
      <c r="AL7" s="1050"/>
      <c r="AM7" s="1050"/>
      <c r="AN7" s="1050"/>
      <c r="AO7" s="1050"/>
      <c r="AP7" s="1050"/>
      <c r="AQ7" s="1050"/>
      <c r="AR7" s="210">
        <v>11</v>
      </c>
    </row>
    <row r="8" spans="1:44" s="520" customFormat="1" ht="1.1499999999999999" customHeight="1">
      <c r="A8" s="88"/>
      <c r="B8" s="88"/>
      <c r="D8" s="146"/>
      <c r="E8" s="146"/>
      <c r="F8" s="146"/>
      <c r="G8" s="146"/>
      <c r="H8" s="146"/>
      <c r="I8" s="146"/>
      <c r="J8" s="146"/>
      <c r="K8" s="146"/>
      <c r="L8" s="146"/>
      <c r="M8" s="146"/>
      <c r="N8" s="146"/>
      <c r="O8" s="146"/>
      <c r="P8" s="146"/>
      <c r="Q8" s="146"/>
      <c r="R8" s="146"/>
      <c r="S8" s="146"/>
      <c r="T8" s="146"/>
      <c r="U8" s="146"/>
      <c r="V8" s="146"/>
      <c r="W8" s="146"/>
      <c r="X8" s="68"/>
      <c r="Y8" s="1048"/>
      <c r="Z8" s="1048"/>
      <c r="AA8" s="1048"/>
      <c r="AB8" s="1048"/>
      <c r="AC8" s="1048"/>
      <c r="AD8" s="1048"/>
      <c r="AE8" s="1048"/>
      <c r="AF8" s="1048"/>
      <c r="AG8" s="1048"/>
      <c r="AH8" s="1048"/>
      <c r="AI8" s="1048"/>
      <c r="AJ8" s="1048"/>
      <c r="AK8" s="1048"/>
      <c r="AL8" s="1048"/>
      <c r="AM8" s="1048"/>
      <c r="AN8" s="1048"/>
      <c r="AO8" s="1048"/>
      <c r="AP8" s="1048"/>
      <c r="AQ8" s="1048"/>
      <c r="AR8" s="48">
        <v>1</v>
      </c>
    </row>
    <row r="9" spans="1:44" ht="28.5" customHeight="1">
      <c r="D9" s="2266" t="s">
        <v>75</v>
      </c>
      <c r="E9" s="2247" t="s">
        <v>213</v>
      </c>
      <c r="F9" s="2246"/>
      <c r="G9" s="2266" t="s">
        <v>157</v>
      </c>
      <c r="H9" s="2266" t="s">
        <v>75</v>
      </c>
      <c r="I9" s="2266"/>
      <c r="J9" s="2266" t="s">
        <v>214</v>
      </c>
      <c r="K9" s="2325" t="s">
        <v>215</v>
      </c>
      <c r="L9" s="2325"/>
      <c r="M9" s="2325"/>
      <c r="N9" s="2325"/>
      <c r="O9" s="2325" t="s">
        <v>216</v>
      </c>
      <c r="P9" s="2325"/>
      <c r="Q9" s="2325"/>
      <c r="R9" s="2325"/>
      <c r="S9" s="2325" t="s">
        <v>217</v>
      </c>
      <c r="T9" s="2325"/>
      <c r="U9" s="2325"/>
      <c r="V9" s="2325"/>
      <c r="W9" s="2266" t="s">
        <v>218</v>
      </c>
      <c r="AR9" s="42">
        <v>27</v>
      </c>
    </row>
    <row r="10" spans="1:44" ht="31.5" customHeight="1">
      <c r="D10" s="2266"/>
      <c r="E10" s="1072" t="s">
        <v>76</v>
      </c>
      <c r="F10" s="1072" t="s">
        <v>219</v>
      </c>
      <c r="G10" s="2266"/>
      <c r="H10" s="2266"/>
      <c r="I10" s="2266"/>
      <c r="J10" s="2266"/>
      <c r="K10" s="47" t="s">
        <v>160</v>
      </c>
      <c r="L10" s="2266" t="s">
        <v>75</v>
      </c>
      <c r="M10" s="2266"/>
      <c r="N10" s="47" t="s">
        <v>220</v>
      </c>
      <c r="O10" s="47" t="s">
        <v>160</v>
      </c>
      <c r="P10" s="2266" t="s">
        <v>75</v>
      </c>
      <c r="Q10" s="2266"/>
      <c r="R10" s="47" t="s">
        <v>220</v>
      </c>
      <c r="S10" s="217" t="s">
        <v>160</v>
      </c>
      <c r="T10" s="2266" t="s">
        <v>75</v>
      </c>
      <c r="U10" s="2266"/>
      <c r="V10" s="217" t="s">
        <v>76</v>
      </c>
      <c r="W10" s="2266"/>
      <c r="Z10" s="1047" t="s">
        <v>221</v>
      </c>
      <c r="AA10" s="1047" t="s">
        <v>222</v>
      </c>
      <c r="AB10" s="1047" t="s">
        <v>223</v>
      </c>
      <c r="AC10" s="1047" t="s">
        <v>224</v>
      </c>
      <c r="AD10" s="1047" t="s">
        <v>225</v>
      </c>
      <c r="AE10" s="1047" t="s">
        <v>226</v>
      </c>
      <c r="AF10" s="1047" t="s">
        <v>227</v>
      </c>
      <c r="AG10" s="1047" t="s">
        <v>228</v>
      </c>
      <c r="AH10" s="1047" t="s">
        <v>229</v>
      </c>
      <c r="AI10" s="1047" t="s">
        <v>230</v>
      </c>
      <c r="AJ10" s="1047" t="s">
        <v>231</v>
      </c>
      <c r="AK10" s="1047" t="s">
        <v>232</v>
      </c>
      <c r="AL10" s="1047" t="s">
        <v>233</v>
      </c>
      <c r="AM10" s="1047" t="s">
        <v>234</v>
      </c>
      <c r="AN10" s="1047" t="s">
        <v>235</v>
      </c>
      <c r="AO10" s="1047" t="s">
        <v>236</v>
      </c>
      <c r="AP10" s="1047" t="s">
        <v>237</v>
      </c>
      <c r="AQ10" s="1047" t="s">
        <v>238</v>
      </c>
      <c r="AR10" s="42">
        <v>30</v>
      </c>
    </row>
    <row r="11" spans="1:44" s="1412" customFormat="1" ht="12" hidden="1" customHeight="1">
      <c r="D11" s="1037" t="s">
        <v>161</v>
      </c>
      <c r="E11" s="1037" t="s">
        <v>89</v>
      </c>
      <c r="F11" s="1037"/>
      <c r="G11" s="1037" t="s">
        <v>77</v>
      </c>
      <c r="H11" s="2317" t="s">
        <v>115</v>
      </c>
      <c r="I11" s="2317"/>
      <c r="J11" s="1037" t="s">
        <v>79</v>
      </c>
      <c r="K11" s="1037" t="s">
        <v>80</v>
      </c>
      <c r="L11" s="2317" t="s">
        <v>131</v>
      </c>
      <c r="M11" s="2317"/>
      <c r="N11" s="1037" t="s">
        <v>133</v>
      </c>
      <c r="O11" s="1037" t="s">
        <v>138</v>
      </c>
      <c r="P11" s="2317" t="s">
        <v>140</v>
      </c>
      <c r="Q11" s="2317"/>
      <c r="R11" s="1037" t="s">
        <v>145</v>
      </c>
      <c r="S11" s="1037" t="s">
        <v>140</v>
      </c>
      <c r="T11" s="2317" t="s">
        <v>145</v>
      </c>
      <c r="U11" s="2317"/>
      <c r="V11" s="1037" t="s">
        <v>150</v>
      </c>
      <c r="W11" s="1037" t="s">
        <v>239</v>
      </c>
      <c r="Y11" s="1047"/>
      <c r="Z11" s="1047"/>
      <c r="AA11" s="1047"/>
      <c r="AB11" s="1047"/>
      <c r="AC11" s="1047"/>
      <c r="AD11" s="1047"/>
      <c r="AE11" s="1047"/>
      <c r="AF11" s="1047"/>
      <c r="AG11" s="1047"/>
      <c r="AH11" s="1047"/>
      <c r="AI11" s="1047"/>
      <c r="AJ11" s="1047"/>
      <c r="AK11" s="1047"/>
      <c r="AL11" s="1047"/>
      <c r="AM11" s="1047"/>
      <c r="AN11" s="1047"/>
      <c r="AO11" s="1047"/>
      <c r="AP11" s="1047"/>
      <c r="AQ11" s="1047"/>
      <c r="AR11" s="211">
        <v>0</v>
      </c>
    </row>
    <row r="12" spans="1:44" ht="14.25" hidden="1" customHeight="1">
      <c r="C12" s="143"/>
      <c r="D12" s="1070">
        <v>0</v>
      </c>
      <c r="E12" s="184"/>
      <c r="F12" s="184"/>
      <c r="G12" s="184"/>
      <c r="H12" s="185"/>
      <c r="I12" s="185"/>
      <c r="J12" s="92"/>
      <c r="K12" s="49"/>
      <c r="L12" s="92"/>
      <c r="M12" s="92"/>
      <c r="N12" s="186"/>
      <c r="O12" s="49"/>
      <c r="P12" s="92"/>
      <c r="Q12" s="92"/>
      <c r="R12" s="187"/>
      <c r="S12" s="218"/>
      <c r="T12" s="226"/>
      <c r="U12" s="226"/>
      <c r="V12" s="230"/>
      <c r="W12" s="49"/>
      <c r="X12" s="77"/>
      <c r="AR12" s="42">
        <v>0</v>
      </c>
    </row>
    <row r="13" spans="1:44" s="1609" customFormat="1" ht="17.25" hidden="1" customHeight="1">
      <c r="A13" s="255"/>
      <c r="C13" s="143"/>
      <c r="D13" s="2302">
        <v>1</v>
      </c>
      <c r="E13" s="2291" t="s">
        <v>240</v>
      </c>
      <c r="F13" s="2303" t="s">
        <v>6</v>
      </c>
      <c r="G13" s="2291"/>
      <c r="H13" s="2293"/>
      <c r="I13" s="2295"/>
      <c r="J13" s="2297"/>
      <c r="K13" s="2289"/>
      <c r="L13" s="2289"/>
      <c r="M13" s="2289"/>
      <c r="N13" s="2300"/>
      <c r="O13" s="2289"/>
      <c r="P13" s="2289"/>
      <c r="Q13" s="2289"/>
      <c r="R13" s="2287"/>
      <c r="S13" s="2289"/>
      <c r="T13" s="1208"/>
      <c r="U13" s="1208"/>
      <c r="V13" s="1207"/>
      <c r="W13" s="1084"/>
      <c r="Y13" s="1055"/>
      <c r="Z13" s="1055"/>
      <c r="AA13" s="1055"/>
      <c r="AB13" s="1055"/>
      <c r="AC13" s="1055" t="s">
        <v>241</v>
      </c>
      <c r="AD13" s="1055" t="s">
        <v>242</v>
      </c>
      <c r="AE13" s="1055" t="s">
        <v>243</v>
      </c>
      <c r="AF13" s="1055" t="s">
        <v>244</v>
      </c>
      <c r="AG13" s="1055" t="s">
        <v>245</v>
      </c>
      <c r="AH13" s="105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055" t="str">
        <f>IF($G$13=0,"",$G$13)</f>
        <v/>
      </c>
      <c r="AJ13" s="1055" t="str">
        <f>IF($J$13=0,"",$J$13)</f>
        <v/>
      </c>
      <c r="AK13" s="1055" t="str">
        <f>IF($K$13="нет","без дифференциации",IF($N$13=0,"",$N$13))</f>
        <v/>
      </c>
      <c r="AL13" s="1055" t="str">
        <f>IF($O$13="нет","без дифференциации",IF($R$13=0,"",$R$13))</f>
        <v/>
      </c>
      <c r="AM13" s="1055" t="str">
        <f>IF($S$13="нет","без дифференциации",IF($V$13=0,"",$V$13))</f>
        <v/>
      </c>
      <c r="AN13" s="1055">
        <f>$I$13</f>
        <v>0</v>
      </c>
      <c r="AO13" s="1055" t="str">
        <f>$I$13&amp;"."&amp;$M$13</f>
        <v>.</v>
      </c>
      <c r="AP13" s="1055" t="str">
        <f>$I$13&amp;"."&amp;$M$13&amp;"."&amp;$Q$13</f>
        <v>..</v>
      </c>
      <c r="AQ13" s="1055" t="str">
        <f>$I$13&amp;"."&amp;$M$13&amp;"."&amp;$Q$13&amp;"."&amp;$U$13</f>
        <v>...</v>
      </c>
      <c r="AR13" s="657">
        <v>0</v>
      </c>
    </row>
    <row r="14" spans="1:44" s="1609" customFormat="1" ht="17.25" hidden="1" customHeight="1">
      <c r="A14" s="255"/>
      <c r="C14" s="254"/>
      <c r="D14" s="2302"/>
      <c r="E14" s="2291"/>
      <c r="F14" s="2304"/>
      <c r="G14" s="2291"/>
      <c r="H14" s="2294"/>
      <c r="I14" s="2296"/>
      <c r="J14" s="2298"/>
      <c r="K14" s="2290"/>
      <c r="L14" s="2290"/>
      <c r="M14" s="2290"/>
      <c r="N14" s="2301"/>
      <c r="O14" s="2290"/>
      <c r="P14" s="2290"/>
      <c r="Q14" s="2290"/>
      <c r="R14" s="2288"/>
      <c r="S14" s="2290"/>
      <c r="T14" s="1085"/>
      <c r="U14" s="1085"/>
      <c r="V14" s="1085"/>
      <c r="W14" s="1086"/>
      <c r="Y14" s="1047"/>
      <c r="Z14" s="1047"/>
      <c r="AA14" s="1047"/>
      <c r="AB14" s="1047"/>
      <c r="AC14" s="1047"/>
      <c r="AD14" s="1047"/>
      <c r="AE14" s="1047"/>
      <c r="AF14" s="1047"/>
      <c r="AG14" s="1047"/>
      <c r="AH14" s="1047"/>
      <c r="AI14" s="1047"/>
      <c r="AJ14" s="1047"/>
      <c r="AK14" s="1047"/>
      <c r="AL14" s="1047"/>
      <c r="AM14" s="1047"/>
      <c r="AN14" s="1047"/>
      <c r="AO14" s="1047"/>
      <c r="AP14" s="1047"/>
      <c r="AQ14" s="1047"/>
      <c r="AR14" s="657">
        <v>0</v>
      </c>
    </row>
    <row r="15" spans="1:44" s="1609" customFormat="1" ht="17.25" hidden="1" customHeight="1">
      <c r="A15" s="255"/>
      <c r="C15" s="143"/>
      <c r="D15" s="2302"/>
      <c r="E15" s="2291"/>
      <c r="F15" s="2304"/>
      <c r="G15" s="2291"/>
      <c r="H15" s="2294"/>
      <c r="I15" s="2296"/>
      <c r="J15" s="2299"/>
      <c r="K15" s="2290"/>
      <c r="L15" s="2290"/>
      <c r="M15" s="2290"/>
      <c r="N15" s="2288"/>
      <c r="O15" s="2290"/>
      <c r="P15" s="1206"/>
      <c r="Q15" s="1085"/>
      <c r="R15" s="1085"/>
      <c r="S15" s="263"/>
      <c r="T15" s="263"/>
      <c r="U15" s="263"/>
      <c r="V15" s="263"/>
      <c r="W15" s="1086"/>
      <c r="Y15" s="1055"/>
      <c r="Z15" s="1055"/>
      <c r="AA15" s="1055"/>
      <c r="AB15" s="1055"/>
      <c r="AC15" s="1055"/>
      <c r="AD15" s="1055"/>
      <c r="AE15" s="1055"/>
      <c r="AF15" s="1055"/>
      <c r="AG15" s="1055"/>
      <c r="AH15" s="1055"/>
      <c r="AI15" s="1055"/>
      <c r="AJ15" s="1055"/>
      <c r="AK15" s="1055"/>
      <c r="AL15" s="1055"/>
      <c r="AM15" s="1055"/>
      <c r="AN15" s="1055"/>
      <c r="AO15" s="1055"/>
      <c r="AP15" s="1055"/>
      <c r="AQ15" s="1055"/>
      <c r="AR15" s="1205">
        <v>0</v>
      </c>
    </row>
    <row r="16" spans="1:44" s="1609" customFormat="1" ht="17.25" hidden="1" customHeight="1">
      <c r="A16" s="255"/>
      <c r="C16" s="254"/>
      <c r="D16" s="2302"/>
      <c r="E16" s="2291"/>
      <c r="F16" s="2304"/>
      <c r="G16" s="2291"/>
      <c r="H16" s="2294"/>
      <c r="I16" s="2296"/>
      <c r="J16" s="2299"/>
      <c r="K16" s="2290"/>
      <c r="L16" s="1085"/>
      <c r="M16" s="1085"/>
      <c r="N16" s="1085"/>
      <c r="O16" s="1085"/>
      <c r="P16" s="1085"/>
      <c r="Q16" s="1085"/>
      <c r="R16" s="1085"/>
      <c r="S16" s="263"/>
      <c r="T16" s="263"/>
      <c r="U16" s="263"/>
      <c r="V16" s="263"/>
      <c r="W16" s="1086"/>
      <c r="Y16" s="1047"/>
      <c r="Z16" s="1047"/>
      <c r="AA16" s="1047"/>
      <c r="AB16" s="1047"/>
      <c r="AC16" s="1047"/>
      <c r="AD16" s="1047"/>
      <c r="AE16" s="1047"/>
      <c r="AF16" s="1047"/>
      <c r="AG16" s="1047"/>
      <c r="AH16" s="1047"/>
      <c r="AI16" s="1047"/>
      <c r="AJ16" s="1047"/>
      <c r="AK16" s="1047"/>
      <c r="AL16" s="1047"/>
      <c r="AM16" s="1047"/>
      <c r="AN16" s="1047"/>
      <c r="AO16" s="1047"/>
      <c r="AP16" s="1047"/>
      <c r="AQ16" s="1047"/>
      <c r="AR16" s="1205">
        <v>0</v>
      </c>
    </row>
    <row r="17" spans="1:44" s="1609" customFormat="1" ht="17.25" hidden="1" customHeight="1">
      <c r="A17" s="255"/>
      <c r="C17" s="254"/>
      <c r="D17" s="2278"/>
      <c r="E17" s="2292"/>
      <c r="F17" s="2305"/>
      <c r="G17" s="2292"/>
      <c r="H17" s="1087"/>
      <c r="I17" s="1088"/>
      <c r="J17" s="1088"/>
      <c r="K17" s="1088"/>
      <c r="L17" s="1088"/>
      <c r="M17" s="1088"/>
      <c r="N17" s="1088"/>
      <c r="O17" s="1088"/>
      <c r="P17" s="1088"/>
      <c r="Q17" s="1088"/>
      <c r="R17" s="1088"/>
      <c r="S17" s="1089"/>
      <c r="T17" s="1089"/>
      <c r="U17" s="1089"/>
      <c r="V17" s="1089"/>
      <c r="W17" s="1090"/>
      <c r="Y17" s="1047"/>
      <c r="Z17" s="1047"/>
      <c r="AA17" s="1047"/>
      <c r="AB17" s="1047"/>
      <c r="AC17" s="1047"/>
      <c r="AD17" s="1047"/>
      <c r="AE17" s="1047"/>
      <c r="AF17" s="1047"/>
      <c r="AG17" s="1047"/>
      <c r="AH17" s="1047"/>
      <c r="AI17" s="1047"/>
      <c r="AJ17" s="1047"/>
      <c r="AK17" s="1047"/>
      <c r="AL17" s="1047"/>
      <c r="AM17" s="1047"/>
      <c r="AN17" s="1047"/>
      <c r="AO17" s="1047"/>
      <c r="AP17" s="1047"/>
      <c r="AQ17" s="1047"/>
      <c r="AR17" s="657">
        <v>0</v>
      </c>
    </row>
    <row r="18" spans="1:44" s="1609" customFormat="1" ht="17.25" hidden="1" customHeight="1">
      <c r="A18" s="255"/>
      <c r="C18" s="143"/>
      <c r="D18" s="2302">
        <v>2</v>
      </c>
      <c r="E18" s="2315"/>
      <c r="F18" s="2303" t="s">
        <v>6</v>
      </c>
      <c r="G18" s="2291"/>
      <c r="H18" s="2293"/>
      <c r="I18" s="2295"/>
      <c r="J18" s="2297"/>
      <c r="K18" s="2289"/>
      <c r="L18" s="2289"/>
      <c r="M18" s="2289"/>
      <c r="N18" s="2300"/>
      <c r="O18" s="2289"/>
      <c r="P18" s="2289"/>
      <c r="Q18" s="2289"/>
      <c r="R18" s="2287"/>
      <c r="S18" s="2289"/>
      <c r="T18" s="1208"/>
      <c r="U18" s="1208"/>
      <c r="V18" s="1207"/>
      <c r="W18" s="1084"/>
      <c r="X18" s="1055"/>
      <c r="Y18" s="1055"/>
      <c r="Z18" s="1055"/>
      <c r="AA18" s="1055"/>
      <c r="AB18" s="1055"/>
      <c r="AC18" s="1055" t="s">
        <v>246</v>
      </c>
      <c r="AD18" s="1055" t="s">
        <v>247</v>
      </c>
      <c r="AE18" s="1055" t="s">
        <v>248</v>
      </c>
      <c r="AF18" s="1055" t="s">
        <v>249</v>
      </c>
      <c r="AG18" s="1055" t="s">
        <v>250</v>
      </c>
      <c r="AH18" s="1055" t="str">
        <f>IF($E$18=0,"",$E$18)</f>
        <v/>
      </c>
      <c r="AI18" s="1055" t="str">
        <f>IF($G$18=0,"",$G$18)</f>
        <v/>
      </c>
      <c r="AJ18" s="1055" t="str">
        <f>IF($J$18=0,"",$J$18)</f>
        <v/>
      </c>
      <c r="AK18" s="1055" t="str">
        <f>IF($K$18="нет","без дифференциации",IF($N$18=0,"",$N$18))</f>
        <v/>
      </c>
      <c r="AL18" s="1055" t="str">
        <f>IF($O$18="нет","без дифференциации",IF($R$18=0,"",$R$18))</f>
        <v/>
      </c>
      <c r="AM18" s="1055" t="str">
        <f>IF($S$18="нет","без дифференциации",IF($V$18=0,"",$V$18))</f>
        <v/>
      </c>
      <c r="AN18" s="1531">
        <f>$I$18</f>
        <v>0</v>
      </c>
      <c r="AO18" s="1055" t="str">
        <f>$I$18&amp;"."&amp;$M$18</f>
        <v>.</v>
      </c>
      <c r="AP18" s="1047" t="str">
        <f>$I$18&amp;"."&amp;$M$18&amp;"."&amp;$Q$18</f>
        <v>..</v>
      </c>
      <c r="AQ18" s="1047" t="str">
        <f>$I$18&amp;"."&amp;$M$18&amp;"."&amp;$Q$18&amp;"."&amp;$U$18</f>
        <v>...</v>
      </c>
      <c r="AR18" s="1071">
        <v>0</v>
      </c>
    </row>
    <row r="19" spans="1:44" s="1609" customFormat="1" ht="17.25" hidden="1" customHeight="1">
      <c r="A19" s="255"/>
      <c r="C19" s="254"/>
      <c r="D19" s="2302"/>
      <c r="E19" s="2315"/>
      <c r="F19" s="2304"/>
      <c r="G19" s="2291"/>
      <c r="H19" s="2294"/>
      <c r="I19" s="2296"/>
      <c r="J19" s="2298"/>
      <c r="K19" s="2290"/>
      <c r="L19" s="2290"/>
      <c r="M19" s="2290"/>
      <c r="N19" s="2301"/>
      <c r="O19" s="2290"/>
      <c r="P19" s="2290"/>
      <c r="Q19" s="2290"/>
      <c r="R19" s="2288"/>
      <c r="S19" s="2290"/>
      <c r="T19" s="1085"/>
      <c r="U19" s="1085"/>
      <c r="V19" s="1085"/>
      <c r="W19" s="1086"/>
      <c r="X19" s="1047"/>
      <c r="Y19" s="1047"/>
      <c r="Z19" s="1047"/>
      <c r="AA19" s="1047"/>
      <c r="AB19" s="1047"/>
      <c r="AC19" s="1047"/>
      <c r="AD19" s="1047"/>
      <c r="AE19" s="1047"/>
      <c r="AF19" s="1047"/>
      <c r="AG19" s="1047"/>
      <c r="AH19" s="1047"/>
      <c r="AI19" s="1047"/>
      <c r="AJ19" s="1047"/>
      <c r="AK19" s="1047"/>
      <c r="AL19" s="1047"/>
      <c r="AM19" s="1047"/>
      <c r="AN19" s="1047"/>
      <c r="AO19" s="1047"/>
      <c r="AP19" s="1047"/>
      <c r="AQ19" s="1047"/>
      <c r="AR19" s="1071">
        <v>0</v>
      </c>
    </row>
    <row r="20" spans="1:44" s="1609" customFormat="1" ht="17.25" hidden="1" customHeight="1">
      <c r="A20" s="255"/>
      <c r="C20" s="254"/>
      <c r="D20" s="2278"/>
      <c r="E20" s="2316"/>
      <c r="F20" s="2304"/>
      <c r="G20" s="2292"/>
      <c r="H20" s="2294"/>
      <c r="I20" s="2296"/>
      <c r="J20" s="2299"/>
      <c r="K20" s="2290"/>
      <c r="L20" s="2290"/>
      <c r="M20" s="2290"/>
      <c r="N20" s="2288"/>
      <c r="O20" s="2290"/>
      <c r="P20" s="1206"/>
      <c r="Q20" s="1085"/>
      <c r="R20" s="1085"/>
      <c r="S20" s="263"/>
      <c r="T20" s="263"/>
      <c r="U20" s="263"/>
      <c r="V20" s="263"/>
      <c r="W20" s="1086"/>
      <c r="X20" s="1047"/>
      <c r="Y20" s="1047"/>
      <c r="Z20" s="1047"/>
      <c r="AA20" s="1047"/>
      <c r="AB20" s="1047"/>
      <c r="AC20" s="1047"/>
      <c r="AD20" s="1047"/>
      <c r="AE20" s="1047"/>
      <c r="AF20" s="1047"/>
      <c r="AG20" s="1047"/>
      <c r="AH20" s="1047"/>
      <c r="AI20" s="1047"/>
      <c r="AJ20" s="1047"/>
      <c r="AK20" s="1047"/>
      <c r="AL20" s="1047"/>
      <c r="AM20" s="1047"/>
      <c r="AN20" s="1047"/>
      <c r="AO20" s="1047"/>
      <c r="AP20" s="1047"/>
      <c r="AQ20" s="1047"/>
      <c r="AR20" s="1071">
        <v>0</v>
      </c>
    </row>
    <row r="21" spans="1:44" s="1609" customFormat="1" ht="17.25" hidden="1" customHeight="1">
      <c r="A21" s="255"/>
      <c r="C21" s="254"/>
      <c r="D21" s="2278"/>
      <c r="E21" s="2316"/>
      <c r="F21" s="2304"/>
      <c r="G21" s="2292"/>
      <c r="H21" s="2294"/>
      <c r="I21" s="2296"/>
      <c r="J21" s="2299"/>
      <c r="K21" s="2290"/>
      <c r="L21" s="1085"/>
      <c r="M21" s="1085"/>
      <c r="N21" s="1085"/>
      <c r="O21" s="1085"/>
      <c r="P21" s="1085"/>
      <c r="Q21" s="1085"/>
      <c r="R21" s="1085"/>
      <c r="S21" s="263"/>
      <c r="T21" s="263"/>
      <c r="U21" s="263"/>
      <c r="V21" s="263"/>
      <c r="W21" s="1086"/>
      <c r="X21" s="1047"/>
      <c r="Y21" s="1047"/>
      <c r="Z21" s="1047"/>
      <c r="AA21" s="1047"/>
      <c r="AB21" s="1047"/>
      <c r="AC21" s="1047"/>
      <c r="AD21" s="1047"/>
      <c r="AE21" s="1047"/>
      <c r="AF21" s="1047"/>
      <c r="AG21" s="1047"/>
      <c r="AH21" s="1047"/>
      <c r="AI21" s="1047"/>
      <c r="AJ21" s="1047"/>
      <c r="AK21" s="1047"/>
      <c r="AL21" s="1047"/>
      <c r="AM21" s="1047"/>
      <c r="AN21" s="1047"/>
      <c r="AO21" s="1047"/>
      <c r="AP21" s="1047"/>
      <c r="AQ21" s="1047"/>
      <c r="AR21" s="1071">
        <v>0</v>
      </c>
    </row>
    <row r="22" spans="1:44" s="1609" customFormat="1" ht="17.25" hidden="1" customHeight="1">
      <c r="A22" s="255"/>
      <c r="C22" s="254"/>
      <c r="D22" s="2278"/>
      <c r="E22" s="2316"/>
      <c r="F22" s="2305"/>
      <c r="G22" s="2292"/>
      <c r="H22" s="1087"/>
      <c r="I22" s="1088"/>
      <c r="J22" s="1088"/>
      <c r="K22" s="1088"/>
      <c r="L22" s="1088"/>
      <c r="M22" s="1088"/>
      <c r="N22" s="1088"/>
      <c r="O22" s="1088"/>
      <c r="P22" s="1088"/>
      <c r="Q22" s="1088"/>
      <c r="R22" s="1088"/>
      <c r="S22" s="1089"/>
      <c r="T22" s="1089"/>
      <c r="U22" s="1089"/>
      <c r="V22" s="1089"/>
      <c r="W22" s="1090"/>
      <c r="X22" s="1047"/>
      <c r="Y22" s="1047"/>
      <c r="Z22" s="1047"/>
      <c r="AA22" s="1047"/>
      <c r="AB22" s="1047"/>
      <c r="AC22" s="1047"/>
      <c r="AD22" s="1047"/>
      <c r="AE22" s="1047"/>
      <c r="AF22" s="1047"/>
      <c r="AG22" s="1047"/>
      <c r="AH22" s="1047"/>
      <c r="AI22" s="1047"/>
      <c r="AJ22" s="1047"/>
      <c r="AK22" s="1047"/>
      <c r="AL22" s="1047"/>
      <c r="AM22" s="1047"/>
      <c r="AN22" s="1047"/>
      <c r="AO22" s="1047"/>
      <c r="AP22" s="1047"/>
      <c r="AQ22" s="1047"/>
      <c r="AR22" s="1071">
        <v>0</v>
      </c>
    </row>
    <row r="23" spans="1:44" s="1609" customFormat="1" ht="17.25" hidden="1" customHeight="1">
      <c r="A23" s="255"/>
      <c r="C23" s="143"/>
      <c r="D23" s="2302">
        <v>2</v>
      </c>
      <c r="E23" s="2291" t="s">
        <v>251</v>
      </c>
      <c r="F23" s="2303" t="s">
        <v>6</v>
      </c>
      <c r="G23" s="2291"/>
      <c r="H23" s="2293"/>
      <c r="I23" s="2295"/>
      <c r="J23" s="2297"/>
      <c r="K23" s="2289"/>
      <c r="L23" s="2289"/>
      <c r="M23" s="2289"/>
      <c r="N23" s="2300"/>
      <c r="O23" s="2289"/>
      <c r="P23" s="2289"/>
      <c r="Q23" s="2289"/>
      <c r="R23" s="2287"/>
      <c r="S23" s="2289"/>
      <c r="T23" s="1748"/>
      <c r="U23" s="1748"/>
      <c r="V23" s="1750"/>
      <c r="W23" s="1084"/>
      <c r="X23" s="1055"/>
      <c r="Y23" s="1055"/>
      <c r="Z23" s="1055"/>
      <c r="AA23" s="1055"/>
      <c r="AB23" s="1055"/>
      <c r="AC23" s="1055" t="s">
        <v>246</v>
      </c>
      <c r="AD23" s="1055" t="s">
        <v>247</v>
      </c>
      <c r="AE23" s="1055" t="s">
        <v>248</v>
      </c>
      <c r="AF23" s="1055" t="s">
        <v>249</v>
      </c>
      <c r="AG23" s="1055" t="s">
        <v>250</v>
      </c>
      <c r="AH23" s="1055" t="str">
        <f>IF($E$23=0,"",$E$23)</f>
        <v>Тарифы на тепловую энергию (мощность), поставляемую теплоснабжающими организациями потребителям, другим теплоснабжающим организациям</v>
      </c>
      <c r="AI23" s="1055" t="str">
        <f>IF($G$23=0,"",$G$23)</f>
        <v/>
      </c>
      <c r="AJ23" s="1055" t="str">
        <f>IF($J$23=0,"",$J$23)</f>
        <v/>
      </c>
      <c r="AK23" s="1055" t="str">
        <f>IF($K$23="нет","без дифференциации",IF($N$23=0,"",$N$23))</f>
        <v/>
      </c>
      <c r="AL23" s="1055" t="str">
        <f>IF($O$23="нет","без дифференциации",IF($R$23=0,"",$R$23))</f>
        <v/>
      </c>
      <c r="AM23" s="1055" t="str">
        <f>IF($S$23="нет","без дифференциации",IF($V$23=0,"",$V$23))</f>
        <v/>
      </c>
      <c r="AN23" s="1531">
        <f>$I$23</f>
        <v>0</v>
      </c>
      <c r="AO23" s="1055" t="str">
        <f>$I$23&amp;"."&amp;$M$23</f>
        <v>.</v>
      </c>
      <c r="AP23" s="1054" t="str">
        <f>$I$23&amp;"."&amp;$M$23&amp;"."&amp;$Q$23</f>
        <v>..</v>
      </c>
      <c r="AQ23" s="1054" t="str">
        <f>$I$23&amp;"."&amp;$M$23&amp;"."&amp;$Q$23&amp;"."&amp;$U$23</f>
        <v>...</v>
      </c>
      <c r="AR23" s="1255">
        <v>0</v>
      </c>
    </row>
    <row r="24" spans="1:44" s="1609" customFormat="1" ht="17.25" hidden="1" customHeight="1">
      <c r="A24" s="255"/>
      <c r="C24" s="254"/>
      <c r="D24" s="2302"/>
      <c r="E24" s="2291"/>
      <c r="F24" s="2304"/>
      <c r="G24" s="2291"/>
      <c r="H24" s="2294"/>
      <c r="I24" s="2296"/>
      <c r="J24" s="2298"/>
      <c r="K24" s="2290"/>
      <c r="L24" s="2290"/>
      <c r="M24" s="2290"/>
      <c r="N24" s="2301"/>
      <c r="O24" s="2290"/>
      <c r="P24" s="2290"/>
      <c r="Q24" s="2290"/>
      <c r="R24" s="2288"/>
      <c r="S24" s="2290"/>
      <c r="T24" s="1753"/>
      <c r="U24" s="1753"/>
      <c r="V24" s="1753"/>
      <c r="W24" s="1754"/>
      <c r="X24" s="1054"/>
      <c r="Y24" s="1054"/>
      <c r="Z24" s="1054"/>
      <c r="AA24" s="1054"/>
      <c r="AB24" s="1054"/>
      <c r="AC24" s="1054"/>
      <c r="AD24" s="1054"/>
      <c r="AE24" s="1054"/>
      <c r="AF24" s="1054"/>
      <c r="AG24" s="1054"/>
      <c r="AH24" s="1054"/>
      <c r="AI24" s="1054"/>
      <c r="AJ24" s="1054"/>
      <c r="AK24" s="1054"/>
      <c r="AL24" s="1054"/>
      <c r="AM24" s="1054"/>
      <c r="AN24" s="1054"/>
      <c r="AO24" s="1054"/>
      <c r="AP24" s="1054"/>
      <c r="AQ24" s="1054"/>
      <c r="AR24" s="1255">
        <v>0</v>
      </c>
    </row>
    <row r="25" spans="1:44" s="1609" customFormat="1" ht="17.25" hidden="1" customHeight="1">
      <c r="A25" s="255"/>
      <c r="C25" s="254"/>
      <c r="D25" s="2278"/>
      <c r="E25" s="2292"/>
      <c r="F25" s="2304"/>
      <c r="G25" s="2292"/>
      <c r="H25" s="2294"/>
      <c r="I25" s="2296"/>
      <c r="J25" s="2299"/>
      <c r="K25" s="2290"/>
      <c r="L25" s="2290"/>
      <c r="M25" s="2290"/>
      <c r="N25" s="2288"/>
      <c r="O25" s="2290"/>
      <c r="P25" s="1749"/>
      <c r="Q25" s="1753"/>
      <c r="R25" s="1753"/>
      <c r="S25" s="263"/>
      <c r="T25" s="263"/>
      <c r="U25" s="263"/>
      <c r="V25" s="263"/>
      <c r="W25" s="1754"/>
      <c r="X25" s="1054"/>
      <c r="Y25" s="1054"/>
      <c r="Z25" s="1054"/>
      <c r="AA25" s="1054"/>
      <c r="AB25" s="1054"/>
      <c r="AC25" s="1054"/>
      <c r="AD25" s="1054"/>
      <c r="AE25" s="1054"/>
      <c r="AF25" s="1054"/>
      <c r="AG25" s="1054"/>
      <c r="AH25" s="1054"/>
      <c r="AI25" s="1054"/>
      <c r="AJ25" s="1054"/>
      <c r="AK25" s="1054"/>
      <c r="AL25" s="1054"/>
      <c r="AM25" s="1054"/>
      <c r="AN25" s="1054"/>
      <c r="AO25" s="1054"/>
      <c r="AP25" s="1054"/>
      <c r="AQ25" s="1054"/>
      <c r="AR25" s="1255">
        <v>0</v>
      </c>
    </row>
    <row r="26" spans="1:44" s="1609" customFormat="1" ht="17.25" hidden="1" customHeight="1">
      <c r="A26" s="255"/>
      <c r="C26" s="254"/>
      <c r="D26" s="2278"/>
      <c r="E26" s="2292"/>
      <c r="F26" s="2304"/>
      <c r="G26" s="2292"/>
      <c r="H26" s="2294"/>
      <c r="I26" s="2296"/>
      <c r="J26" s="2299"/>
      <c r="K26" s="2290"/>
      <c r="L26" s="1753"/>
      <c r="M26" s="1753"/>
      <c r="N26" s="1753"/>
      <c r="O26" s="1753"/>
      <c r="P26" s="1753"/>
      <c r="Q26" s="1753"/>
      <c r="R26" s="1753"/>
      <c r="S26" s="263"/>
      <c r="T26" s="263"/>
      <c r="U26" s="263"/>
      <c r="V26" s="263"/>
      <c r="W26" s="1754"/>
      <c r="X26" s="1054"/>
      <c r="Y26" s="1054"/>
      <c r="Z26" s="1054"/>
      <c r="AA26" s="1054"/>
      <c r="AB26" s="1054"/>
      <c r="AC26" s="1054"/>
      <c r="AD26" s="1054"/>
      <c r="AE26" s="1054"/>
      <c r="AF26" s="1054"/>
      <c r="AG26" s="1054"/>
      <c r="AH26" s="1054"/>
      <c r="AI26" s="1054"/>
      <c r="AJ26" s="1054"/>
      <c r="AK26" s="1054"/>
      <c r="AL26" s="1054"/>
      <c r="AM26" s="1054"/>
      <c r="AN26" s="1054"/>
      <c r="AO26" s="1054"/>
      <c r="AP26" s="1054"/>
      <c r="AQ26" s="1054"/>
      <c r="AR26" s="1255">
        <v>0</v>
      </c>
    </row>
    <row r="27" spans="1:44" s="1609" customFormat="1" ht="17.25" hidden="1" customHeight="1">
      <c r="A27" s="255"/>
      <c r="C27" s="254"/>
      <c r="D27" s="2278"/>
      <c r="E27" s="2292"/>
      <c r="F27" s="2305"/>
      <c r="G27" s="2292"/>
      <c r="H27" s="1087"/>
      <c r="I27" s="1751"/>
      <c r="J27" s="1751"/>
      <c r="K27" s="1751"/>
      <c r="L27" s="1751"/>
      <c r="M27" s="1751"/>
      <c r="N27" s="1751"/>
      <c r="O27" s="1751"/>
      <c r="P27" s="1751"/>
      <c r="Q27" s="1751"/>
      <c r="R27" s="1751"/>
      <c r="S27" s="1089"/>
      <c r="T27" s="1089"/>
      <c r="U27" s="1089"/>
      <c r="V27" s="1089"/>
      <c r="W27" s="1752"/>
      <c r="X27" s="1054"/>
      <c r="Y27" s="1054"/>
      <c r="Z27" s="1054"/>
      <c r="AA27" s="1054"/>
      <c r="AB27" s="1054"/>
      <c r="AC27" s="1054"/>
      <c r="AD27" s="1054"/>
      <c r="AE27" s="1054"/>
      <c r="AF27" s="1054"/>
      <c r="AG27" s="1054"/>
      <c r="AH27" s="1054"/>
      <c r="AI27" s="1054"/>
      <c r="AJ27" s="1054"/>
      <c r="AK27" s="1054"/>
      <c r="AL27" s="1054"/>
      <c r="AM27" s="1054"/>
      <c r="AN27" s="1054"/>
      <c r="AO27" s="1054"/>
      <c r="AP27" s="1054"/>
      <c r="AQ27" s="1054"/>
      <c r="AR27" s="1255">
        <v>0</v>
      </c>
    </row>
    <row r="28" spans="1:44" s="1609" customFormat="1" ht="17.25" hidden="1" customHeight="1">
      <c r="A28" s="255"/>
      <c r="C28" s="143"/>
      <c r="D28" s="2302">
        <v>3</v>
      </c>
      <c r="E28" s="2291" t="s">
        <v>252</v>
      </c>
      <c r="F28" s="2303" t="s">
        <v>6</v>
      </c>
      <c r="G28" s="2291"/>
      <c r="H28" s="2293"/>
      <c r="I28" s="2295"/>
      <c r="J28" s="2297"/>
      <c r="K28" s="2289"/>
      <c r="L28" s="2289"/>
      <c r="M28" s="2289"/>
      <c r="N28" s="2300"/>
      <c r="O28" s="2289"/>
      <c r="P28" s="2289"/>
      <c r="Q28" s="2289"/>
      <c r="R28" s="2287"/>
      <c r="S28" s="2289"/>
      <c r="T28" s="1208"/>
      <c r="U28" s="1208"/>
      <c r="V28" s="1207"/>
      <c r="W28" s="1084"/>
      <c r="X28" s="1055"/>
      <c r="Y28" s="1055"/>
      <c r="Z28" s="1055"/>
      <c r="AA28" s="1055"/>
      <c r="AB28" s="1055"/>
      <c r="AC28" s="1055" t="s">
        <v>253</v>
      </c>
      <c r="AD28" s="1055" t="s">
        <v>254</v>
      </c>
      <c r="AE28" s="1055" t="s">
        <v>255</v>
      </c>
      <c r="AF28" s="1055" t="s">
        <v>256</v>
      </c>
      <c r="AG28" s="1055" t="s">
        <v>257</v>
      </c>
      <c r="AH28" s="1055" t="str">
        <f>IF($E$28=0,"",$E$28)</f>
        <v>Тарифы на теплоноситель, поставляемый теплоснабжающими организациями потребителям, другим теплоснабжающим организациям</v>
      </c>
      <c r="AI28" s="1055" t="str">
        <f>IF($G$28=0,"",$G$28)</f>
        <v/>
      </c>
      <c r="AJ28" s="1055" t="str">
        <f>IF($J$28=0,"",$J$28)</f>
        <v/>
      </c>
      <c r="AK28" s="1055" t="str">
        <f>IF($K$28="нет","без дифференциации",IF($N$28=0,"",$N$28))</f>
        <v/>
      </c>
      <c r="AL28" s="1055" t="str">
        <f>IF($O$28="нет","без дифференциации",IF($R$28=0,"",$R$28))</f>
        <v/>
      </c>
      <c r="AM28" s="1055" t="str">
        <f>IF($S$28="нет","без дифференциации",IF($V$28=0,"",$V$28))</f>
        <v/>
      </c>
      <c r="AN28" s="1531">
        <f>$I$28</f>
        <v>0</v>
      </c>
      <c r="AO28" s="1055" t="str">
        <f>$I$28&amp;"."&amp;$M$28</f>
        <v>.</v>
      </c>
      <c r="AP28" s="1047" t="str">
        <f>$I$28&amp;"."&amp;$M$28&amp;"."&amp;$Q$28</f>
        <v>..</v>
      </c>
      <c r="AQ28" s="1047" t="str">
        <f>$I$28&amp;"."&amp;$M$28&amp;"."&amp;$Q$28&amp;"."&amp;$U$28</f>
        <v>...</v>
      </c>
      <c r="AR28" s="1071">
        <v>0</v>
      </c>
    </row>
    <row r="29" spans="1:44" s="1609" customFormat="1" ht="17.25" hidden="1" customHeight="1">
      <c r="A29" s="255"/>
      <c r="C29" s="254"/>
      <c r="D29" s="2302"/>
      <c r="E29" s="2291"/>
      <c r="F29" s="2304"/>
      <c r="G29" s="2291"/>
      <c r="H29" s="2294"/>
      <c r="I29" s="2296"/>
      <c r="J29" s="2298"/>
      <c r="K29" s="2290"/>
      <c r="L29" s="2290"/>
      <c r="M29" s="2290"/>
      <c r="N29" s="2301"/>
      <c r="O29" s="2290"/>
      <c r="P29" s="2290"/>
      <c r="Q29" s="2290"/>
      <c r="R29" s="2288"/>
      <c r="S29" s="2290"/>
      <c r="T29" s="1085"/>
      <c r="U29" s="1085"/>
      <c r="V29" s="1085"/>
      <c r="W29" s="1086"/>
      <c r="X29" s="1047"/>
      <c r="Y29" s="1047"/>
      <c r="Z29" s="1047"/>
      <c r="AA29" s="1047"/>
      <c r="AB29" s="1047"/>
      <c r="AC29" s="1047"/>
      <c r="AD29" s="1047"/>
      <c r="AE29" s="1047"/>
      <c r="AF29" s="1047"/>
      <c r="AG29" s="1047"/>
      <c r="AH29" s="1047"/>
      <c r="AI29" s="1047"/>
      <c r="AJ29" s="1047"/>
      <c r="AK29" s="1047"/>
      <c r="AL29" s="1047"/>
      <c r="AM29" s="1047"/>
      <c r="AN29" s="1047"/>
      <c r="AO29" s="1047"/>
      <c r="AP29" s="1047"/>
      <c r="AQ29" s="1047"/>
      <c r="AR29" s="1071">
        <v>0</v>
      </c>
    </row>
    <row r="30" spans="1:44" s="1609" customFormat="1" ht="17.25" hidden="1" customHeight="1">
      <c r="A30" s="255"/>
      <c r="C30" s="254"/>
      <c r="D30" s="2278"/>
      <c r="E30" s="2292"/>
      <c r="F30" s="2304"/>
      <c r="G30" s="2292"/>
      <c r="H30" s="2294"/>
      <c r="I30" s="2296"/>
      <c r="J30" s="2299"/>
      <c r="K30" s="2290"/>
      <c r="L30" s="2290"/>
      <c r="M30" s="2290"/>
      <c r="N30" s="2288"/>
      <c r="O30" s="2290"/>
      <c r="P30" s="1206"/>
      <c r="Q30" s="1085"/>
      <c r="R30" s="1085"/>
      <c r="S30" s="263"/>
      <c r="T30" s="263"/>
      <c r="U30" s="263"/>
      <c r="V30" s="263"/>
      <c r="W30" s="1086"/>
      <c r="X30" s="1047"/>
      <c r="Y30" s="1047"/>
      <c r="Z30" s="1047"/>
      <c r="AA30" s="1047"/>
      <c r="AB30" s="1047"/>
      <c r="AC30" s="1047"/>
      <c r="AD30" s="1047"/>
      <c r="AE30" s="1047"/>
      <c r="AF30" s="1047"/>
      <c r="AG30" s="1047"/>
      <c r="AH30" s="1047"/>
      <c r="AI30" s="1047"/>
      <c r="AJ30" s="1047"/>
      <c r="AK30" s="1047"/>
      <c r="AL30" s="1047"/>
      <c r="AM30" s="1047"/>
      <c r="AN30" s="1047"/>
      <c r="AO30" s="1047"/>
      <c r="AP30" s="1047"/>
      <c r="AQ30" s="1047"/>
      <c r="AR30" s="1071">
        <v>0</v>
      </c>
    </row>
    <row r="31" spans="1:44" s="1609" customFormat="1" ht="17.25" hidden="1" customHeight="1">
      <c r="A31" s="255"/>
      <c r="C31" s="254"/>
      <c r="D31" s="2278"/>
      <c r="E31" s="2292"/>
      <c r="F31" s="2304"/>
      <c r="G31" s="2292"/>
      <c r="H31" s="2294"/>
      <c r="I31" s="2296"/>
      <c r="J31" s="2299"/>
      <c r="K31" s="2290"/>
      <c r="L31" s="1085"/>
      <c r="M31" s="1085"/>
      <c r="N31" s="1085"/>
      <c r="O31" s="1085"/>
      <c r="P31" s="1085"/>
      <c r="Q31" s="1085"/>
      <c r="R31" s="1085"/>
      <c r="S31" s="263"/>
      <c r="T31" s="263"/>
      <c r="U31" s="263"/>
      <c r="V31" s="263"/>
      <c r="W31" s="1086"/>
      <c r="X31" s="1047"/>
      <c r="Y31" s="1047"/>
      <c r="Z31" s="1047"/>
      <c r="AA31" s="1047"/>
      <c r="AB31" s="1047"/>
      <c r="AC31" s="1047"/>
      <c r="AD31" s="1047"/>
      <c r="AE31" s="1047"/>
      <c r="AF31" s="1047"/>
      <c r="AG31" s="1047"/>
      <c r="AH31" s="1047"/>
      <c r="AI31" s="1047"/>
      <c r="AJ31" s="1047"/>
      <c r="AK31" s="1047"/>
      <c r="AL31" s="1047"/>
      <c r="AM31" s="1047"/>
      <c r="AN31" s="1047"/>
      <c r="AO31" s="1047"/>
      <c r="AP31" s="1047"/>
      <c r="AQ31" s="1047"/>
      <c r="AR31" s="1071">
        <v>0</v>
      </c>
    </row>
    <row r="32" spans="1:44" s="1609" customFormat="1" ht="17.25" hidden="1" customHeight="1">
      <c r="A32" s="255"/>
      <c r="C32" s="254"/>
      <c r="D32" s="2278"/>
      <c r="E32" s="2292"/>
      <c r="F32" s="2305"/>
      <c r="G32" s="2292"/>
      <c r="H32" s="1087"/>
      <c r="I32" s="1088"/>
      <c r="J32" s="1088"/>
      <c r="K32" s="1088"/>
      <c r="L32" s="1088"/>
      <c r="M32" s="1088"/>
      <c r="N32" s="1088"/>
      <c r="O32" s="1088"/>
      <c r="P32" s="1088"/>
      <c r="Q32" s="1088"/>
      <c r="R32" s="1088"/>
      <c r="S32" s="1089"/>
      <c r="T32" s="1089"/>
      <c r="U32" s="1089"/>
      <c r="V32" s="1089"/>
      <c r="W32" s="1090"/>
      <c r="X32" s="1047"/>
      <c r="Y32" s="1047"/>
      <c r="Z32" s="1047"/>
      <c r="AA32" s="1047"/>
      <c r="AB32" s="1047"/>
      <c r="AC32" s="1047"/>
      <c r="AD32" s="1047"/>
      <c r="AE32" s="1047"/>
      <c r="AF32" s="1047"/>
      <c r="AG32" s="1047"/>
      <c r="AH32" s="1047"/>
      <c r="AI32" s="1047"/>
      <c r="AJ32" s="1047"/>
      <c r="AK32" s="1047"/>
      <c r="AL32" s="1047"/>
      <c r="AM32" s="1047"/>
      <c r="AN32" s="1047"/>
      <c r="AO32" s="1047"/>
      <c r="AP32" s="1047"/>
      <c r="AQ32" s="1047"/>
      <c r="AR32" s="1071">
        <v>0</v>
      </c>
    </row>
    <row r="33" spans="1:44" s="1609" customFormat="1" ht="17.25" hidden="1" customHeight="1">
      <c r="A33" s="255"/>
      <c r="C33" s="143"/>
      <c r="D33" s="2302">
        <v>4</v>
      </c>
      <c r="E33" s="2291" t="s">
        <v>258</v>
      </c>
      <c r="F33" s="2303" t="s">
        <v>6</v>
      </c>
      <c r="G33" s="2291"/>
      <c r="H33" s="2293"/>
      <c r="I33" s="2295"/>
      <c r="J33" s="2297"/>
      <c r="K33" s="2289"/>
      <c r="L33" s="2289"/>
      <c r="M33" s="2289"/>
      <c r="N33" s="2300"/>
      <c r="O33" s="2289"/>
      <c r="P33" s="2289"/>
      <c r="Q33" s="2289"/>
      <c r="R33" s="2287"/>
      <c r="S33" s="2289"/>
      <c r="T33" s="1208"/>
      <c r="U33" s="1208"/>
      <c r="V33" s="1207"/>
      <c r="W33" s="1084"/>
      <c r="X33" s="1055"/>
      <c r="Y33" s="1055"/>
      <c r="Z33" s="1055"/>
      <c r="AA33" s="1055"/>
      <c r="AB33" s="1055"/>
      <c r="AC33" s="1055" t="s">
        <v>259</v>
      </c>
      <c r="AD33" s="1055" t="s">
        <v>260</v>
      </c>
      <c r="AE33" s="1055" t="s">
        <v>261</v>
      </c>
      <c r="AF33" s="1055" t="s">
        <v>262</v>
      </c>
      <c r="AG33" s="1055" t="s">
        <v>263</v>
      </c>
      <c r="AH33" s="105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055" t="str">
        <f>IF($G$33=0,"",$G$33)</f>
        <v/>
      </c>
      <c r="AJ33" s="1055" t="str">
        <f>IF($J$33=0,"",$J$33)</f>
        <v/>
      </c>
      <c r="AK33" s="1055" t="str">
        <f>IF($K$33="нет","без дифференциации",IF($N$33=0,"",$N$33))</f>
        <v/>
      </c>
      <c r="AL33" s="1055" t="str">
        <f>IF($O$33="нет","без дифференциации",IF($R$33=0,"",$R$33))</f>
        <v/>
      </c>
      <c r="AM33" s="1055" t="str">
        <f>IF($S$33="нет","без дифференциации",IF($V$33=0,"",$V$33))</f>
        <v/>
      </c>
      <c r="AN33" s="1531">
        <f>$I$33</f>
        <v>0</v>
      </c>
      <c r="AO33" s="1055" t="str">
        <f>$I$33&amp;"."&amp;$M$33</f>
        <v>.</v>
      </c>
      <c r="AP33" s="1047" t="str">
        <f>$I$33&amp;"."&amp;$M$33&amp;"."&amp;$Q$33</f>
        <v>..</v>
      </c>
      <c r="AQ33" s="1047" t="str">
        <f>$I$33&amp;"."&amp;$M$33&amp;"."&amp;$Q$33&amp;"."&amp;$U$33</f>
        <v>...</v>
      </c>
      <c r="AR33" s="1071">
        <v>0</v>
      </c>
    </row>
    <row r="34" spans="1:44" s="1609" customFormat="1" ht="17.25" hidden="1" customHeight="1">
      <c r="A34" s="255"/>
      <c r="C34" s="254"/>
      <c r="D34" s="2302"/>
      <c r="E34" s="2291"/>
      <c r="F34" s="2304"/>
      <c r="G34" s="2291"/>
      <c r="H34" s="2294"/>
      <c r="I34" s="2296"/>
      <c r="J34" s="2298"/>
      <c r="K34" s="2290"/>
      <c r="L34" s="2290"/>
      <c r="M34" s="2290"/>
      <c r="N34" s="2301"/>
      <c r="O34" s="2290"/>
      <c r="P34" s="2290"/>
      <c r="Q34" s="2290"/>
      <c r="R34" s="2288"/>
      <c r="S34" s="2290"/>
      <c r="T34" s="1085"/>
      <c r="U34" s="1085"/>
      <c r="V34" s="1085"/>
      <c r="W34" s="1086"/>
      <c r="X34" s="1047"/>
      <c r="Y34" s="1047"/>
      <c r="Z34" s="1047"/>
      <c r="AA34" s="1047"/>
      <c r="AB34" s="1047"/>
      <c r="AC34" s="1047"/>
      <c r="AD34" s="1047"/>
      <c r="AE34" s="1047"/>
      <c r="AF34" s="1047"/>
      <c r="AG34" s="1047"/>
      <c r="AH34" s="1047"/>
      <c r="AI34" s="1047"/>
      <c r="AJ34" s="1047"/>
      <c r="AK34" s="1047"/>
      <c r="AL34" s="1047"/>
      <c r="AM34" s="1047"/>
      <c r="AN34" s="1047"/>
      <c r="AO34" s="1047"/>
      <c r="AP34" s="1047"/>
      <c r="AQ34" s="1047"/>
      <c r="AR34" s="1071">
        <v>0</v>
      </c>
    </row>
    <row r="35" spans="1:44" s="1609" customFormat="1" ht="17.25" hidden="1" customHeight="1">
      <c r="A35" s="255"/>
      <c r="C35" s="254"/>
      <c r="D35" s="2278"/>
      <c r="E35" s="2292"/>
      <c r="F35" s="2304"/>
      <c r="G35" s="2292"/>
      <c r="H35" s="2294"/>
      <c r="I35" s="2296"/>
      <c r="J35" s="2299"/>
      <c r="K35" s="2290"/>
      <c r="L35" s="2290"/>
      <c r="M35" s="2290"/>
      <c r="N35" s="2288"/>
      <c r="O35" s="2290"/>
      <c r="P35" s="1206"/>
      <c r="Q35" s="1085"/>
      <c r="R35" s="1085"/>
      <c r="S35" s="263"/>
      <c r="T35" s="263"/>
      <c r="U35" s="263"/>
      <c r="V35" s="263"/>
      <c r="W35" s="1086"/>
      <c r="X35" s="1047"/>
      <c r="Y35" s="1047"/>
      <c r="Z35" s="1047"/>
      <c r="AA35" s="1047"/>
      <c r="AB35" s="1047"/>
      <c r="AC35" s="1047"/>
      <c r="AD35" s="1047"/>
      <c r="AE35" s="1047"/>
      <c r="AF35" s="1047"/>
      <c r="AG35" s="1047"/>
      <c r="AH35" s="1047"/>
      <c r="AI35" s="1047"/>
      <c r="AJ35" s="1047"/>
      <c r="AK35" s="1047"/>
      <c r="AL35" s="1047"/>
      <c r="AM35" s="1047"/>
      <c r="AN35" s="1047"/>
      <c r="AO35" s="1047"/>
      <c r="AP35" s="1047"/>
      <c r="AQ35" s="1047"/>
      <c r="AR35" s="1071">
        <v>0</v>
      </c>
    </row>
    <row r="36" spans="1:44" s="1609" customFormat="1" ht="17.25" hidden="1" customHeight="1">
      <c r="A36" s="255"/>
      <c r="C36" s="254"/>
      <c r="D36" s="2278"/>
      <c r="E36" s="2292"/>
      <c r="F36" s="2304"/>
      <c r="G36" s="2292"/>
      <c r="H36" s="2294"/>
      <c r="I36" s="2296"/>
      <c r="J36" s="2299"/>
      <c r="K36" s="2290"/>
      <c r="L36" s="1085"/>
      <c r="M36" s="1085"/>
      <c r="N36" s="1085"/>
      <c r="O36" s="1085"/>
      <c r="P36" s="1085"/>
      <c r="Q36" s="1085"/>
      <c r="R36" s="1085"/>
      <c r="S36" s="263"/>
      <c r="T36" s="263"/>
      <c r="U36" s="263"/>
      <c r="V36" s="263"/>
      <c r="W36" s="1086"/>
      <c r="X36" s="1047"/>
      <c r="Y36" s="1047"/>
      <c r="Z36" s="1047"/>
      <c r="AA36" s="1047"/>
      <c r="AB36" s="1047"/>
      <c r="AC36" s="1047"/>
      <c r="AD36" s="1047"/>
      <c r="AE36" s="1047"/>
      <c r="AF36" s="1047"/>
      <c r="AG36" s="1047"/>
      <c r="AH36" s="1047"/>
      <c r="AI36" s="1047"/>
      <c r="AJ36" s="1047"/>
      <c r="AK36" s="1047"/>
      <c r="AL36" s="1047"/>
      <c r="AM36" s="1047"/>
      <c r="AN36" s="1047"/>
      <c r="AO36" s="1047"/>
      <c r="AP36" s="1047"/>
      <c r="AQ36" s="1047"/>
      <c r="AR36" s="1071">
        <v>0</v>
      </c>
    </row>
    <row r="37" spans="1:44" s="1609" customFormat="1" ht="17.25" hidden="1" customHeight="1">
      <c r="A37" s="255"/>
      <c r="C37" s="254"/>
      <c r="D37" s="2278"/>
      <c r="E37" s="2292"/>
      <c r="F37" s="2305"/>
      <c r="G37" s="2292"/>
      <c r="H37" s="1087"/>
      <c r="I37" s="1088"/>
      <c r="J37" s="1088"/>
      <c r="K37" s="1088"/>
      <c r="L37" s="1088"/>
      <c r="M37" s="1088"/>
      <c r="N37" s="1088"/>
      <c r="O37" s="1088"/>
      <c r="P37" s="1088"/>
      <c r="Q37" s="1088"/>
      <c r="R37" s="1088"/>
      <c r="S37" s="1089"/>
      <c r="T37" s="1089"/>
      <c r="U37" s="1089"/>
      <c r="V37" s="1089"/>
      <c r="W37" s="1090"/>
      <c r="X37" s="1047"/>
      <c r="Y37" s="1047"/>
      <c r="Z37" s="1047"/>
      <c r="AA37" s="1047"/>
      <c r="AB37" s="1047"/>
      <c r="AC37" s="1047"/>
      <c r="AD37" s="1047"/>
      <c r="AE37" s="1047"/>
      <c r="AF37" s="1047"/>
      <c r="AG37" s="1047"/>
      <c r="AH37" s="1047"/>
      <c r="AI37" s="1047"/>
      <c r="AJ37" s="1047"/>
      <c r="AK37" s="1047"/>
      <c r="AL37" s="1047"/>
      <c r="AM37" s="1047"/>
      <c r="AN37" s="1047"/>
      <c r="AO37" s="1047"/>
      <c r="AP37" s="1047"/>
      <c r="AQ37" s="1047"/>
      <c r="AR37" s="1071">
        <v>0</v>
      </c>
    </row>
    <row r="38" spans="1:44" s="1609" customFormat="1" ht="17.25" hidden="1" customHeight="1">
      <c r="A38" s="255"/>
      <c r="C38" s="143"/>
      <c r="D38" s="2302">
        <v>5</v>
      </c>
      <c r="E38" s="2291" t="s">
        <v>264</v>
      </c>
      <c r="F38" s="2303" t="s">
        <v>6</v>
      </c>
      <c r="G38" s="2291"/>
      <c r="H38" s="2293"/>
      <c r="I38" s="2295"/>
      <c r="J38" s="2297"/>
      <c r="K38" s="2289"/>
      <c r="L38" s="2289"/>
      <c r="M38" s="2289"/>
      <c r="N38" s="2300"/>
      <c r="O38" s="2289"/>
      <c r="P38" s="2289"/>
      <c r="Q38" s="2289"/>
      <c r="R38" s="2287"/>
      <c r="S38" s="2289"/>
      <c r="T38" s="1208"/>
      <c r="U38" s="1208"/>
      <c r="V38" s="1207"/>
      <c r="W38" s="1084"/>
      <c r="X38" s="1055"/>
      <c r="Y38" s="1055"/>
      <c r="Z38" s="1055"/>
      <c r="AA38" s="1055"/>
      <c r="AB38" s="1055"/>
      <c r="AC38" s="1055" t="s">
        <v>265</v>
      </c>
      <c r="AD38" s="1055" t="s">
        <v>266</v>
      </c>
      <c r="AE38" s="1055" t="s">
        <v>267</v>
      </c>
      <c r="AF38" s="1055" t="s">
        <v>268</v>
      </c>
      <c r="AG38" s="1055" t="s">
        <v>269</v>
      </c>
      <c r="AH38" s="1055" t="str">
        <f>IF($E$38=0,"",$E$38)</f>
        <v>Тарифы на услуги по передаче тепловой энергии</v>
      </c>
      <c r="AI38" s="1055" t="str">
        <f>IF($G$38=0,"",$G$38)</f>
        <v/>
      </c>
      <c r="AJ38" s="1055" t="str">
        <f>IF($J$38=0,"",$J$38)</f>
        <v/>
      </c>
      <c r="AK38" s="1055" t="str">
        <f>IF($K$38="нет","без дифференциации",IF($N$38=0,"",$N$38))</f>
        <v/>
      </c>
      <c r="AL38" s="1055" t="str">
        <f>IF($O$38="нет","без дифференциации",IF($R$38=0,"",$R$38))</f>
        <v/>
      </c>
      <c r="AM38" s="1055" t="str">
        <f>IF($S$38="нет","без дифференциации",IF($V$38=0,"",$V$38))</f>
        <v/>
      </c>
      <c r="AN38" s="1531">
        <f>$I$38</f>
        <v>0</v>
      </c>
      <c r="AO38" s="1055" t="str">
        <f>$I$38&amp;"."&amp;$M$38</f>
        <v>.</v>
      </c>
      <c r="AP38" s="1047" t="str">
        <f>$I$38&amp;"."&amp;$M$38&amp;"."&amp;$Q$38</f>
        <v>..</v>
      </c>
      <c r="AQ38" s="1047" t="str">
        <f>$I$38&amp;"."&amp;$M$38&amp;"."&amp;$Q$38&amp;"."&amp;$U$38</f>
        <v>...</v>
      </c>
      <c r="AR38" s="1071">
        <v>0</v>
      </c>
    </row>
    <row r="39" spans="1:44" s="1609" customFormat="1" ht="17.25" hidden="1" customHeight="1">
      <c r="A39" s="255"/>
      <c r="C39" s="254"/>
      <c r="D39" s="2302"/>
      <c r="E39" s="2291"/>
      <c r="F39" s="2304"/>
      <c r="G39" s="2291"/>
      <c r="H39" s="2294"/>
      <c r="I39" s="2296"/>
      <c r="J39" s="2298"/>
      <c r="K39" s="2290"/>
      <c r="L39" s="2290"/>
      <c r="M39" s="2290"/>
      <c r="N39" s="2301"/>
      <c r="O39" s="2290"/>
      <c r="P39" s="2290"/>
      <c r="Q39" s="2290"/>
      <c r="R39" s="2288"/>
      <c r="S39" s="2290"/>
      <c r="T39" s="1085"/>
      <c r="U39" s="1085"/>
      <c r="V39" s="1085"/>
      <c r="W39" s="1086"/>
      <c r="X39" s="1047"/>
      <c r="Y39" s="1047"/>
      <c r="Z39" s="1047"/>
      <c r="AA39" s="1047"/>
      <c r="AB39" s="1047"/>
      <c r="AC39" s="1047"/>
      <c r="AD39" s="1047"/>
      <c r="AE39" s="1047"/>
      <c r="AF39" s="1047"/>
      <c r="AG39" s="1047"/>
      <c r="AH39" s="1047"/>
      <c r="AI39" s="1047"/>
      <c r="AJ39" s="1047"/>
      <c r="AK39" s="1047"/>
      <c r="AL39" s="1047"/>
      <c r="AM39" s="1047"/>
      <c r="AN39" s="1047"/>
      <c r="AO39" s="1047"/>
      <c r="AP39" s="1047"/>
      <c r="AQ39" s="1047"/>
      <c r="AR39" s="1071">
        <v>0</v>
      </c>
    </row>
    <row r="40" spans="1:44" s="1609" customFormat="1" ht="17.25" hidden="1" customHeight="1">
      <c r="A40" s="255"/>
      <c r="C40" s="254"/>
      <c r="D40" s="2278"/>
      <c r="E40" s="2292"/>
      <c r="F40" s="2304"/>
      <c r="G40" s="2292"/>
      <c r="H40" s="2294"/>
      <c r="I40" s="2296"/>
      <c r="J40" s="2299"/>
      <c r="K40" s="2290"/>
      <c r="L40" s="2290"/>
      <c r="M40" s="2290"/>
      <c r="N40" s="2288"/>
      <c r="O40" s="2290"/>
      <c r="P40" s="1206"/>
      <c r="Q40" s="1085"/>
      <c r="R40" s="1085"/>
      <c r="S40" s="263"/>
      <c r="T40" s="263"/>
      <c r="U40" s="263"/>
      <c r="V40" s="263"/>
      <c r="W40" s="1086"/>
      <c r="X40" s="1047"/>
      <c r="Y40" s="1047"/>
      <c r="Z40" s="1047"/>
      <c r="AA40" s="1047"/>
      <c r="AB40" s="1047"/>
      <c r="AC40" s="1047"/>
      <c r="AD40" s="1047"/>
      <c r="AE40" s="1047"/>
      <c r="AF40" s="1047"/>
      <c r="AG40" s="1047"/>
      <c r="AH40" s="1047"/>
      <c r="AI40" s="1047"/>
      <c r="AJ40" s="1047"/>
      <c r="AK40" s="1047"/>
      <c r="AL40" s="1047"/>
      <c r="AM40" s="1047"/>
      <c r="AN40" s="1047"/>
      <c r="AO40" s="1047"/>
      <c r="AP40" s="1047"/>
      <c r="AQ40" s="1047"/>
      <c r="AR40" s="1071">
        <v>0</v>
      </c>
    </row>
    <row r="41" spans="1:44" s="1609" customFormat="1" ht="17.25" hidden="1" customHeight="1">
      <c r="A41" s="255"/>
      <c r="C41" s="254"/>
      <c r="D41" s="2278"/>
      <c r="E41" s="2292"/>
      <c r="F41" s="2304"/>
      <c r="G41" s="2292"/>
      <c r="H41" s="2294"/>
      <c r="I41" s="2296"/>
      <c r="J41" s="2299"/>
      <c r="K41" s="2290"/>
      <c r="L41" s="1085"/>
      <c r="M41" s="1085"/>
      <c r="N41" s="1085"/>
      <c r="O41" s="1085"/>
      <c r="P41" s="1085"/>
      <c r="Q41" s="1085"/>
      <c r="R41" s="1085"/>
      <c r="S41" s="263"/>
      <c r="T41" s="263"/>
      <c r="U41" s="263"/>
      <c r="V41" s="263"/>
      <c r="W41" s="1086"/>
      <c r="X41" s="1047"/>
      <c r="Y41" s="1047"/>
      <c r="Z41" s="1047"/>
      <c r="AA41" s="1047"/>
      <c r="AB41" s="1047"/>
      <c r="AC41" s="1047"/>
      <c r="AD41" s="1047"/>
      <c r="AE41" s="1047"/>
      <c r="AF41" s="1047"/>
      <c r="AG41" s="1047"/>
      <c r="AH41" s="1047"/>
      <c r="AI41" s="1047"/>
      <c r="AJ41" s="1047"/>
      <c r="AK41" s="1047"/>
      <c r="AL41" s="1047"/>
      <c r="AM41" s="1047"/>
      <c r="AN41" s="1047"/>
      <c r="AO41" s="1047"/>
      <c r="AP41" s="1047"/>
      <c r="AQ41" s="1047"/>
      <c r="AR41" s="1071">
        <v>0</v>
      </c>
    </row>
    <row r="42" spans="1:44" s="1609" customFormat="1" ht="17.25" hidden="1" customHeight="1">
      <c r="A42" s="255"/>
      <c r="C42" s="254"/>
      <c r="D42" s="2278"/>
      <c r="E42" s="2292"/>
      <c r="F42" s="2305"/>
      <c r="G42" s="2292"/>
      <c r="H42" s="1087"/>
      <c r="I42" s="1088"/>
      <c r="J42" s="1088"/>
      <c r="K42" s="1088"/>
      <c r="L42" s="1088"/>
      <c r="M42" s="1088"/>
      <c r="N42" s="1088"/>
      <c r="O42" s="1088"/>
      <c r="P42" s="1088"/>
      <c r="Q42" s="1088"/>
      <c r="R42" s="1088"/>
      <c r="S42" s="1089"/>
      <c r="T42" s="1089"/>
      <c r="U42" s="1089"/>
      <c r="V42" s="1089"/>
      <c r="W42" s="1090"/>
      <c r="X42" s="1047"/>
      <c r="Y42" s="1047"/>
      <c r="Z42" s="1047"/>
      <c r="AA42" s="1047"/>
      <c r="AB42" s="1047"/>
      <c r="AC42" s="1047"/>
      <c r="AD42" s="1047"/>
      <c r="AE42" s="1047"/>
      <c r="AF42" s="1047"/>
      <c r="AG42" s="1047"/>
      <c r="AH42" s="1047"/>
      <c r="AI42" s="1047"/>
      <c r="AJ42" s="1047"/>
      <c r="AK42" s="1047"/>
      <c r="AL42" s="1047"/>
      <c r="AM42" s="1047"/>
      <c r="AN42" s="1047"/>
      <c r="AO42" s="1047"/>
      <c r="AP42" s="1047"/>
      <c r="AQ42" s="1047"/>
      <c r="AR42" s="1071">
        <v>0</v>
      </c>
    </row>
    <row r="43" spans="1:44" s="1609" customFormat="1" ht="17.25" hidden="1" customHeight="1">
      <c r="A43" s="255"/>
      <c r="C43" s="143"/>
      <c r="D43" s="2302">
        <v>6</v>
      </c>
      <c r="E43" s="2291" t="s">
        <v>270</v>
      </c>
      <c r="F43" s="2303" t="s">
        <v>6</v>
      </c>
      <c r="G43" s="2291"/>
      <c r="H43" s="2293"/>
      <c r="I43" s="2295"/>
      <c r="J43" s="2297"/>
      <c r="K43" s="2289"/>
      <c r="L43" s="2289"/>
      <c r="M43" s="2289"/>
      <c r="N43" s="2300"/>
      <c r="O43" s="2289"/>
      <c r="P43" s="2289"/>
      <c r="Q43" s="2289"/>
      <c r="R43" s="2287"/>
      <c r="S43" s="2289"/>
      <c r="T43" s="1208"/>
      <c r="U43" s="1208"/>
      <c r="V43" s="1207"/>
      <c r="W43" s="1084"/>
      <c r="X43" s="1055"/>
      <c r="Y43" s="1055"/>
      <c r="Z43" s="1055"/>
      <c r="AA43" s="1055"/>
      <c r="AB43" s="1055"/>
      <c r="AC43" s="1055" t="s">
        <v>271</v>
      </c>
      <c r="AD43" s="1055" t="s">
        <v>272</v>
      </c>
      <c r="AE43" s="1055" t="s">
        <v>273</v>
      </c>
      <c r="AF43" s="1055" t="s">
        <v>274</v>
      </c>
      <c r="AG43" s="1055" t="s">
        <v>275</v>
      </c>
      <c r="AH43" s="1055" t="str">
        <f>IF($E$43=0,"",$E$43)</f>
        <v>Тарифы на услуги по передаче теплоносителя</v>
      </c>
      <c r="AI43" s="1055" t="str">
        <f>IF($G$43=0,"",$G$43)</f>
        <v/>
      </c>
      <c r="AJ43" s="1055" t="str">
        <f>IF($J$43=0,"",$J$43)</f>
        <v/>
      </c>
      <c r="AK43" s="1055" t="str">
        <f>IF($K$43="нет","без дифференциации",IF($N$43=0,"",$N$43))</f>
        <v/>
      </c>
      <c r="AL43" s="1055" t="str">
        <f>IF($O$43="нет","без дифференциации",IF($R$43=0,"",$R$43))</f>
        <v/>
      </c>
      <c r="AM43" s="1055" t="str">
        <f>IF($S$43="нет","без дифференциации",IF($V$43=0,"",$V$43))</f>
        <v/>
      </c>
      <c r="AN43" s="1531">
        <f>$I$43</f>
        <v>0</v>
      </c>
      <c r="AO43" s="1055" t="str">
        <f>$I$43&amp;"."&amp;$M$43</f>
        <v>.</v>
      </c>
      <c r="AP43" s="1047" t="str">
        <f>$I$43&amp;"."&amp;$M$43&amp;"."&amp;$Q$43</f>
        <v>..</v>
      </c>
      <c r="AQ43" s="1047" t="str">
        <f>$I$43&amp;"."&amp;$M$43&amp;"."&amp;$Q$43&amp;"."&amp;$U$43</f>
        <v>...</v>
      </c>
      <c r="AR43" s="1071">
        <v>0</v>
      </c>
    </row>
    <row r="44" spans="1:44" s="1609" customFormat="1" ht="17.25" hidden="1" customHeight="1">
      <c r="A44" s="255"/>
      <c r="C44" s="254"/>
      <c r="D44" s="2302"/>
      <c r="E44" s="2291"/>
      <c r="F44" s="2304"/>
      <c r="G44" s="2291"/>
      <c r="H44" s="2294"/>
      <c r="I44" s="2296"/>
      <c r="J44" s="2298"/>
      <c r="K44" s="2290"/>
      <c r="L44" s="2290"/>
      <c r="M44" s="2290"/>
      <c r="N44" s="2301"/>
      <c r="O44" s="2290"/>
      <c r="P44" s="2290"/>
      <c r="Q44" s="2290"/>
      <c r="R44" s="2288"/>
      <c r="S44" s="2290"/>
      <c r="T44" s="1085"/>
      <c r="U44" s="1085"/>
      <c r="V44" s="1085"/>
      <c r="W44" s="1086"/>
      <c r="X44" s="1047"/>
      <c r="Y44" s="1047"/>
      <c r="Z44" s="1047"/>
      <c r="AA44" s="1047"/>
      <c r="AB44" s="1047"/>
      <c r="AC44" s="1047"/>
      <c r="AD44" s="1047"/>
      <c r="AE44" s="1047"/>
      <c r="AF44" s="1047"/>
      <c r="AG44" s="1047"/>
      <c r="AH44" s="1047"/>
      <c r="AI44" s="1047"/>
      <c r="AJ44" s="1047"/>
      <c r="AK44" s="1047"/>
      <c r="AL44" s="1047"/>
      <c r="AM44" s="1047"/>
      <c r="AN44" s="1047"/>
      <c r="AO44" s="1047"/>
      <c r="AP44" s="1047"/>
      <c r="AQ44" s="1047"/>
      <c r="AR44" s="1071">
        <v>0</v>
      </c>
    </row>
    <row r="45" spans="1:44" s="1609" customFormat="1" ht="17.25" hidden="1" customHeight="1">
      <c r="A45" s="255"/>
      <c r="C45" s="254"/>
      <c r="D45" s="2278"/>
      <c r="E45" s="2292"/>
      <c r="F45" s="2304"/>
      <c r="G45" s="2292"/>
      <c r="H45" s="2294"/>
      <c r="I45" s="2296"/>
      <c r="J45" s="2299"/>
      <c r="K45" s="2290"/>
      <c r="L45" s="2290"/>
      <c r="M45" s="2290"/>
      <c r="N45" s="2288"/>
      <c r="O45" s="2290"/>
      <c r="P45" s="1206"/>
      <c r="Q45" s="1085"/>
      <c r="R45" s="1085"/>
      <c r="S45" s="263"/>
      <c r="T45" s="263"/>
      <c r="U45" s="263"/>
      <c r="V45" s="263"/>
      <c r="W45" s="1086"/>
      <c r="X45" s="1047"/>
      <c r="Y45" s="1047"/>
      <c r="Z45" s="1047"/>
      <c r="AA45" s="1047"/>
      <c r="AB45" s="1047"/>
      <c r="AC45" s="1047"/>
      <c r="AD45" s="1047"/>
      <c r="AE45" s="1047"/>
      <c r="AF45" s="1047"/>
      <c r="AG45" s="1047"/>
      <c r="AH45" s="1047"/>
      <c r="AI45" s="1047"/>
      <c r="AJ45" s="1047"/>
      <c r="AK45" s="1047"/>
      <c r="AL45" s="1047"/>
      <c r="AM45" s="1047"/>
      <c r="AN45" s="1047"/>
      <c r="AO45" s="1047"/>
      <c r="AP45" s="1047"/>
      <c r="AQ45" s="1047"/>
      <c r="AR45" s="1071">
        <v>0</v>
      </c>
    </row>
    <row r="46" spans="1:44" s="1609" customFormat="1" ht="17.25" hidden="1" customHeight="1">
      <c r="A46" s="255"/>
      <c r="C46" s="143"/>
      <c r="D46" s="2278"/>
      <c r="E46" s="2292"/>
      <c r="F46" s="2304"/>
      <c r="G46" s="2292"/>
      <c r="H46" s="2294"/>
      <c r="I46" s="2296"/>
      <c r="J46" s="2299"/>
      <c r="K46" s="2290"/>
      <c r="L46" s="1085"/>
      <c r="M46" s="1085"/>
      <c r="N46" s="1085"/>
      <c r="O46" s="1085"/>
      <c r="P46" s="1085"/>
      <c r="Q46" s="1085"/>
      <c r="R46" s="1085"/>
      <c r="S46" s="263"/>
      <c r="T46" s="263"/>
      <c r="U46" s="263"/>
      <c r="V46" s="263"/>
      <c r="W46" s="1086"/>
      <c r="Y46" s="1055"/>
      <c r="Z46" s="1055"/>
      <c r="AA46" s="1055"/>
      <c r="AB46" s="1055"/>
      <c r="AC46" s="1055"/>
      <c r="AD46" s="1055"/>
      <c r="AE46" s="1055"/>
      <c r="AF46" s="1055"/>
      <c r="AG46" s="1055"/>
      <c r="AH46" s="1055"/>
      <c r="AI46" s="1055"/>
      <c r="AJ46" s="1055"/>
      <c r="AK46" s="1055"/>
      <c r="AL46" s="1055"/>
      <c r="AM46" s="1055"/>
      <c r="AN46" s="1055"/>
      <c r="AO46" s="1055"/>
      <c r="AP46" s="1055"/>
      <c r="AQ46" s="1055"/>
      <c r="AR46" s="1114">
        <v>0</v>
      </c>
    </row>
    <row r="47" spans="1:44" s="1609" customFormat="1" ht="17.25" hidden="1" customHeight="1">
      <c r="A47" s="255"/>
      <c r="C47" s="254"/>
      <c r="D47" s="2278"/>
      <c r="E47" s="2292"/>
      <c r="F47" s="2305"/>
      <c r="G47" s="2292"/>
      <c r="H47" s="1087"/>
      <c r="I47" s="1088"/>
      <c r="J47" s="1088"/>
      <c r="K47" s="1088"/>
      <c r="L47" s="1088"/>
      <c r="M47" s="1088"/>
      <c r="N47" s="1088"/>
      <c r="O47" s="1088"/>
      <c r="P47" s="1088"/>
      <c r="Q47" s="1088"/>
      <c r="R47" s="1088"/>
      <c r="S47" s="1089"/>
      <c r="T47" s="1089"/>
      <c r="U47" s="1089"/>
      <c r="V47" s="1089"/>
      <c r="W47" s="1090"/>
      <c r="X47" s="1047"/>
      <c r="Y47" s="1047"/>
      <c r="Z47" s="1047"/>
      <c r="AA47" s="1047"/>
      <c r="AB47" s="1047"/>
      <c r="AC47" s="1047"/>
      <c r="AD47" s="1047"/>
      <c r="AE47" s="1047"/>
      <c r="AF47" s="1047"/>
      <c r="AG47" s="1047"/>
      <c r="AH47" s="1047"/>
      <c r="AI47" s="1047"/>
      <c r="AJ47" s="1047"/>
      <c r="AK47" s="1047"/>
      <c r="AL47" s="1047"/>
      <c r="AM47" s="1047"/>
      <c r="AN47" s="1047"/>
      <c r="AO47" s="1047"/>
      <c r="AP47" s="1047"/>
      <c r="AQ47" s="1047"/>
      <c r="AR47" s="1071">
        <v>0</v>
      </c>
    </row>
    <row r="48" spans="1:44" s="1609" customFormat="1" ht="17.25" hidden="1" customHeight="1">
      <c r="A48" s="255"/>
      <c r="C48" s="143"/>
      <c r="D48" s="2309">
        <v>7</v>
      </c>
      <c r="E48" s="2312" t="s">
        <v>276</v>
      </c>
      <c r="F48" s="2303" t="s">
        <v>6</v>
      </c>
      <c r="G48" s="2312"/>
      <c r="H48" s="2293"/>
      <c r="I48" s="2295"/>
      <c r="J48" s="2297"/>
      <c r="K48" s="2289"/>
      <c r="L48" s="2289"/>
      <c r="M48" s="2289"/>
      <c r="N48" s="2300"/>
      <c r="O48" s="2289"/>
      <c r="P48" s="2289"/>
      <c r="Q48" s="2289"/>
      <c r="R48" s="2287"/>
      <c r="S48" s="2289"/>
      <c r="T48" s="1208"/>
      <c r="U48" s="1208"/>
      <c r="V48" s="1207"/>
      <c r="W48" s="1084"/>
      <c r="X48" s="1055"/>
      <c r="Y48" s="1055"/>
      <c r="Z48" s="1055"/>
      <c r="AA48" s="1055"/>
      <c r="AB48" s="1055"/>
      <c r="AC48" s="1055" t="s">
        <v>277</v>
      </c>
      <c r="AD48" s="1055" t="s">
        <v>278</v>
      </c>
      <c r="AE48" s="1055" t="s">
        <v>279</v>
      </c>
      <c r="AF48" s="1055" t="s">
        <v>280</v>
      </c>
      <c r="AG48" s="1055" t="s">
        <v>281</v>
      </c>
      <c r="AH48" s="1055" t="str">
        <f>IF($E$48=0,"",$E$48)</f>
        <v>Плата за услуги по поддержанию резервной тепловой мощности при отсутствии потребления тепловой энергии</v>
      </c>
      <c r="AI48" s="1055" t="str">
        <f>IF($G$48=0,"",$G$48)</f>
        <v/>
      </c>
      <c r="AJ48" s="1055" t="str">
        <f>IF($J$48=0,"",$J$48)</f>
        <v/>
      </c>
      <c r="AK48" s="1055" t="str">
        <f>IF($K$48="нет","без дифференциации",IF($N$48=0,"",$N$48))</f>
        <v/>
      </c>
      <c r="AL48" s="1055" t="str">
        <f>IF($O$48="нет","без дифференциации",IF($R$48=0,"",$R$48))</f>
        <v/>
      </c>
      <c r="AM48" s="1055" t="str">
        <f>IF($S$48="нет","без дифференциации",IF($V$48=0,"",$V$48))</f>
        <v/>
      </c>
      <c r="AN48" s="1531">
        <f>$I$48</f>
        <v>0</v>
      </c>
      <c r="AO48" s="1055" t="str">
        <f>$I$48&amp;"."&amp;$M$48</f>
        <v>.</v>
      </c>
      <c r="AP48" s="1047" t="str">
        <f>$I$48&amp;"."&amp;$M$48&amp;"."&amp;$Q$48</f>
        <v>..</v>
      </c>
      <c r="AQ48" s="1047" t="str">
        <f>$I$48&amp;"."&amp;$M$48&amp;"."&amp;$Q$48&amp;"."&amp;$U$48</f>
        <v>...</v>
      </c>
      <c r="AR48" s="1096">
        <v>0</v>
      </c>
    </row>
    <row r="49" spans="1:44" s="1609" customFormat="1" ht="17.25" hidden="1" customHeight="1">
      <c r="A49" s="255"/>
      <c r="C49" s="254"/>
      <c r="D49" s="2310"/>
      <c r="E49" s="2313"/>
      <c r="F49" s="2304"/>
      <c r="G49" s="2313"/>
      <c r="H49" s="2294"/>
      <c r="I49" s="2296"/>
      <c r="J49" s="2298"/>
      <c r="K49" s="2290"/>
      <c r="L49" s="2290"/>
      <c r="M49" s="2290"/>
      <c r="N49" s="2301"/>
      <c r="O49" s="2290"/>
      <c r="P49" s="2290"/>
      <c r="Q49" s="2290"/>
      <c r="R49" s="2288"/>
      <c r="S49" s="2290"/>
      <c r="T49" s="1085"/>
      <c r="U49" s="1085"/>
      <c r="V49" s="1085"/>
      <c r="W49" s="1086"/>
      <c r="X49" s="1047"/>
      <c r="Y49" s="1047"/>
      <c r="Z49" s="1047"/>
      <c r="AA49" s="1047"/>
      <c r="AB49" s="1047"/>
      <c r="AC49" s="1047"/>
      <c r="AD49" s="1047"/>
      <c r="AE49" s="1047"/>
      <c r="AF49" s="1047"/>
      <c r="AG49" s="1047"/>
      <c r="AH49" s="1047"/>
      <c r="AI49" s="1047"/>
      <c r="AJ49" s="1047"/>
      <c r="AK49" s="1047"/>
      <c r="AL49" s="1047"/>
      <c r="AM49" s="1047"/>
      <c r="AN49" s="1047"/>
      <c r="AO49" s="1047"/>
      <c r="AP49" s="1047"/>
      <c r="AQ49" s="1047"/>
      <c r="AR49" s="1096">
        <v>0</v>
      </c>
    </row>
    <row r="50" spans="1:44" s="1609" customFormat="1" ht="17.25" hidden="1" customHeight="1">
      <c r="A50" s="255"/>
      <c r="C50" s="254"/>
      <c r="D50" s="2310"/>
      <c r="E50" s="2313"/>
      <c r="F50" s="2304"/>
      <c r="G50" s="2313"/>
      <c r="H50" s="2294"/>
      <c r="I50" s="2296"/>
      <c r="J50" s="2299"/>
      <c r="K50" s="2290"/>
      <c r="L50" s="2290"/>
      <c r="M50" s="2290"/>
      <c r="N50" s="2288"/>
      <c r="O50" s="2290"/>
      <c r="P50" s="1206"/>
      <c r="Q50" s="1085"/>
      <c r="R50" s="1085"/>
      <c r="S50" s="263"/>
      <c r="T50" s="263"/>
      <c r="U50" s="263"/>
      <c r="V50" s="263"/>
      <c r="W50" s="1086"/>
      <c r="X50" s="1047"/>
      <c r="Y50" s="1047"/>
      <c r="Z50" s="1047"/>
      <c r="AA50" s="1047"/>
      <c r="AB50" s="1047"/>
      <c r="AC50" s="1047"/>
      <c r="AD50" s="1047"/>
      <c r="AE50" s="1047"/>
      <c r="AF50" s="1047"/>
      <c r="AG50" s="1047"/>
      <c r="AH50" s="1047"/>
      <c r="AI50" s="1047"/>
      <c r="AJ50" s="1047"/>
      <c r="AK50" s="1047"/>
      <c r="AL50" s="1047"/>
      <c r="AM50" s="1047"/>
      <c r="AN50" s="1047"/>
      <c r="AO50" s="1047"/>
      <c r="AP50" s="1047"/>
      <c r="AQ50" s="1047"/>
      <c r="AR50" s="1096">
        <v>0</v>
      </c>
    </row>
    <row r="51" spans="1:44" s="1609" customFormat="1" ht="17.25" hidden="1" customHeight="1">
      <c r="A51" s="255"/>
      <c r="C51" s="143"/>
      <c r="D51" s="2310"/>
      <c r="E51" s="2313"/>
      <c r="F51" s="2304"/>
      <c r="G51" s="2313"/>
      <c r="H51" s="2294"/>
      <c r="I51" s="2296"/>
      <c r="J51" s="2299"/>
      <c r="K51" s="2290"/>
      <c r="L51" s="1085"/>
      <c r="M51" s="1085"/>
      <c r="N51" s="1085"/>
      <c r="O51" s="1085"/>
      <c r="P51" s="1085"/>
      <c r="Q51" s="1085"/>
      <c r="R51" s="1085"/>
      <c r="S51" s="263"/>
      <c r="T51" s="263"/>
      <c r="U51" s="263"/>
      <c r="V51" s="263"/>
      <c r="W51" s="1086"/>
      <c r="Y51" s="1055"/>
      <c r="Z51" s="1055"/>
      <c r="AA51" s="1055"/>
      <c r="AB51" s="1055"/>
      <c r="AC51" s="1055"/>
      <c r="AD51" s="1055"/>
      <c r="AE51" s="1055"/>
      <c r="AF51" s="1055"/>
      <c r="AG51" s="1055"/>
      <c r="AH51" s="1055"/>
      <c r="AI51" s="1055"/>
      <c r="AJ51" s="1055"/>
      <c r="AK51" s="1055"/>
      <c r="AL51" s="1055"/>
      <c r="AM51" s="1055"/>
      <c r="AN51" s="1055"/>
      <c r="AO51" s="1055"/>
      <c r="AP51" s="1055"/>
      <c r="AQ51" s="1055"/>
      <c r="AR51" s="1114">
        <v>0</v>
      </c>
    </row>
    <row r="52" spans="1:44" s="1609" customFormat="1" ht="17.25" hidden="1" customHeight="1">
      <c r="A52" s="255"/>
      <c r="C52" s="254"/>
      <c r="D52" s="2311"/>
      <c r="E52" s="2314"/>
      <c r="F52" s="2305"/>
      <c r="G52" s="2314"/>
      <c r="H52" s="1087"/>
      <c r="I52" s="1088"/>
      <c r="J52" s="1088"/>
      <c r="K52" s="1088"/>
      <c r="L52" s="1088"/>
      <c r="M52" s="1088"/>
      <c r="N52" s="1088"/>
      <c r="O52" s="1088"/>
      <c r="P52" s="1088"/>
      <c r="Q52" s="1088"/>
      <c r="R52" s="1088"/>
      <c r="S52" s="1089"/>
      <c r="T52" s="1089"/>
      <c r="U52" s="1089"/>
      <c r="V52" s="1089"/>
      <c r="W52" s="1090"/>
      <c r="X52" s="1047"/>
      <c r="Y52" s="1047"/>
      <c r="Z52" s="1047"/>
      <c r="AA52" s="1047"/>
      <c r="AB52" s="1047"/>
      <c r="AC52" s="1047"/>
      <c r="AD52" s="1047"/>
      <c r="AE52" s="1047"/>
      <c r="AF52" s="1047"/>
      <c r="AG52" s="1047"/>
      <c r="AH52" s="1047"/>
      <c r="AI52" s="1047"/>
      <c r="AJ52" s="1047"/>
      <c r="AK52" s="1047"/>
      <c r="AL52" s="1047"/>
      <c r="AM52" s="1047"/>
      <c r="AN52" s="1047"/>
      <c r="AO52" s="1047"/>
      <c r="AP52" s="1047"/>
      <c r="AQ52" s="1047"/>
      <c r="AR52" s="1096">
        <v>0</v>
      </c>
    </row>
    <row r="53" spans="1:44" s="1609" customFormat="1" ht="17.25" hidden="1" customHeight="1">
      <c r="A53" s="255"/>
      <c r="C53" s="143"/>
      <c r="D53" s="2302">
        <v>8</v>
      </c>
      <c r="E53" s="2291" t="s">
        <v>282</v>
      </c>
      <c r="F53" s="2303" t="s">
        <v>6</v>
      </c>
      <c r="G53" s="2291"/>
      <c r="H53" s="2293"/>
      <c r="I53" s="2295"/>
      <c r="J53" s="2297"/>
      <c r="K53" s="2289"/>
      <c r="L53" s="2289"/>
      <c r="M53" s="2289"/>
      <c r="N53" s="2300"/>
      <c r="O53" s="2289"/>
      <c r="P53" s="2289"/>
      <c r="Q53" s="2289"/>
      <c r="R53" s="2287"/>
      <c r="S53" s="2289"/>
      <c r="T53" s="1258"/>
      <c r="U53" s="1258"/>
      <c r="V53" s="1260"/>
      <c r="W53" s="1084"/>
      <c r="X53" s="1055"/>
      <c r="Y53" s="1055"/>
      <c r="Z53" s="1055"/>
      <c r="AA53" s="1055"/>
      <c r="AB53" s="1055"/>
      <c r="AC53" s="1055" t="s">
        <v>283</v>
      </c>
      <c r="AD53" s="1055" t="s">
        <v>284</v>
      </c>
      <c r="AE53" s="1055" t="s">
        <v>285</v>
      </c>
      <c r="AF53" s="1055" t="s">
        <v>286</v>
      </c>
      <c r="AG53" s="1055" t="s">
        <v>287</v>
      </c>
      <c r="AH53" s="1055" t="str">
        <f>IF($E$53=0,"",$E$53)</f>
        <v>Плата за подключение (технологическое присоединение) к системе теплоснабжения</v>
      </c>
      <c r="AI53" s="1055" t="str">
        <f>IF($G$53=0,"",$G$53)</f>
        <v/>
      </c>
      <c r="AJ53" s="1055" t="str">
        <f>IF($J$53=0,"",$J$53)</f>
        <v/>
      </c>
      <c r="AK53" s="1055" t="str">
        <f>IF($K$53="нет","без дифференциации",IF($N$53=0,"",$N$53))</f>
        <v/>
      </c>
      <c r="AL53" s="1055" t="str">
        <f>IF($O$53="нет","без дифференциации",IF($R$53=0,"",$R$53))</f>
        <v/>
      </c>
      <c r="AM53" s="1055" t="str">
        <f>IF($S$53="нет","без дифференциации",IF($V$53=0,"",$V$53))</f>
        <v/>
      </c>
      <c r="AN53" s="1531">
        <f>$I$53</f>
        <v>0</v>
      </c>
      <c r="AO53" s="1055" t="str">
        <f>$I$53&amp;"."&amp;$M$53</f>
        <v>.</v>
      </c>
      <c r="AP53" s="1047" t="str">
        <f>$I$53&amp;"."&amp;$M$53&amp;"."&amp;$Q$53</f>
        <v>..</v>
      </c>
      <c r="AQ53" s="1047" t="str">
        <f>$I$53&amp;"."&amp;$M$53&amp;"."&amp;$Q$53&amp;"."&amp;$U$53</f>
        <v>...</v>
      </c>
      <c r="AR53" s="1096">
        <v>0</v>
      </c>
    </row>
    <row r="54" spans="1:44" s="1609" customFormat="1" ht="17.25" hidden="1" customHeight="1">
      <c r="A54" s="255"/>
      <c r="C54" s="254"/>
      <c r="D54" s="2302"/>
      <c r="E54" s="2291"/>
      <c r="F54" s="2304"/>
      <c r="G54" s="2291"/>
      <c r="H54" s="2294"/>
      <c r="I54" s="2296"/>
      <c r="J54" s="2298"/>
      <c r="K54" s="2290"/>
      <c r="L54" s="2290"/>
      <c r="M54" s="2290"/>
      <c r="N54" s="2301"/>
      <c r="O54" s="2290"/>
      <c r="P54" s="2290"/>
      <c r="Q54" s="2290"/>
      <c r="R54" s="2288"/>
      <c r="S54" s="2290"/>
      <c r="T54" s="1085"/>
      <c r="U54" s="1085"/>
      <c r="V54" s="1085"/>
      <c r="W54" s="1086"/>
      <c r="X54" s="1047"/>
      <c r="Y54" s="1047"/>
      <c r="Z54" s="1047"/>
      <c r="AA54" s="1047"/>
      <c r="AB54" s="1047"/>
      <c r="AC54" s="1047"/>
      <c r="AD54" s="1047"/>
      <c r="AE54" s="1047"/>
      <c r="AF54" s="1047"/>
      <c r="AG54" s="1047"/>
      <c r="AH54" s="1047"/>
      <c r="AI54" s="1047"/>
      <c r="AJ54" s="1047"/>
      <c r="AK54" s="1047"/>
      <c r="AL54" s="1047"/>
      <c r="AM54" s="1047"/>
      <c r="AN54" s="1047"/>
      <c r="AO54" s="1047"/>
      <c r="AP54" s="1047"/>
      <c r="AQ54" s="1047"/>
      <c r="AR54" s="1096">
        <v>0</v>
      </c>
    </row>
    <row r="55" spans="1:44" s="1609" customFormat="1" ht="17.25" hidden="1" customHeight="1">
      <c r="A55" s="255"/>
      <c r="C55" s="254"/>
      <c r="D55" s="2278"/>
      <c r="E55" s="2292"/>
      <c r="F55" s="2304"/>
      <c r="G55" s="2292"/>
      <c r="H55" s="2294"/>
      <c r="I55" s="2296"/>
      <c r="J55" s="2299"/>
      <c r="K55" s="2290"/>
      <c r="L55" s="2290"/>
      <c r="M55" s="2290"/>
      <c r="N55" s="2288"/>
      <c r="O55" s="2290"/>
      <c r="P55" s="1259"/>
      <c r="Q55" s="1085"/>
      <c r="R55" s="1085"/>
      <c r="S55" s="263"/>
      <c r="T55" s="263"/>
      <c r="U55" s="263"/>
      <c r="V55" s="263"/>
      <c r="W55" s="1086"/>
      <c r="X55" s="1047"/>
      <c r="Y55" s="1047"/>
      <c r="Z55" s="1047"/>
      <c r="AA55" s="1047"/>
      <c r="AB55" s="1047"/>
      <c r="AC55" s="1047"/>
      <c r="AD55" s="1047"/>
      <c r="AE55" s="1047"/>
      <c r="AF55" s="1047"/>
      <c r="AG55" s="1047"/>
      <c r="AH55" s="1047"/>
      <c r="AI55" s="1047"/>
      <c r="AJ55" s="1047"/>
      <c r="AK55" s="1047"/>
      <c r="AL55" s="1047"/>
      <c r="AM55" s="1047"/>
      <c r="AN55" s="1047"/>
      <c r="AO55" s="1047"/>
      <c r="AP55" s="1047"/>
      <c r="AQ55" s="1047"/>
      <c r="AR55" s="1096">
        <v>0</v>
      </c>
    </row>
    <row r="56" spans="1:44" s="1609" customFormat="1" ht="17.25" hidden="1" customHeight="1">
      <c r="A56" s="255"/>
      <c r="C56" s="143"/>
      <c r="D56" s="2278"/>
      <c r="E56" s="2292"/>
      <c r="F56" s="2304"/>
      <c r="G56" s="2292"/>
      <c r="H56" s="2294"/>
      <c r="I56" s="2296"/>
      <c r="J56" s="2299"/>
      <c r="K56" s="2290"/>
      <c r="L56" s="1085"/>
      <c r="M56" s="1085"/>
      <c r="N56" s="1085"/>
      <c r="O56" s="1085"/>
      <c r="P56" s="1085"/>
      <c r="Q56" s="1085"/>
      <c r="R56" s="1085"/>
      <c r="S56" s="263"/>
      <c r="T56" s="263"/>
      <c r="U56" s="263"/>
      <c r="V56" s="263"/>
      <c r="W56" s="1086"/>
      <c r="Y56" s="1055"/>
      <c r="Z56" s="1055"/>
      <c r="AA56" s="1055"/>
      <c r="AB56" s="1055"/>
      <c r="AC56" s="1055"/>
      <c r="AD56" s="1055"/>
      <c r="AE56" s="1055"/>
      <c r="AF56" s="1055"/>
      <c r="AG56" s="1055"/>
      <c r="AH56" s="1055"/>
      <c r="AI56" s="1055"/>
      <c r="AJ56" s="1055"/>
      <c r="AK56" s="1055"/>
      <c r="AL56" s="1055"/>
      <c r="AM56" s="1055"/>
      <c r="AN56" s="1055"/>
      <c r="AO56" s="1055"/>
      <c r="AP56" s="1055"/>
      <c r="AQ56" s="1055"/>
      <c r="AR56" s="1114">
        <v>0</v>
      </c>
    </row>
    <row r="57" spans="1:44" s="1609" customFormat="1" ht="17.25" hidden="1" customHeight="1">
      <c r="A57" s="255"/>
      <c r="C57" s="254"/>
      <c r="D57" s="2278"/>
      <c r="E57" s="2292"/>
      <c r="F57" s="2305"/>
      <c r="G57" s="2292"/>
      <c r="H57" s="1087"/>
      <c r="I57" s="1088"/>
      <c r="J57" s="1088"/>
      <c r="K57" s="1088"/>
      <c r="L57" s="1088"/>
      <c r="M57" s="1088"/>
      <c r="N57" s="1088"/>
      <c r="O57" s="1088"/>
      <c r="P57" s="1088"/>
      <c r="Q57" s="1088"/>
      <c r="R57" s="1088"/>
      <c r="S57" s="1089"/>
      <c r="T57" s="1089"/>
      <c r="U57" s="1089"/>
      <c r="V57" s="1089"/>
      <c r="W57" s="1090"/>
      <c r="X57" s="1047"/>
      <c r="Y57" s="1047"/>
      <c r="Z57" s="1047"/>
      <c r="AA57" s="1047"/>
      <c r="AB57" s="1047"/>
      <c r="AC57" s="1047"/>
      <c r="AD57" s="1047"/>
      <c r="AE57" s="1047"/>
      <c r="AF57" s="1047"/>
      <c r="AG57" s="1047"/>
      <c r="AH57" s="1047"/>
      <c r="AI57" s="1047"/>
      <c r="AJ57" s="1047"/>
      <c r="AK57" s="1047"/>
      <c r="AL57" s="1047"/>
      <c r="AM57" s="1047"/>
      <c r="AN57" s="1047"/>
      <c r="AO57" s="1047"/>
      <c r="AP57" s="1047"/>
      <c r="AQ57" s="1047"/>
      <c r="AR57" s="1096">
        <v>0</v>
      </c>
    </row>
    <row r="58" spans="1:44" s="1609" customFormat="1" ht="17.25" hidden="1" customHeight="1">
      <c r="A58" s="255"/>
      <c r="C58" s="143"/>
      <c r="D58" s="2302">
        <v>9</v>
      </c>
      <c r="E58" s="2291" t="s">
        <v>288</v>
      </c>
      <c r="F58" s="2303" t="s">
        <v>6</v>
      </c>
      <c r="G58" s="2291"/>
      <c r="H58" s="2293"/>
      <c r="I58" s="2295"/>
      <c r="J58" s="2297"/>
      <c r="K58" s="2289"/>
      <c r="L58" s="2289"/>
      <c r="M58" s="2289"/>
      <c r="N58" s="2300"/>
      <c r="O58" s="2289"/>
      <c r="P58" s="2289"/>
      <c r="Q58" s="2289"/>
      <c r="R58" s="2287"/>
      <c r="S58" s="2289"/>
      <c r="T58" s="1681"/>
      <c r="U58" s="1681"/>
      <c r="V58" s="1683"/>
      <c r="W58" s="1084"/>
      <c r="X58" s="1055"/>
      <c r="Y58" s="1055"/>
      <c r="Z58" s="1055"/>
      <c r="AA58" s="1055"/>
      <c r="AB58" s="1055"/>
      <c r="AC58" s="1055" t="s">
        <v>289</v>
      </c>
      <c r="AD58" s="1055" t="s">
        <v>290</v>
      </c>
      <c r="AE58" s="1055" t="s">
        <v>291</v>
      </c>
      <c r="AF58" s="1055" t="s">
        <v>292</v>
      </c>
      <c r="AG58" s="1055" t="s">
        <v>293</v>
      </c>
      <c r="AH58" s="1055" t="str">
        <f>IF($E$58=0,"",$E$58)</f>
        <v>Плата за подключение (технологическое присоединение) к системе теплоснабжения (индивидуальная)</v>
      </c>
      <c r="AI58" s="1055" t="str">
        <f>IF($G$58=0,"",$G$58)</f>
        <v/>
      </c>
      <c r="AJ58" s="1055" t="str">
        <f>IF($J$58=0,"",$J$58)</f>
        <v/>
      </c>
      <c r="AK58" s="1055" t="str">
        <f>IF($K$58="нет","без дифференциации",IF($N$58=0,"",$N$58))</f>
        <v/>
      </c>
      <c r="AL58" s="1055" t="str">
        <f>IF($O$58="нет","без дифференциации",IF($R$58=0,"",$R$58))</f>
        <v/>
      </c>
      <c r="AM58" s="1055" t="str">
        <f>IF($S$58="нет","без дифференциации",IF($V$58=0,"",$V$58))</f>
        <v/>
      </c>
      <c r="AN58" s="1531">
        <f>$I$58</f>
        <v>0</v>
      </c>
      <c r="AO58" s="1055" t="str">
        <f>$I$58&amp;"."&amp;$M$58</f>
        <v>.</v>
      </c>
      <c r="AP58" s="1054" t="str">
        <f>$I$58&amp;"."&amp;$M$58&amp;"."&amp;$Q$58</f>
        <v>..</v>
      </c>
      <c r="AQ58" s="1054" t="str">
        <f>$I$58&amp;"."&amp;$M$58&amp;"."&amp;$Q$58&amp;"."&amp;$U$58</f>
        <v>...</v>
      </c>
      <c r="AR58" s="1255">
        <v>0</v>
      </c>
    </row>
    <row r="59" spans="1:44" s="1609" customFormat="1" ht="17.25" hidden="1" customHeight="1">
      <c r="A59" s="255"/>
      <c r="C59" s="254"/>
      <c r="D59" s="2302"/>
      <c r="E59" s="2291"/>
      <c r="F59" s="2304"/>
      <c r="G59" s="2291"/>
      <c r="H59" s="2294"/>
      <c r="I59" s="2296"/>
      <c r="J59" s="2298"/>
      <c r="K59" s="2290"/>
      <c r="L59" s="2290"/>
      <c r="M59" s="2290"/>
      <c r="N59" s="2301"/>
      <c r="O59" s="2290"/>
      <c r="P59" s="2290"/>
      <c r="Q59" s="2290"/>
      <c r="R59" s="2288"/>
      <c r="S59" s="2290"/>
      <c r="T59" s="1684"/>
      <c r="U59" s="1684"/>
      <c r="V59" s="1684"/>
      <c r="W59" s="1685"/>
      <c r="X59" s="1054"/>
      <c r="Y59" s="1054"/>
      <c r="Z59" s="1054"/>
      <c r="AA59" s="1054"/>
      <c r="AB59" s="1054"/>
      <c r="AC59" s="1054"/>
      <c r="AD59" s="1054"/>
      <c r="AE59" s="1054"/>
      <c r="AF59" s="1054"/>
      <c r="AG59" s="1054"/>
      <c r="AH59" s="1054"/>
      <c r="AI59" s="1054"/>
      <c r="AJ59" s="1054"/>
      <c r="AK59" s="1054"/>
      <c r="AL59" s="1054"/>
      <c r="AM59" s="1054"/>
      <c r="AN59" s="1054"/>
      <c r="AO59" s="1054"/>
      <c r="AP59" s="1054"/>
      <c r="AQ59" s="1054"/>
      <c r="AR59" s="1255">
        <v>0</v>
      </c>
    </row>
    <row r="60" spans="1:44" s="1609" customFormat="1" ht="17.25" hidden="1" customHeight="1">
      <c r="A60" s="255"/>
      <c r="C60" s="254"/>
      <c r="D60" s="2278"/>
      <c r="E60" s="2292"/>
      <c r="F60" s="2304"/>
      <c r="G60" s="2292"/>
      <c r="H60" s="2294"/>
      <c r="I60" s="2296"/>
      <c r="J60" s="2299"/>
      <c r="K60" s="2290"/>
      <c r="L60" s="2290"/>
      <c r="M60" s="2290"/>
      <c r="N60" s="2288"/>
      <c r="O60" s="2290"/>
      <c r="P60" s="1682"/>
      <c r="Q60" s="1684"/>
      <c r="R60" s="1684"/>
      <c r="S60" s="263"/>
      <c r="T60" s="263"/>
      <c r="U60" s="263"/>
      <c r="V60" s="263"/>
      <c r="W60" s="1685"/>
      <c r="X60" s="1054"/>
      <c r="Y60" s="1054"/>
      <c r="Z60" s="1054"/>
      <c r="AA60" s="1054"/>
      <c r="AB60" s="1054"/>
      <c r="AC60" s="1054"/>
      <c r="AD60" s="1054"/>
      <c r="AE60" s="1054"/>
      <c r="AF60" s="1054"/>
      <c r="AG60" s="1054"/>
      <c r="AH60" s="1054"/>
      <c r="AI60" s="1054"/>
      <c r="AJ60" s="1054"/>
      <c r="AK60" s="1054"/>
      <c r="AL60" s="1054"/>
      <c r="AM60" s="1054"/>
      <c r="AN60" s="1054"/>
      <c r="AO60" s="1054"/>
      <c r="AP60" s="1054"/>
      <c r="AQ60" s="1054"/>
      <c r="AR60" s="1255">
        <v>0</v>
      </c>
    </row>
    <row r="61" spans="1:44" s="1609" customFormat="1" ht="17.25" hidden="1" customHeight="1">
      <c r="A61" s="255"/>
      <c r="C61" s="143"/>
      <c r="D61" s="2278"/>
      <c r="E61" s="2292"/>
      <c r="F61" s="2304"/>
      <c r="G61" s="2292"/>
      <c r="H61" s="2294"/>
      <c r="I61" s="2296"/>
      <c r="J61" s="2299"/>
      <c r="K61" s="2290"/>
      <c r="L61" s="1684"/>
      <c r="M61" s="1684"/>
      <c r="N61" s="1684"/>
      <c r="O61" s="1684"/>
      <c r="P61" s="1684"/>
      <c r="Q61" s="1684"/>
      <c r="R61" s="1684"/>
      <c r="S61" s="263"/>
      <c r="T61" s="263"/>
      <c r="U61" s="263"/>
      <c r="V61" s="263"/>
      <c r="W61" s="1685"/>
      <c r="Y61" s="1055"/>
      <c r="Z61" s="1055"/>
      <c r="AA61" s="1055"/>
      <c r="AB61" s="1055"/>
      <c r="AC61" s="1055"/>
      <c r="AD61" s="1055"/>
      <c r="AE61" s="1055"/>
      <c r="AF61" s="1055"/>
      <c r="AG61" s="1055"/>
      <c r="AH61" s="1055"/>
      <c r="AI61" s="1055"/>
      <c r="AJ61" s="1055"/>
      <c r="AK61" s="1055"/>
      <c r="AL61" s="1055"/>
      <c r="AM61" s="1055"/>
      <c r="AN61" s="1055"/>
      <c r="AO61" s="1055"/>
      <c r="AP61" s="1055"/>
      <c r="AQ61" s="1055"/>
      <c r="AR61" s="1255">
        <v>0</v>
      </c>
    </row>
    <row r="62" spans="1:44" s="1609" customFormat="1" ht="17.25" hidden="1" customHeight="1">
      <c r="A62" s="255"/>
      <c r="C62" s="254"/>
      <c r="D62" s="2278"/>
      <c r="E62" s="2292"/>
      <c r="F62" s="2305"/>
      <c r="G62" s="2292"/>
      <c r="H62" s="1087"/>
      <c r="I62" s="1686"/>
      <c r="J62" s="1686"/>
      <c r="K62" s="1686"/>
      <c r="L62" s="1686"/>
      <c r="M62" s="1686"/>
      <c r="N62" s="1686"/>
      <c r="O62" s="1686"/>
      <c r="P62" s="1686"/>
      <c r="Q62" s="1686"/>
      <c r="R62" s="1686"/>
      <c r="S62" s="1089"/>
      <c r="T62" s="1089"/>
      <c r="U62" s="1089"/>
      <c r="V62" s="1089"/>
      <c r="W62" s="1687"/>
      <c r="X62" s="1054"/>
      <c r="Y62" s="1054"/>
      <c r="Z62" s="1054"/>
      <c r="AA62" s="1054"/>
      <c r="AB62" s="1054"/>
      <c r="AC62" s="1054"/>
      <c r="AD62" s="1054"/>
      <c r="AE62" s="1054"/>
      <c r="AF62" s="1054"/>
      <c r="AG62" s="1054"/>
      <c r="AH62" s="1054"/>
      <c r="AI62" s="1054"/>
      <c r="AJ62" s="1054"/>
      <c r="AK62" s="1054"/>
      <c r="AL62" s="1054"/>
      <c r="AM62" s="1054"/>
      <c r="AN62" s="1054"/>
      <c r="AO62" s="1054"/>
      <c r="AP62" s="1054"/>
      <c r="AQ62" s="1054"/>
      <c r="AR62" s="1255">
        <v>0</v>
      </c>
    </row>
    <row r="63" spans="1:44" s="1609" customFormat="1" ht="17.25" hidden="1" customHeight="1">
      <c r="A63" s="255"/>
      <c r="C63" s="143"/>
      <c r="D63" s="2302">
        <v>10</v>
      </c>
      <c r="E63" s="2291" t="s">
        <v>294</v>
      </c>
      <c r="F63" s="2303" t="s">
        <v>6</v>
      </c>
      <c r="G63" s="2291"/>
      <c r="H63" s="2293"/>
      <c r="I63" s="2295"/>
      <c r="J63" s="2297"/>
      <c r="K63" s="2289"/>
      <c r="L63" s="2289"/>
      <c r="M63" s="2289"/>
      <c r="N63" s="2300"/>
      <c r="O63" s="2289"/>
      <c r="P63" s="2289"/>
      <c r="Q63" s="2289"/>
      <c r="R63" s="2287"/>
      <c r="S63" s="2289"/>
      <c r="T63" s="1681"/>
      <c r="U63" s="1681"/>
      <c r="V63" s="1683"/>
      <c r="W63" s="1084"/>
      <c r="X63" s="1055"/>
      <c r="Y63" s="1055"/>
      <c r="Z63" s="1055"/>
      <c r="AA63" s="1055"/>
      <c r="AB63" s="1055"/>
      <c r="AC63" s="1055" t="s">
        <v>295</v>
      </c>
      <c r="AD63" s="1055" t="s">
        <v>296</v>
      </c>
      <c r="AE63" s="1055" t="s">
        <v>297</v>
      </c>
      <c r="AF63" s="1055" t="s">
        <v>298</v>
      </c>
      <c r="AG63" s="1055" t="s">
        <v>299</v>
      </c>
      <c r="AH63" s="1055" t="str">
        <f>IF($E$63=0,"",$E$63)</f>
        <v>Предельный уровень цены на тепловую энергию (мощность), поставляемую теплоснабжающими организациями потребителям</v>
      </c>
      <c r="AI63" s="1055" t="str">
        <f>IF($G$63=0,"",$G$63)</f>
        <v/>
      </c>
      <c r="AJ63" s="1055" t="str">
        <f>IF($J$63=0,"",$J$63)</f>
        <v/>
      </c>
      <c r="AK63" s="1055" t="str">
        <f>IF($K$63="нет","без дифференциации",IF($N$63=0,"",$N$63))</f>
        <v/>
      </c>
      <c r="AL63" s="1055" t="str">
        <f>IF($O$63="нет","без дифференциации",IF($R$63=0,"",$R$63))</f>
        <v/>
      </c>
      <c r="AM63" s="1055" t="str">
        <f>IF($S$63="нет","без дифференциации",IF($V$63=0,"",$V$63))</f>
        <v/>
      </c>
      <c r="AN63" s="1531">
        <f>$I$63</f>
        <v>0</v>
      </c>
      <c r="AO63" s="1055" t="str">
        <f>$I$63&amp;"."&amp;$M$63</f>
        <v>.</v>
      </c>
      <c r="AP63" s="1054" t="str">
        <f>$I$63&amp;"."&amp;$M$63&amp;"."&amp;$Q$63</f>
        <v>..</v>
      </c>
      <c r="AQ63" s="1054" t="str">
        <f>$I$63&amp;"."&amp;$M$63&amp;"."&amp;$Q$63&amp;"."&amp;$U$63</f>
        <v>...</v>
      </c>
      <c r="AR63" s="1255">
        <v>0</v>
      </c>
    </row>
    <row r="64" spans="1:44" s="1609" customFormat="1" ht="17.25" hidden="1" customHeight="1">
      <c r="A64" s="255"/>
      <c r="C64" s="254"/>
      <c r="D64" s="2302"/>
      <c r="E64" s="2291"/>
      <c r="F64" s="2304"/>
      <c r="G64" s="2291"/>
      <c r="H64" s="2294"/>
      <c r="I64" s="2296"/>
      <c r="J64" s="2298"/>
      <c r="K64" s="2290"/>
      <c r="L64" s="2290"/>
      <c r="M64" s="2290"/>
      <c r="N64" s="2301"/>
      <c r="O64" s="2290"/>
      <c r="P64" s="2290"/>
      <c r="Q64" s="2290"/>
      <c r="R64" s="2288"/>
      <c r="S64" s="2290"/>
      <c r="T64" s="1684"/>
      <c r="U64" s="1684"/>
      <c r="V64" s="1684"/>
      <c r="W64" s="1685"/>
      <c r="X64" s="1054"/>
      <c r="Y64" s="1054"/>
      <c r="Z64" s="1054"/>
      <c r="AA64" s="1054"/>
      <c r="AB64" s="1054"/>
      <c r="AC64" s="1054"/>
      <c r="AD64" s="1054"/>
      <c r="AE64" s="1054"/>
      <c r="AF64" s="1054"/>
      <c r="AG64" s="1054"/>
      <c r="AH64" s="1054"/>
      <c r="AI64" s="1054"/>
      <c r="AJ64" s="1054"/>
      <c r="AK64" s="1054"/>
      <c r="AL64" s="1054"/>
      <c r="AM64" s="1054"/>
      <c r="AN64" s="1054"/>
      <c r="AO64" s="1054"/>
      <c r="AP64" s="1054"/>
      <c r="AQ64" s="1054"/>
      <c r="AR64" s="1255">
        <v>0</v>
      </c>
    </row>
    <row r="65" spans="1:44" s="1609" customFormat="1" ht="17.25" hidden="1" customHeight="1">
      <c r="A65" s="255"/>
      <c r="C65" s="254"/>
      <c r="D65" s="2278"/>
      <c r="E65" s="2292"/>
      <c r="F65" s="2304"/>
      <c r="G65" s="2292"/>
      <c r="H65" s="2294"/>
      <c r="I65" s="2296"/>
      <c r="J65" s="2299"/>
      <c r="K65" s="2290"/>
      <c r="L65" s="2290"/>
      <c r="M65" s="2290"/>
      <c r="N65" s="2288"/>
      <c r="O65" s="2290"/>
      <c r="P65" s="1682"/>
      <c r="Q65" s="1684"/>
      <c r="R65" s="1684"/>
      <c r="S65" s="263"/>
      <c r="T65" s="263"/>
      <c r="U65" s="263"/>
      <c r="V65" s="263"/>
      <c r="W65" s="1685"/>
      <c r="X65" s="1054"/>
      <c r="Y65" s="1054"/>
      <c r="Z65" s="1054"/>
      <c r="AA65" s="1054"/>
      <c r="AB65" s="1054"/>
      <c r="AC65" s="1054"/>
      <c r="AD65" s="1054"/>
      <c r="AE65" s="1054"/>
      <c r="AF65" s="1054"/>
      <c r="AG65" s="1054"/>
      <c r="AH65" s="1054"/>
      <c r="AI65" s="1054"/>
      <c r="AJ65" s="1054"/>
      <c r="AK65" s="1054"/>
      <c r="AL65" s="1054"/>
      <c r="AM65" s="1054"/>
      <c r="AN65" s="1054"/>
      <c r="AO65" s="1054"/>
      <c r="AP65" s="1054"/>
      <c r="AQ65" s="1054"/>
      <c r="AR65" s="1255">
        <v>0</v>
      </c>
    </row>
    <row r="66" spans="1:44" s="1609" customFormat="1" ht="17.25" hidden="1" customHeight="1">
      <c r="A66" s="255"/>
      <c r="C66" s="143"/>
      <c r="D66" s="2278"/>
      <c r="E66" s="2292"/>
      <c r="F66" s="2304"/>
      <c r="G66" s="2292"/>
      <c r="H66" s="2294"/>
      <c r="I66" s="2296"/>
      <c r="J66" s="2299"/>
      <c r="K66" s="2290"/>
      <c r="L66" s="1684"/>
      <c r="M66" s="1684"/>
      <c r="N66" s="1684"/>
      <c r="O66" s="1684"/>
      <c r="P66" s="1684"/>
      <c r="Q66" s="1684"/>
      <c r="R66" s="1684"/>
      <c r="S66" s="263"/>
      <c r="T66" s="263"/>
      <c r="U66" s="263"/>
      <c r="V66" s="263"/>
      <c r="W66" s="1685"/>
      <c r="Y66" s="1055"/>
      <c r="Z66" s="1055"/>
      <c r="AA66" s="1055"/>
      <c r="AB66" s="1055"/>
      <c r="AC66" s="1055"/>
      <c r="AD66" s="1055"/>
      <c r="AE66" s="1055"/>
      <c r="AF66" s="1055"/>
      <c r="AG66" s="1055"/>
      <c r="AH66" s="1055"/>
      <c r="AI66" s="1055"/>
      <c r="AJ66" s="1055"/>
      <c r="AK66" s="1055"/>
      <c r="AL66" s="1055"/>
      <c r="AM66" s="1055"/>
      <c r="AN66" s="1055"/>
      <c r="AO66" s="1055"/>
      <c r="AP66" s="1055"/>
      <c r="AQ66" s="1055"/>
      <c r="AR66" s="1255">
        <v>0</v>
      </c>
    </row>
    <row r="67" spans="1:44" s="1609" customFormat="1" ht="17.25" hidden="1" customHeight="1">
      <c r="A67" s="255"/>
      <c r="C67" s="254"/>
      <c r="D67" s="2278"/>
      <c r="E67" s="2292"/>
      <c r="F67" s="2305"/>
      <c r="G67" s="2292"/>
      <c r="H67" s="1087"/>
      <c r="I67" s="1686"/>
      <c r="J67" s="1686"/>
      <c r="K67" s="1686"/>
      <c r="L67" s="1686"/>
      <c r="M67" s="1686"/>
      <c r="N67" s="1686"/>
      <c r="O67" s="1686"/>
      <c r="P67" s="1686"/>
      <c r="Q67" s="1686"/>
      <c r="R67" s="1686"/>
      <c r="S67" s="1089"/>
      <c r="T67" s="1089"/>
      <c r="U67" s="1089"/>
      <c r="V67" s="1089"/>
      <c r="W67" s="1687"/>
      <c r="X67" s="1054"/>
      <c r="Y67" s="1054"/>
      <c r="Z67" s="1054"/>
      <c r="AA67" s="1054"/>
      <c r="AB67" s="1054"/>
      <c r="AC67" s="1054"/>
      <c r="AD67" s="1054"/>
      <c r="AE67" s="1054"/>
      <c r="AF67" s="1054"/>
      <c r="AG67" s="1054"/>
      <c r="AH67" s="1054"/>
      <c r="AI67" s="1054"/>
      <c r="AJ67" s="1054"/>
      <c r="AK67" s="1054"/>
      <c r="AL67" s="1054"/>
      <c r="AM67" s="1054"/>
      <c r="AN67" s="1054"/>
      <c r="AO67" s="1054"/>
      <c r="AP67" s="1054"/>
      <c r="AQ67" s="1054"/>
      <c r="AR67" s="1255">
        <v>0</v>
      </c>
    </row>
    <row r="68" spans="1:44" ht="11.25" hidden="1" customHeight="1">
      <c r="AR68" s="42">
        <v>0</v>
      </c>
    </row>
    <row r="69" spans="1:44" ht="11.25" hidden="1" customHeight="1">
      <c r="E69" s="2308" t="s">
        <v>300</v>
      </c>
      <c r="F69" s="2308"/>
      <c r="G69" s="2308"/>
      <c r="H69" s="2308"/>
      <c r="I69" s="2308"/>
      <c r="J69" s="2308"/>
      <c r="K69" s="2308"/>
      <c r="L69" s="2308"/>
      <c r="M69" s="2308"/>
      <c r="N69" s="2308"/>
      <c r="O69" s="2308"/>
      <c r="P69" s="2308"/>
      <c r="Q69" s="2308"/>
      <c r="R69" s="2308"/>
      <c r="S69" s="2308"/>
      <c r="T69" s="2308"/>
      <c r="U69" s="2308"/>
      <c r="V69" s="2308"/>
      <c r="W69" s="2308"/>
      <c r="AR69" s="42">
        <v>0</v>
      </c>
    </row>
    <row r="70" spans="1:44" ht="36.75" hidden="1" customHeight="1">
      <c r="E70" s="2306" t="s">
        <v>301</v>
      </c>
      <c r="F70" s="2306"/>
      <c r="G70" s="2307"/>
      <c r="H70" s="2307"/>
      <c r="I70" s="2307"/>
      <c r="J70" s="2307"/>
      <c r="K70" s="2307"/>
      <c r="L70" s="2307"/>
      <c r="M70" s="2307"/>
      <c r="N70" s="2307"/>
      <c r="O70" s="2307"/>
      <c r="P70" s="2307"/>
      <c r="Q70" s="2307"/>
      <c r="R70" s="2307"/>
      <c r="S70" s="2307"/>
      <c r="T70" s="2307"/>
      <c r="U70" s="2307"/>
      <c r="V70" s="2307"/>
      <c r="W70" s="2307"/>
      <c r="AR70" s="42">
        <v>0</v>
      </c>
    </row>
    <row r="71" spans="1:44" ht="28.5" hidden="1" customHeight="1">
      <c r="E71" s="2306" t="s">
        <v>302</v>
      </c>
      <c r="F71" s="2306"/>
      <c r="G71" s="2307"/>
      <c r="H71" s="2307"/>
      <c r="I71" s="2307"/>
      <c r="J71" s="2307"/>
      <c r="K71" s="2307"/>
      <c r="L71" s="2307"/>
      <c r="M71" s="2307"/>
      <c r="N71" s="2307"/>
      <c r="O71" s="2307"/>
      <c r="P71" s="2307"/>
      <c r="Q71" s="2307"/>
      <c r="R71" s="2307"/>
      <c r="S71" s="2307"/>
      <c r="T71" s="2307"/>
      <c r="U71" s="2307"/>
      <c r="V71" s="2307"/>
      <c r="W71" s="2307"/>
      <c r="AR71" s="42">
        <v>0</v>
      </c>
    </row>
    <row r="72" spans="1:44" ht="27" hidden="1" customHeight="1">
      <c r="E72" s="2306" t="s">
        <v>303</v>
      </c>
      <c r="F72" s="2306"/>
      <c r="G72" s="2307"/>
      <c r="H72" s="2307"/>
      <c r="I72" s="2307"/>
      <c r="J72" s="2307"/>
      <c r="K72" s="2307"/>
      <c r="L72" s="2307"/>
      <c r="M72" s="2307"/>
      <c r="N72" s="2307"/>
      <c r="O72" s="2307"/>
      <c r="P72" s="2307"/>
      <c r="Q72" s="2307"/>
      <c r="R72" s="2307"/>
      <c r="S72" s="2307"/>
      <c r="T72" s="2307"/>
      <c r="U72" s="2307"/>
      <c r="V72" s="2307"/>
      <c r="W72" s="2307"/>
      <c r="AR72" s="42">
        <v>0</v>
      </c>
    </row>
    <row r="73" spans="1:44" ht="17.25" hidden="1" customHeight="1">
      <c r="E73" s="2306" t="s">
        <v>304</v>
      </c>
      <c r="F73" s="2306"/>
      <c r="G73" s="2307"/>
      <c r="H73" s="2307"/>
      <c r="I73" s="2307"/>
      <c r="J73" s="2307"/>
      <c r="K73" s="2307"/>
      <c r="L73" s="2307"/>
      <c r="M73" s="2307"/>
      <c r="N73" s="2307"/>
      <c r="O73" s="2307"/>
      <c r="P73" s="2307"/>
      <c r="Q73" s="2307"/>
      <c r="R73" s="2307"/>
      <c r="S73" s="2307"/>
      <c r="T73" s="2307"/>
      <c r="U73" s="2307"/>
      <c r="V73" s="2307"/>
      <c r="W73" s="2307"/>
      <c r="AR73" s="42">
        <v>0</v>
      </c>
    </row>
    <row r="74" spans="1:44" ht="15" hidden="1" customHeight="1">
      <c r="E74" s="274"/>
      <c r="F74" s="1073"/>
      <c r="G74" s="91"/>
      <c r="H74" s="91"/>
      <c r="I74" s="91"/>
      <c r="J74" s="91"/>
      <c r="K74" s="91"/>
      <c r="L74" s="91"/>
      <c r="M74" s="91"/>
      <c r="N74" s="91"/>
      <c r="O74" s="91"/>
      <c r="P74" s="91"/>
      <c r="Q74" s="91"/>
      <c r="R74" s="91"/>
      <c r="S74" s="91"/>
      <c r="T74" s="91"/>
      <c r="U74" s="91"/>
      <c r="V74" s="91"/>
      <c r="W74" s="91"/>
      <c r="AR74" s="42">
        <v>0</v>
      </c>
    </row>
    <row r="75" spans="1:44" ht="15" hidden="1" customHeight="1">
      <c r="E75" s="2308" t="s">
        <v>305</v>
      </c>
      <c r="F75" s="2308"/>
      <c r="G75" s="2308"/>
      <c r="H75" s="2308"/>
      <c r="I75" s="2308"/>
      <c r="J75" s="2308"/>
      <c r="K75" s="2308"/>
      <c r="L75" s="2308"/>
      <c r="M75" s="2308"/>
      <c r="N75" s="2308"/>
      <c r="O75" s="2308"/>
      <c r="P75" s="2308"/>
      <c r="Q75" s="2308"/>
      <c r="R75" s="2308"/>
      <c r="S75" s="2308"/>
      <c r="T75" s="2308"/>
      <c r="U75" s="2308"/>
      <c r="V75" s="2308"/>
      <c r="W75" s="2308"/>
      <c r="AR75" s="42">
        <v>0</v>
      </c>
    </row>
    <row r="76" spans="1:44" ht="17.25" hidden="1" customHeight="1">
      <c r="E76" s="2306" t="s">
        <v>306</v>
      </c>
      <c r="F76" s="2306"/>
      <c r="G76" s="2307"/>
      <c r="H76" s="2307"/>
      <c r="I76" s="2307"/>
      <c r="J76" s="2307"/>
      <c r="K76" s="2307"/>
      <c r="L76" s="2307"/>
      <c r="M76" s="2307"/>
      <c r="N76" s="2307"/>
      <c r="O76" s="2307"/>
      <c r="P76" s="2307"/>
      <c r="Q76" s="2307"/>
      <c r="R76" s="2307"/>
      <c r="S76" s="2307"/>
      <c r="T76" s="2307"/>
      <c r="U76" s="2307"/>
      <c r="V76" s="2307"/>
      <c r="W76" s="2307"/>
      <c r="AR76" s="42">
        <v>0</v>
      </c>
    </row>
    <row r="77" spans="1:44" ht="17.25" hidden="1" customHeight="1">
      <c r="E77" s="2306" t="s">
        <v>307</v>
      </c>
      <c r="F77" s="2306"/>
      <c r="G77" s="2307"/>
      <c r="H77" s="2307"/>
      <c r="I77" s="2307"/>
      <c r="J77" s="2307"/>
      <c r="K77" s="2307"/>
      <c r="L77" s="2307"/>
      <c r="M77" s="2307"/>
      <c r="N77" s="2307"/>
      <c r="O77" s="2307"/>
      <c r="P77" s="2307"/>
      <c r="Q77" s="2307"/>
      <c r="R77" s="2307"/>
      <c r="S77" s="2307"/>
      <c r="T77" s="2307"/>
      <c r="U77" s="2307"/>
      <c r="V77" s="2307"/>
      <c r="W77" s="2307"/>
      <c r="AR77" s="42">
        <v>0</v>
      </c>
    </row>
    <row r="78" spans="1:44" s="1609" customFormat="1" ht="11.25" hidden="1" customHeight="1">
      <c r="A78" s="211"/>
      <c r="B78" s="211"/>
      <c r="Y78" s="1047"/>
      <c r="Z78" s="1047"/>
      <c r="AA78" s="1047"/>
      <c r="AB78" s="1047"/>
      <c r="AC78" s="1047"/>
      <c r="AD78" s="1047"/>
      <c r="AE78" s="1047"/>
      <c r="AF78" s="1047"/>
      <c r="AG78" s="1047"/>
      <c r="AH78" s="1047"/>
      <c r="AI78" s="1047"/>
      <c r="AJ78" s="1047"/>
      <c r="AK78" s="1047"/>
      <c r="AL78" s="1047"/>
      <c r="AM78" s="1047"/>
      <c r="AN78" s="1047"/>
      <c r="AO78" s="1047"/>
      <c r="AP78" s="1047"/>
      <c r="AQ78" s="1047"/>
      <c r="AR78" s="1138">
        <v>0</v>
      </c>
    </row>
    <row r="79" spans="1:44" s="1609" customFormat="1" ht="17.25" hidden="1" customHeight="1">
      <c r="A79" s="255"/>
      <c r="C79" s="143"/>
      <c r="D79" s="2302">
        <v>1</v>
      </c>
      <c r="E79" s="2291" t="s">
        <v>308</v>
      </c>
      <c r="F79" s="2303" t="s">
        <v>6</v>
      </c>
      <c r="G79" s="2291"/>
      <c r="H79" s="2293"/>
      <c r="I79" s="2295"/>
      <c r="J79" s="2297"/>
      <c r="K79" s="2289"/>
      <c r="L79" s="2289"/>
      <c r="M79" s="2289"/>
      <c r="N79" s="2300"/>
      <c r="O79" s="2289"/>
      <c r="P79" s="2289"/>
      <c r="Q79" s="2289"/>
      <c r="R79" s="2287"/>
      <c r="S79" s="2289"/>
      <c r="T79" s="1258"/>
      <c r="U79" s="1258"/>
      <c r="V79" s="1260"/>
      <c r="W79" s="1084"/>
      <c r="Y79" s="1055"/>
      <c r="Z79" s="1055"/>
      <c r="AA79" s="1055"/>
      <c r="AB79" s="1055"/>
      <c r="AC79" s="1055" t="s">
        <v>309</v>
      </c>
      <c r="AD79" s="1055" t="s">
        <v>310</v>
      </c>
      <c r="AE79" s="1055" t="s">
        <v>311</v>
      </c>
      <c r="AF79" s="1055" t="s">
        <v>312</v>
      </c>
      <c r="AG79" s="1055"/>
      <c r="AH79" s="1055" t="str">
        <f>IF($E$79=0,"",$E$79)</f>
        <v>Тариф на питьевую воду (питьевое водоснабжение)</v>
      </c>
      <c r="AI79" s="1055" t="str">
        <f>IF($G$79=0,"",$G$79)</f>
        <v/>
      </c>
      <c r="AJ79" s="1055" t="str">
        <f>IF($J$79=0,"",$J$79)</f>
        <v/>
      </c>
      <c r="AK79" s="1055" t="str">
        <f>IF($K$79="нет","без дифференциации",IF($N$79=0,"",$N$79))</f>
        <v/>
      </c>
      <c r="AL79" s="1055" t="str">
        <f>IF($O$79="нет","без дифференциации",IF($R$79=0,"",$R$79))</f>
        <v/>
      </c>
      <c r="AM79" s="1055" t="str">
        <f>IF($S$79="нет","без дифференциации",IF($V$79=0,"",$V$79))</f>
        <v/>
      </c>
      <c r="AN79" s="1055">
        <f>$I$79</f>
        <v>0</v>
      </c>
      <c r="AO79" s="1055" t="str">
        <f>$I$79&amp;"."&amp;$M$79</f>
        <v>.</v>
      </c>
      <c r="AP79" s="1055" t="str">
        <f>$I$79&amp;"."&amp;$M$79&amp;"."&amp;$Q$79</f>
        <v>..</v>
      </c>
      <c r="AQ79" s="1055" t="str">
        <f>$I$79&amp;"."&amp;$M$79&amp;"."&amp;$Q$79&amp;"."&amp;$U$79</f>
        <v>...</v>
      </c>
      <c r="AR79" s="1138">
        <v>0</v>
      </c>
    </row>
    <row r="80" spans="1:44" s="1609" customFormat="1" ht="17.25" hidden="1" customHeight="1">
      <c r="A80" s="255"/>
      <c r="C80" s="254"/>
      <c r="D80" s="2302"/>
      <c r="E80" s="2291"/>
      <c r="F80" s="2304"/>
      <c r="G80" s="2291"/>
      <c r="H80" s="2294"/>
      <c r="I80" s="2296"/>
      <c r="J80" s="2298"/>
      <c r="K80" s="2290"/>
      <c r="L80" s="2290"/>
      <c r="M80" s="2290"/>
      <c r="N80" s="2301"/>
      <c r="O80" s="2290"/>
      <c r="P80" s="2290"/>
      <c r="Q80" s="2290"/>
      <c r="R80" s="2288"/>
      <c r="S80" s="2290"/>
      <c r="T80" s="1085"/>
      <c r="U80" s="1085"/>
      <c r="V80" s="1085"/>
      <c r="W80" s="1086"/>
      <c r="Y80" s="1047"/>
      <c r="Z80" s="1047"/>
      <c r="AA80" s="1047"/>
      <c r="AB80" s="1047"/>
      <c r="AC80" s="1047"/>
      <c r="AD80" s="1047"/>
      <c r="AE80" s="1047"/>
      <c r="AF80" s="1047"/>
      <c r="AG80" s="1047"/>
      <c r="AH80" s="1047"/>
      <c r="AI80" s="1047"/>
      <c r="AJ80" s="1047"/>
      <c r="AK80" s="1047"/>
      <c r="AL80" s="1047"/>
      <c r="AM80" s="1047"/>
      <c r="AN80" s="1047"/>
      <c r="AO80" s="1047"/>
      <c r="AP80" s="1047"/>
      <c r="AQ80" s="1047"/>
      <c r="AR80" s="1138">
        <v>0</v>
      </c>
    </row>
    <row r="81" spans="1:44" s="1609" customFormat="1" ht="17.25" hidden="1" customHeight="1">
      <c r="A81" s="255"/>
      <c r="C81" s="143"/>
      <c r="D81" s="2302"/>
      <c r="E81" s="2291"/>
      <c r="F81" s="2304"/>
      <c r="G81" s="2291"/>
      <c r="H81" s="2294"/>
      <c r="I81" s="2296"/>
      <c r="J81" s="2299"/>
      <c r="K81" s="2290"/>
      <c r="L81" s="2290"/>
      <c r="M81" s="2290"/>
      <c r="N81" s="2288"/>
      <c r="O81" s="2290"/>
      <c r="P81" s="1259"/>
      <c r="Q81" s="1085"/>
      <c r="R81" s="1085"/>
      <c r="S81" s="263"/>
      <c r="T81" s="263"/>
      <c r="U81" s="263"/>
      <c r="V81" s="263"/>
      <c r="W81" s="1086"/>
      <c r="Y81" s="1055"/>
      <c r="Z81" s="1055"/>
      <c r="AA81" s="1055"/>
      <c r="AB81" s="1055"/>
      <c r="AC81" s="1055"/>
      <c r="AD81" s="1055"/>
      <c r="AE81" s="1055"/>
      <c r="AF81" s="1055"/>
      <c r="AG81" s="1055"/>
      <c r="AH81" s="1055"/>
      <c r="AI81" s="1055"/>
      <c r="AJ81" s="1055"/>
      <c r="AK81" s="1055"/>
      <c r="AL81" s="1055"/>
      <c r="AM81" s="1055"/>
      <c r="AN81" s="1055"/>
      <c r="AO81" s="1055"/>
      <c r="AP81" s="1055"/>
      <c r="AQ81" s="1055"/>
      <c r="AR81" s="1229">
        <v>0</v>
      </c>
    </row>
    <row r="82" spans="1:44" s="1609" customFormat="1" ht="17.25" hidden="1" customHeight="1">
      <c r="A82" s="255"/>
      <c r="C82" s="254"/>
      <c r="D82" s="2302"/>
      <c r="E82" s="2291"/>
      <c r="F82" s="2304"/>
      <c r="G82" s="2291"/>
      <c r="H82" s="2294"/>
      <c r="I82" s="2296"/>
      <c r="J82" s="2299"/>
      <c r="K82" s="2290"/>
      <c r="L82" s="1085"/>
      <c r="M82" s="1085"/>
      <c r="N82" s="1085"/>
      <c r="O82" s="1085"/>
      <c r="P82" s="1085"/>
      <c r="Q82" s="1085"/>
      <c r="R82" s="1085"/>
      <c r="S82" s="263"/>
      <c r="T82" s="263"/>
      <c r="U82" s="263"/>
      <c r="V82" s="263"/>
      <c r="W82" s="1086"/>
      <c r="Y82" s="1047"/>
      <c r="Z82" s="1047"/>
      <c r="AA82" s="1047"/>
      <c r="AB82" s="1047"/>
      <c r="AC82" s="1047"/>
      <c r="AD82" s="1047"/>
      <c r="AE82" s="1047"/>
      <c r="AF82" s="1047"/>
      <c r="AG82" s="1047"/>
      <c r="AH82" s="1047"/>
      <c r="AI82" s="1047"/>
      <c r="AJ82" s="1047"/>
      <c r="AK82" s="1047"/>
      <c r="AL82" s="1047"/>
      <c r="AM82" s="1047"/>
      <c r="AN82" s="1047"/>
      <c r="AO82" s="1047"/>
      <c r="AP82" s="1047"/>
      <c r="AQ82" s="1047"/>
      <c r="AR82" s="1229">
        <v>0</v>
      </c>
    </row>
    <row r="83" spans="1:44" s="1609" customFormat="1" ht="17.25" hidden="1" customHeight="1">
      <c r="A83" s="255"/>
      <c r="C83" s="254"/>
      <c r="D83" s="2278"/>
      <c r="E83" s="2292"/>
      <c r="F83" s="2305"/>
      <c r="G83" s="2292"/>
      <c r="H83" s="1087"/>
      <c r="I83" s="1088"/>
      <c r="J83" s="1088"/>
      <c r="K83" s="1088"/>
      <c r="L83" s="1088"/>
      <c r="M83" s="1088"/>
      <c r="N83" s="1088"/>
      <c r="O83" s="1088"/>
      <c r="P83" s="1088"/>
      <c r="Q83" s="1088"/>
      <c r="R83" s="1088"/>
      <c r="S83" s="1089"/>
      <c r="T83" s="1089"/>
      <c r="U83" s="1089"/>
      <c r="V83" s="1089"/>
      <c r="W83" s="1090"/>
      <c r="Y83" s="1047"/>
      <c r="Z83" s="1047"/>
      <c r="AA83" s="1047"/>
      <c r="AB83" s="1047"/>
      <c r="AC83" s="1047"/>
      <c r="AD83" s="1047"/>
      <c r="AE83" s="1047"/>
      <c r="AF83" s="1047"/>
      <c r="AG83" s="1047"/>
      <c r="AH83" s="1047"/>
      <c r="AI83" s="1047"/>
      <c r="AJ83" s="1047"/>
      <c r="AK83" s="1047"/>
      <c r="AL83" s="1047"/>
      <c r="AM83" s="1047"/>
      <c r="AN83" s="1047"/>
      <c r="AO83" s="1047"/>
      <c r="AP83" s="1047"/>
      <c r="AQ83" s="1047"/>
      <c r="AR83" s="1138">
        <v>0</v>
      </c>
    </row>
    <row r="84" spans="1:44" s="1609" customFormat="1" ht="17.25" hidden="1" customHeight="1">
      <c r="A84" s="255"/>
      <c r="C84" s="143"/>
      <c r="D84" s="2302">
        <v>2</v>
      </c>
      <c r="E84" s="2291" t="s">
        <v>313</v>
      </c>
      <c r="F84" s="2303" t="s">
        <v>6</v>
      </c>
      <c r="G84" s="2291"/>
      <c r="H84" s="2293"/>
      <c r="I84" s="2295"/>
      <c r="J84" s="2297"/>
      <c r="K84" s="2289"/>
      <c r="L84" s="2289"/>
      <c r="M84" s="2289"/>
      <c r="N84" s="2300"/>
      <c r="O84" s="2289"/>
      <c r="P84" s="2289"/>
      <c r="Q84" s="2289"/>
      <c r="R84" s="2287"/>
      <c r="S84" s="2289"/>
      <c r="T84" s="1231"/>
      <c r="U84" s="1231"/>
      <c r="V84" s="1233"/>
      <c r="W84" s="1084"/>
      <c r="X84" s="1055"/>
      <c r="Y84" s="1055"/>
      <c r="Z84" s="1055"/>
      <c r="AA84" s="1055"/>
      <c r="AB84" s="1055"/>
      <c r="AC84" s="1055" t="s">
        <v>314</v>
      </c>
      <c r="AD84" s="1055" t="s">
        <v>315</v>
      </c>
      <c r="AE84" s="1055" t="s">
        <v>316</v>
      </c>
      <c r="AF84" s="1055" t="s">
        <v>317</v>
      </c>
      <c r="AG84" s="1055"/>
      <c r="AH84" s="1055" t="str">
        <f>IF($E$84=0,"",$E$84)</f>
        <v>Тариф на техническую воду</v>
      </c>
      <c r="AI84" s="1055" t="str">
        <f>IF($G$84=0,"",$G$84)</f>
        <v/>
      </c>
      <c r="AJ84" s="1055" t="str">
        <f>IF($J$84=0,"",$J$84)</f>
        <v/>
      </c>
      <c r="AK84" s="1055" t="str">
        <f>IF($K$84="нет","без дифференциации",IF($N$84=0,"",$N$84))</f>
        <v/>
      </c>
      <c r="AL84" s="1055" t="str">
        <f>IF($O$84="нет","без дифференциации",IF($R$84=0,"",$R$84))</f>
        <v/>
      </c>
      <c r="AM84" s="1055" t="str">
        <f>IF($S$84="нет","без дифференциации",IF($V$84=0,"",$V$84))</f>
        <v/>
      </c>
      <c r="AN84" s="1531">
        <f>$I$84</f>
        <v>0</v>
      </c>
      <c r="AO84" s="1055" t="str">
        <f>$I$84&amp;"."&amp;$M$84</f>
        <v>.</v>
      </c>
      <c r="AP84" s="1047" t="str">
        <f>$I$84&amp;"."&amp;$M$84&amp;"."&amp;$Q$84</f>
        <v>..</v>
      </c>
      <c r="AQ84" s="1047" t="str">
        <f>$I$84&amp;"."&amp;$M$84&amp;"."&amp;$Q$84&amp;"."&amp;$U$84</f>
        <v>...</v>
      </c>
      <c r="AR84" s="1138">
        <v>0</v>
      </c>
    </row>
    <row r="85" spans="1:44" s="1609" customFormat="1" ht="17.25" hidden="1" customHeight="1">
      <c r="A85" s="255"/>
      <c r="C85" s="254"/>
      <c r="D85" s="2302"/>
      <c r="E85" s="2291"/>
      <c r="F85" s="2304"/>
      <c r="G85" s="2291"/>
      <c r="H85" s="2294"/>
      <c r="I85" s="2296"/>
      <c r="J85" s="2298"/>
      <c r="K85" s="2290"/>
      <c r="L85" s="2290"/>
      <c r="M85" s="2290"/>
      <c r="N85" s="2301"/>
      <c r="O85" s="2290"/>
      <c r="P85" s="2290"/>
      <c r="Q85" s="2290"/>
      <c r="R85" s="2288"/>
      <c r="S85" s="2290"/>
      <c r="T85" s="1085"/>
      <c r="U85" s="1085"/>
      <c r="V85" s="1085"/>
      <c r="W85" s="1086"/>
      <c r="X85" s="1047"/>
      <c r="Y85" s="1047"/>
      <c r="Z85" s="1047"/>
      <c r="AA85" s="1047"/>
      <c r="AB85" s="1047"/>
      <c r="AC85" s="1047"/>
      <c r="AD85" s="1047"/>
      <c r="AE85" s="1047"/>
      <c r="AF85" s="1047"/>
      <c r="AG85" s="1047"/>
      <c r="AH85" s="1047"/>
      <c r="AI85" s="1047"/>
      <c r="AJ85" s="1047"/>
      <c r="AK85" s="1047"/>
      <c r="AL85" s="1047"/>
      <c r="AM85" s="1047"/>
      <c r="AN85" s="1047"/>
      <c r="AO85" s="1047"/>
      <c r="AP85" s="1047"/>
      <c r="AQ85" s="1047"/>
      <c r="AR85" s="1138">
        <v>0</v>
      </c>
    </row>
    <row r="86" spans="1:44" s="1609" customFormat="1" ht="17.25" hidden="1" customHeight="1">
      <c r="A86" s="255"/>
      <c r="C86" s="254"/>
      <c r="D86" s="2278"/>
      <c r="E86" s="2292"/>
      <c r="F86" s="2304"/>
      <c r="G86" s="2292"/>
      <c r="H86" s="2294"/>
      <c r="I86" s="2296"/>
      <c r="J86" s="2299"/>
      <c r="K86" s="2290"/>
      <c r="L86" s="2290"/>
      <c r="M86" s="2290"/>
      <c r="N86" s="2288"/>
      <c r="O86" s="2290"/>
      <c r="P86" s="1232"/>
      <c r="Q86" s="1085"/>
      <c r="R86" s="1085"/>
      <c r="S86" s="263"/>
      <c r="T86" s="263"/>
      <c r="U86" s="263"/>
      <c r="V86" s="263"/>
      <c r="W86" s="1086"/>
      <c r="X86" s="1047"/>
      <c r="Y86" s="1047"/>
      <c r="Z86" s="1047"/>
      <c r="AA86" s="1047"/>
      <c r="AB86" s="1047"/>
      <c r="AC86" s="1047"/>
      <c r="AD86" s="1047"/>
      <c r="AE86" s="1047"/>
      <c r="AF86" s="1047"/>
      <c r="AG86" s="1047"/>
      <c r="AH86" s="1047"/>
      <c r="AI86" s="1047"/>
      <c r="AJ86" s="1047"/>
      <c r="AK86" s="1047"/>
      <c r="AL86" s="1047"/>
      <c r="AM86" s="1047"/>
      <c r="AN86" s="1047"/>
      <c r="AO86" s="1047"/>
      <c r="AP86" s="1047"/>
      <c r="AQ86" s="1047"/>
      <c r="AR86" s="1138">
        <v>0</v>
      </c>
    </row>
    <row r="87" spans="1:44" s="1609" customFormat="1" ht="17.25" hidden="1" customHeight="1">
      <c r="A87" s="255"/>
      <c r="C87" s="254"/>
      <c r="D87" s="2278"/>
      <c r="E87" s="2292"/>
      <c r="F87" s="2304"/>
      <c r="G87" s="2292"/>
      <c r="H87" s="2294"/>
      <c r="I87" s="2296"/>
      <c r="J87" s="2299"/>
      <c r="K87" s="2290"/>
      <c r="L87" s="1085"/>
      <c r="M87" s="1085"/>
      <c r="N87" s="1085"/>
      <c r="O87" s="1085"/>
      <c r="P87" s="1085"/>
      <c r="Q87" s="1085"/>
      <c r="R87" s="1085"/>
      <c r="S87" s="263"/>
      <c r="T87" s="263"/>
      <c r="U87" s="263"/>
      <c r="V87" s="263"/>
      <c r="W87" s="1086"/>
      <c r="X87" s="1047"/>
      <c r="Y87" s="1047"/>
      <c r="Z87" s="1047"/>
      <c r="AA87" s="1047"/>
      <c r="AB87" s="1047"/>
      <c r="AC87" s="1047"/>
      <c r="AD87" s="1047"/>
      <c r="AE87" s="1047"/>
      <c r="AF87" s="1047"/>
      <c r="AG87" s="1047"/>
      <c r="AH87" s="1047"/>
      <c r="AI87" s="1047"/>
      <c r="AJ87" s="1047"/>
      <c r="AK87" s="1047"/>
      <c r="AL87" s="1047"/>
      <c r="AM87" s="1047"/>
      <c r="AN87" s="1047"/>
      <c r="AO87" s="1047"/>
      <c r="AP87" s="1047"/>
      <c r="AQ87" s="1047"/>
      <c r="AR87" s="1138">
        <v>0</v>
      </c>
    </row>
    <row r="88" spans="1:44" s="1609" customFormat="1" ht="17.25" hidden="1" customHeight="1">
      <c r="A88" s="255"/>
      <c r="C88" s="254"/>
      <c r="D88" s="2278"/>
      <c r="E88" s="2292"/>
      <c r="F88" s="2305"/>
      <c r="G88" s="2292"/>
      <c r="H88" s="1087"/>
      <c r="I88" s="1088"/>
      <c r="J88" s="1088"/>
      <c r="K88" s="1088"/>
      <c r="L88" s="1088"/>
      <c r="M88" s="1088"/>
      <c r="N88" s="1088"/>
      <c r="O88" s="1088"/>
      <c r="P88" s="1088"/>
      <c r="Q88" s="1088"/>
      <c r="R88" s="1088"/>
      <c r="S88" s="1089"/>
      <c r="T88" s="1089"/>
      <c r="U88" s="1089"/>
      <c r="V88" s="1089"/>
      <c r="W88" s="1090"/>
      <c r="X88" s="1047"/>
      <c r="Y88" s="1047"/>
      <c r="Z88" s="1047"/>
      <c r="AA88" s="1047"/>
      <c r="AB88" s="1047"/>
      <c r="AC88" s="1047"/>
      <c r="AD88" s="1047"/>
      <c r="AE88" s="1047"/>
      <c r="AF88" s="1047"/>
      <c r="AG88" s="1047"/>
      <c r="AH88" s="1047"/>
      <c r="AI88" s="1047"/>
      <c r="AJ88" s="1047"/>
      <c r="AK88" s="1047"/>
      <c r="AL88" s="1047"/>
      <c r="AM88" s="1047"/>
      <c r="AN88" s="1047"/>
      <c r="AO88" s="1047"/>
      <c r="AP88" s="1047"/>
      <c r="AQ88" s="1047"/>
      <c r="AR88" s="1138">
        <v>0</v>
      </c>
    </row>
    <row r="89" spans="1:44" s="1609" customFormat="1" ht="17.25" hidden="1" customHeight="1">
      <c r="A89" s="255"/>
      <c r="C89" s="143"/>
      <c r="D89" s="2302">
        <v>3</v>
      </c>
      <c r="E89" s="2291" t="s">
        <v>318</v>
      </c>
      <c r="F89" s="2303" t="s">
        <v>6</v>
      </c>
      <c r="G89" s="2291"/>
      <c r="H89" s="2293"/>
      <c r="I89" s="2295"/>
      <c r="J89" s="2297"/>
      <c r="K89" s="2289"/>
      <c r="L89" s="2289"/>
      <c r="M89" s="2289"/>
      <c r="N89" s="2300"/>
      <c r="O89" s="2289"/>
      <c r="P89" s="2289"/>
      <c r="Q89" s="2289"/>
      <c r="R89" s="2287"/>
      <c r="S89" s="2289"/>
      <c r="T89" s="1231"/>
      <c r="U89" s="1231"/>
      <c r="V89" s="1233"/>
      <c r="W89" s="1084"/>
      <c r="X89" s="1055"/>
      <c r="Y89" s="1055"/>
      <c r="Z89" s="1055"/>
      <c r="AA89" s="1055"/>
      <c r="AB89" s="1055"/>
      <c r="AC89" s="1055" t="s">
        <v>319</v>
      </c>
      <c r="AD89" s="1055" t="s">
        <v>320</v>
      </c>
      <c r="AE89" s="1055" t="s">
        <v>321</v>
      </c>
      <c r="AF89" s="1055" t="s">
        <v>322</v>
      </c>
      <c r="AG89" s="1055"/>
      <c r="AH89" s="1055" t="str">
        <f>IF($E$89=0,"",$E$89)</f>
        <v>Тариф на транспортировку воды</v>
      </c>
      <c r="AI89" s="1055" t="str">
        <f>IF($G$89=0,"",$G$89)</f>
        <v/>
      </c>
      <c r="AJ89" s="1055" t="str">
        <f>IF($J$89=0,"",$J$89)</f>
        <v/>
      </c>
      <c r="AK89" s="1055" t="str">
        <f>IF($K$89="нет","без дифференциации",IF($N$89=0,"",$N$89))</f>
        <v/>
      </c>
      <c r="AL89" s="1055" t="str">
        <f>IF($O$89="нет","без дифференциации",IF($R$89=0,"",$R$89))</f>
        <v/>
      </c>
      <c r="AM89" s="1055" t="str">
        <f>IF($S$89="нет","без дифференциации",IF($V$89=0,"",$V$89))</f>
        <v/>
      </c>
      <c r="AN89" s="1531">
        <f>$I$89</f>
        <v>0</v>
      </c>
      <c r="AO89" s="1055" t="str">
        <f>$I$89&amp;"."&amp;$M$89</f>
        <v>.</v>
      </c>
      <c r="AP89" s="1047" t="str">
        <f>$I$89&amp;"."&amp;$M$89&amp;"."&amp;$Q$89</f>
        <v>..</v>
      </c>
      <c r="AQ89" s="1047" t="str">
        <f>$I$89&amp;"."&amp;$M$89&amp;"."&amp;$Q$89&amp;"."&amp;$U$89</f>
        <v>...</v>
      </c>
      <c r="AR89" s="1138">
        <v>0</v>
      </c>
    </row>
    <row r="90" spans="1:44" s="1609" customFormat="1" ht="17.25" hidden="1" customHeight="1">
      <c r="A90" s="255"/>
      <c r="C90" s="254"/>
      <c r="D90" s="2302"/>
      <c r="E90" s="2291"/>
      <c r="F90" s="2304"/>
      <c r="G90" s="2291"/>
      <c r="H90" s="2294"/>
      <c r="I90" s="2296"/>
      <c r="J90" s="2298"/>
      <c r="K90" s="2290"/>
      <c r="L90" s="2290"/>
      <c r="M90" s="2290"/>
      <c r="N90" s="2301"/>
      <c r="O90" s="2290"/>
      <c r="P90" s="2290"/>
      <c r="Q90" s="2290"/>
      <c r="R90" s="2288"/>
      <c r="S90" s="2290"/>
      <c r="T90" s="1085"/>
      <c r="U90" s="1085"/>
      <c r="V90" s="1085"/>
      <c r="W90" s="1086"/>
      <c r="X90" s="1047"/>
      <c r="Y90" s="1047"/>
      <c r="Z90" s="1047"/>
      <c r="AA90" s="1047"/>
      <c r="AB90" s="1047"/>
      <c r="AC90" s="1047"/>
      <c r="AD90" s="1047"/>
      <c r="AE90" s="1047"/>
      <c r="AF90" s="1047"/>
      <c r="AG90" s="1047"/>
      <c r="AH90" s="1047"/>
      <c r="AI90" s="1047"/>
      <c r="AJ90" s="1047"/>
      <c r="AK90" s="1047"/>
      <c r="AL90" s="1047"/>
      <c r="AM90" s="1047"/>
      <c r="AN90" s="1047"/>
      <c r="AO90" s="1047"/>
      <c r="AP90" s="1047"/>
      <c r="AQ90" s="1047"/>
      <c r="AR90" s="1138">
        <v>0</v>
      </c>
    </row>
    <row r="91" spans="1:44" s="1609" customFormat="1" ht="17.25" hidden="1" customHeight="1">
      <c r="A91" s="255"/>
      <c r="C91" s="254"/>
      <c r="D91" s="2278"/>
      <c r="E91" s="2292"/>
      <c r="F91" s="2304"/>
      <c r="G91" s="2292"/>
      <c r="H91" s="2294"/>
      <c r="I91" s="2296"/>
      <c r="J91" s="2299"/>
      <c r="K91" s="2290"/>
      <c r="L91" s="2290"/>
      <c r="M91" s="2290"/>
      <c r="N91" s="2288"/>
      <c r="O91" s="2290"/>
      <c r="P91" s="1232"/>
      <c r="Q91" s="1085"/>
      <c r="R91" s="1085"/>
      <c r="S91" s="263"/>
      <c r="T91" s="263"/>
      <c r="U91" s="263"/>
      <c r="V91" s="263"/>
      <c r="W91" s="1086"/>
      <c r="X91" s="1047"/>
      <c r="Y91" s="1047"/>
      <c r="Z91" s="1047"/>
      <c r="AA91" s="1047"/>
      <c r="AB91" s="1047"/>
      <c r="AC91" s="1047"/>
      <c r="AD91" s="1047"/>
      <c r="AE91" s="1047"/>
      <c r="AF91" s="1047"/>
      <c r="AG91" s="1047"/>
      <c r="AH91" s="1047"/>
      <c r="AI91" s="1047"/>
      <c r="AJ91" s="1047"/>
      <c r="AK91" s="1047"/>
      <c r="AL91" s="1047"/>
      <c r="AM91" s="1047"/>
      <c r="AN91" s="1047"/>
      <c r="AO91" s="1047"/>
      <c r="AP91" s="1047"/>
      <c r="AQ91" s="1047"/>
      <c r="AR91" s="1138">
        <v>0</v>
      </c>
    </row>
    <row r="92" spans="1:44" s="1609" customFormat="1" ht="17.25" hidden="1" customHeight="1">
      <c r="A92" s="255"/>
      <c r="C92" s="254"/>
      <c r="D92" s="2278"/>
      <c r="E92" s="2292"/>
      <c r="F92" s="2304"/>
      <c r="G92" s="2292"/>
      <c r="H92" s="2294"/>
      <c r="I92" s="2296"/>
      <c r="J92" s="2299"/>
      <c r="K92" s="2290"/>
      <c r="L92" s="1085"/>
      <c r="M92" s="1085"/>
      <c r="N92" s="1085"/>
      <c r="O92" s="1085"/>
      <c r="P92" s="1085"/>
      <c r="Q92" s="1085"/>
      <c r="R92" s="1085"/>
      <c r="S92" s="263"/>
      <c r="T92" s="263"/>
      <c r="U92" s="263"/>
      <c r="V92" s="263"/>
      <c r="W92" s="1086"/>
      <c r="X92" s="1047"/>
      <c r="Y92" s="1047"/>
      <c r="Z92" s="1047"/>
      <c r="AA92" s="1047"/>
      <c r="AB92" s="1047"/>
      <c r="AC92" s="1047"/>
      <c r="AD92" s="1047"/>
      <c r="AE92" s="1047"/>
      <c r="AF92" s="1047"/>
      <c r="AG92" s="1047"/>
      <c r="AH92" s="1047"/>
      <c r="AI92" s="1047"/>
      <c r="AJ92" s="1047"/>
      <c r="AK92" s="1047"/>
      <c r="AL92" s="1047"/>
      <c r="AM92" s="1047"/>
      <c r="AN92" s="1047"/>
      <c r="AO92" s="1047"/>
      <c r="AP92" s="1047"/>
      <c r="AQ92" s="1047"/>
      <c r="AR92" s="1138">
        <v>0</v>
      </c>
    </row>
    <row r="93" spans="1:44" s="1609" customFormat="1" ht="17.25" hidden="1" customHeight="1">
      <c r="A93" s="255"/>
      <c r="C93" s="254"/>
      <c r="D93" s="2278"/>
      <c r="E93" s="2292"/>
      <c r="F93" s="2305"/>
      <c r="G93" s="2292"/>
      <c r="H93" s="1087"/>
      <c r="I93" s="1088"/>
      <c r="J93" s="1088"/>
      <c r="K93" s="1088"/>
      <c r="L93" s="1088"/>
      <c r="M93" s="1088"/>
      <c r="N93" s="1088"/>
      <c r="O93" s="1088"/>
      <c r="P93" s="1088"/>
      <c r="Q93" s="1088"/>
      <c r="R93" s="1088"/>
      <c r="S93" s="1089"/>
      <c r="T93" s="1089"/>
      <c r="U93" s="1089"/>
      <c r="V93" s="1089"/>
      <c r="W93" s="1090"/>
      <c r="X93" s="1047"/>
      <c r="Y93" s="1047"/>
      <c r="Z93" s="1047"/>
      <c r="AA93" s="1047"/>
      <c r="AB93" s="1047"/>
      <c r="AC93" s="1047"/>
      <c r="AD93" s="1047"/>
      <c r="AE93" s="1047"/>
      <c r="AF93" s="1047"/>
      <c r="AG93" s="1047"/>
      <c r="AH93" s="1047"/>
      <c r="AI93" s="1047"/>
      <c r="AJ93" s="1047"/>
      <c r="AK93" s="1047"/>
      <c r="AL93" s="1047"/>
      <c r="AM93" s="1047"/>
      <c r="AN93" s="1047"/>
      <c r="AO93" s="1047"/>
      <c r="AP93" s="1047"/>
      <c r="AQ93" s="1047"/>
      <c r="AR93" s="1138">
        <v>0</v>
      </c>
    </row>
    <row r="94" spans="1:44" s="1609" customFormat="1" ht="17.25" hidden="1" customHeight="1">
      <c r="A94" s="255"/>
      <c r="C94" s="143"/>
      <c r="D94" s="2302">
        <v>4</v>
      </c>
      <c r="E94" s="2291" t="s">
        <v>323</v>
      </c>
      <c r="F94" s="2303" t="s">
        <v>6</v>
      </c>
      <c r="G94" s="2291"/>
      <c r="H94" s="2293"/>
      <c r="I94" s="2295"/>
      <c r="J94" s="2297"/>
      <c r="K94" s="2289"/>
      <c r="L94" s="2289"/>
      <c r="M94" s="2289"/>
      <c r="N94" s="2300"/>
      <c r="O94" s="2289"/>
      <c r="P94" s="2289"/>
      <c r="Q94" s="2289"/>
      <c r="R94" s="2287"/>
      <c r="S94" s="2289"/>
      <c r="T94" s="1231"/>
      <c r="U94" s="1231"/>
      <c r="V94" s="1233"/>
      <c r="W94" s="1084"/>
      <c r="X94" s="1055"/>
      <c r="Y94" s="1055"/>
      <c r="Z94" s="1055"/>
      <c r="AA94" s="1055"/>
      <c r="AB94" s="1055"/>
      <c r="AC94" s="1055" t="s">
        <v>324</v>
      </c>
      <c r="AD94" s="1055" t="s">
        <v>325</v>
      </c>
      <c r="AE94" s="1055" t="s">
        <v>326</v>
      </c>
      <c r="AF94" s="1055" t="s">
        <v>327</v>
      </c>
      <c r="AG94" s="1055"/>
      <c r="AH94" s="1055" t="str">
        <f>IF($E$94=0,"",$E$94)</f>
        <v>Тариф на подвоз воды</v>
      </c>
      <c r="AI94" s="1055" t="str">
        <f>IF($G$94=0,"",$G$94)</f>
        <v/>
      </c>
      <c r="AJ94" s="1055" t="str">
        <f>IF($J$94=0,"",$J$94)</f>
        <v/>
      </c>
      <c r="AK94" s="1055" t="str">
        <f>IF($K$94="нет","без дифференциации",IF($N$94=0,"",$N$94))</f>
        <v/>
      </c>
      <c r="AL94" s="1055" t="str">
        <f>IF($O$94="нет","без дифференциации",IF($R$94=0,"",$R$94))</f>
        <v/>
      </c>
      <c r="AM94" s="1055" t="str">
        <f>IF($S$94="нет","без дифференциации",IF($V$94=0,"",$V$94))</f>
        <v/>
      </c>
      <c r="AN94" s="1531">
        <f>$I$94</f>
        <v>0</v>
      </c>
      <c r="AO94" s="1055" t="str">
        <f>$I$94&amp;"."&amp;$M$94</f>
        <v>.</v>
      </c>
      <c r="AP94" s="1047" t="str">
        <f>$I$94&amp;"."&amp;$M$94&amp;"."&amp;$Q$94</f>
        <v>..</v>
      </c>
      <c r="AQ94" s="1047" t="str">
        <f>$I$94&amp;"."&amp;$M$94&amp;"."&amp;$Q$94&amp;"."&amp;$U$94</f>
        <v>...</v>
      </c>
      <c r="AR94" s="1138">
        <v>0</v>
      </c>
    </row>
    <row r="95" spans="1:44" s="1609" customFormat="1" ht="17.25" hidden="1" customHeight="1">
      <c r="A95" s="255"/>
      <c r="C95" s="254"/>
      <c r="D95" s="2302"/>
      <c r="E95" s="2291"/>
      <c r="F95" s="2304"/>
      <c r="G95" s="2291"/>
      <c r="H95" s="2294"/>
      <c r="I95" s="2296"/>
      <c r="J95" s="2298"/>
      <c r="K95" s="2290"/>
      <c r="L95" s="2290"/>
      <c r="M95" s="2290"/>
      <c r="N95" s="2301"/>
      <c r="O95" s="2290"/>
      <c r="P95" s="2290"/>
      <c r="Q95" s="2290"/>
      <c r="R95" s="2288"/>
      <c r="S95" s="2290"/>
      <c r="T95" s="1085"/>
      <c r="U95" s="1085"/>
      <c r="V95" s="1085"/>
      <c r="W95" s="1086"/>
      <c r="X95" s="1047"/>
      <c r="Y95" s="1047"/>
      <c r="Z95" s="1047"/>
      <c r="AA95" s="1047"/>
      <c r="AB95" s="1047"/>
      <c r="AC95" s="1047"/>
      <c r="AD95" s="1047"/>
      <c r="AE95" s="1047"/>
      <c r="AF95" s="1047"/>
      <c r="AG95" s="1047"/>
      <c r="AH95" s="1047"/>
      <c r="AI95" s="1047"/>
      <c r="AJ95" s="1047"/>
      <c r="AK95" s="1047"/>
      <c r="AL95" s="1047"/>
      <c r="AM95" s="1047"/>
      <c r="AN95" s="1047"/>
      <c r="AO95" s="1047"/>
      <c r="AP95" s="1047"/>
      <c r="AQ95" s="1047"/>
      <c r="AR95" s="1138">
        <v>0</v>
      </c>
    </row>
    <row r="96" spans="1:44" s="1609" customFormat="1" ht="17.25" hidden="1" customHeight="1">
      <c r="A96" s="255"/>
      <c r="C96" s="254"/>
      <c r="D96" s="2278"/>
      <c r="E96" s="2292"/>
      <c r="F96" s="2304"/>
      <c r="G96" s="2292"/>
      <c r="H96" s="2294"/>
      <c r="I96" s="2296"/>
      <c r="J96" s="2299"/>
      <c r="K96" s="2290"/>
      <c r="L96" s="2290"/>
      <c r="M96" s="2290"/>
      <c r="N96" s="2288"/>
      <c r="O96" s="2290"/>
      <c r="P96" s="1232"/>
      <c r="Q96" s="1085"/>
      <c r="R96" s="1085"/>
      <c r="S96" s="263"/>
      <c r="T96" s="263"/>
      <c r="U96" s="263"/>
      <c r="V96" s="263"/>
      <c r="W96" s="1086"/>
      <c r="X96" s="1047"/>
      <c r="Y96" s="1047"/>
      <c r="Z96" s="1047"/>
      <c r="AA96" s="1047"/>
      <c r="AB96" s="1047"/>
      <c r="AC96" s="1047"/>
      <c r="AD96" s="1047"/>
      <c r="AE96" s="1047"/>
      <c r="AF96" s="1047"/>
      <c r="AG96" s="1047"/>
      <c r="AH96" s="1047"/>
      <c r="AI96" s="1047"/>
      <c r="AJ96" s="1047"/>
      <c r="AK96" s="1047"/>
      <c r="AL96" s="1047"/>
      <c r="AM96" s="1047"/>
      <c r="AN96" s="1047"/>
      <c r="AO96" s="1047"/>
      <c r="AP96" s="1047"/>
      <c r="AQ96" s="1047"/>
      <c r="AR96" s="1138">
        <v>0</v>
      </c>
    </row>
    <row r="97" spans="1:44" s="1609" customFormat="1" ht="17.25" hidden="1" customHeight="1">
      <c r="A97" s="255"/>
      <c r="C97" s="254"/>
      <c r="D97" s="2278"/>
      <c r="E97" s="2292"/>
      <c r="F97" s="2304"/>
      <c r="G97" s="2292"/>
      <c r="H97" s="2294"/>
      <c r="I97" s="2296"/>
      <c r="J97" s="2299"/>
      <c r="K97" s="2290"/>
      <c r="L97" s="1085"/>
      <c r="M97" s="1085"/>
      <c r="N97" s="1085"/>
      <c r="O97" s="1085"/>
      <c r="P97" s="1085"/>
      <c r="Q97" s="1085"/>
      <c r="R97" s="1085"/>
      <c r="S97" s="263"/>
      <c r="T97" s="263"/>
      <c r="U97" s="263"/>
      <c r="V97" s="263"/>
      <c r="W97" s="1086"/>
      <c r="X97" s="1047"/>
      <c r="Y97" s="1047"/>
      <c r="Z97" s="1047"/>
      <c r="AA97" s="1047"/>
      <c r="AB97" s="1047"/>
      <c r="AC97" s="1047"/>
      <c r="AD97" s="1047"/>
      <c r="AE97" s="1047"/>
      <c r="AF97" s="1047"/>
      <c r="AG97" s="1047"/>
      <c r="AH97" s="1047"/>
      <c r="AI97" s="1047"/>
      <c r="AJ97" s="1047"/>
      <c r="AK97" s="1047"/>
      <c r="AL97" s="1047"/>
      <c r="AM97" s="1047"/>
      <c r="AN97" s="1047"/>
      <c r="AO97" s="1047"/>
      <c r="AP97" s="1047"/>
      <c r="AQ97" s="1047"/>
      <c r="AR97" s="1138">
        <v>0</v>
      </c>
    </row>
    <row r="98" spans="1:44" s="1609" customFormat="1" ht="17.25" hidden="1" customHeight="1">
      <c r="A98" s="255"/>
      <c r="C98" s="254"/>
      <c r="D98" s="2278"/>
      <c r="E98" s="2292"/>
      <c r="F98" s="2305"/>
      <c r="G98" s="2292"/>
      <c r="H98" s="1087"/>
      <c r="I98" s="1088"/>
      <c r="J98" s="1088"/>
      <c r="K98" s="1088"/>
      <c r="L98" s="1088"/>
      <c r="M98" s="1088"/>
      <c r="N98" s="1088"/>
      <c r="O98" s="1088"/>
      <c r="P98" s="1088"/>
      <c r="Q98" s="1088"/>
      <c r="R98" s="1088"/>
      <c r="S98" s="1089"/>
      <c r="T98" s="1089"/>
      <c r="U98" s="1089"/>
      <c r="V98" s="1089"/>
      <c r="W98" s="1090"/>
      <c r="X98" s="1047"/>
      <c r="Y98" s="1047"/>
      <c r="Z98" s="1047"/>
      <c r="AA98" s="1047"/>
      <c r="AB98" s="1047"/>
      <c r="AC98" s="1047"/>
      <c r="AD98" s="1047"/>
      <c r="AE98" s="1047"/>
      <c r="AF98" s="1047"/>
      <c r="AG98" s="1047"/>
      <c r="AH98" s="1047"/>
      <c r="AI98" s="1047"/>
      <c r="AJ98" s="1047"/>
      <c r="AK98" s="1047"/>
      <c r="AL98" s="1047"/>
      <c r="AM98" s="1047"/>
      <c r="AN98" s="1047"/>
      <c r="AO98" s="1047"/>
      <c r="AP98" s="1047"/>
      <c r="AQ98" s="1047"/>
      <c r="AR98" s="1138">
        <v>0</v>
      </c>
    </row>
    <row r="99" spans="1:44" s="1609" customFormat="1" ht="17.25" hidden="1" customHeight="1">
      <c r="A99" s="255"/>
      <c r="C99" s="143"/>
      <c r="D99" s="2302">
        <v>5</v>
      </c>
      <c r="E99" s="2291" t="s">
        <v>328</v>
      </c>
      <c r="F99" s="2303" t="s">
        <v>6</v>
      </c>
      <c r="G99" s="2291"/>
      <c r="H99" s="2293"/>
      <c r="I99" s="2295"/>
      <c r="J99" s="2297"/>
      <c r="K99" s="2289"/>
      <c r="L99" s="2289"/>
      <c r="M99" s="2289"/>
      <c r="N99" s="2300"/>
      <c r="O99" s="2289"/>
      <c r="P99" s="2289"/>
      <c r="Q99" s="2289"/>
      <c r="R99" s="2287"/>
      <c r="S99" s="2289"/>
      <c r="T99" s="1693"/>
      <c r="U99" s="1693"/>
      <c r="V99" s="1695"/>
      <c r="W99" s="1084"/>
      <c r="X99" s="1055"/>
      <c r="Y99" s="1055"/>
      <c r="Z99" s="1055"/>
      <c r="AA99" s="1055"/>
      <c r="AB99" s="1055"/>
      <c r="AC99" s="1055" t="s">
        <v>329</v>
      </c>
      <c r="AD99" s="1055" t="s">
        <v>330</v>
      </c>
      <c r="AE99" s="1055" t="s">
        <v>331</v>
      </c>
      <c r="AF99" s="1055" t="s">
        <v>332</v>
      </c>
      <c r="AG99" s="1055"/>
      <c r="AH99" s="1055" t="str">
        <f>IF($E$99=0,"",$E$99)</f>
        <v>Тариф на подключение (технологическое присоединение) к централизованной системе холодного водоснабжения</v>
      </c>
      <c r="AI99" s="1055" t="str">
        <f>IF($G$99=0,"",$G$99)</f>
        <v/>
      </c>
      <c r="AJ99" s="1055" t="str">
        <f>IF($J$99=0,"",$J$99)</f>
        <v/>
      </c>
      <c r="AK99" s="1055" t="str">
        <f>IF($K$99="нет","без дифференциации",IF($N$99=0,"",$N$99))</f>
        <v/>
      </c>
      <c r="AL99" s="1055" t="str">
        <f>IF($O$99="нет","без дифференциации",IF($R$99=0,"",$R$99))</f>
        <v/>
      </c>
      <c r="AM99" s="1055" t="str">
        <f>IF($S$99="нет","без дифференциации",IF($V$99=0,"",$V$99))</f>
        <v/>
      </c>
      <c r="AN99" s="1531">
        <f>$I$99</f>
        <v>0</v>
      </c>
      <c r="AO99" s="1055" t="str">
        <f>$I$99&amp;"."&amp;$M$99</f>
        <v>.</v>
      </c>
      <c r="AP99" s="1054" t="str">
        <f>$I$99&amp;"."&amp;$M$99&amp;"."&amp;$Q$99</f>
        <v>..</v>
      </c>
      <c r="AQ99" s="1054" t="str">
        <f>$I$99&amp;"."&amp;$M$99&amp;"."&amp;$Q$99&amp;"."&amp;$U$99</f>
        <v>...</v>
      </c>
      <c r="AR99" s="1255">
        <v>0</v>
      </c>
    </row>
    <row r="100" spans="1:44" s="1609" customFormat="1" ht="17.25" hidden="1" customHeight="1">
      <c r="A100" s="255"/>
      <c r="C100" s="254"/>
      <c r="D100" s="2302"/>
      <c r="E100" s="2291"/>
      <c r="F100" s="2304"/>
      <c r="G100" s="2291"/>
      <c r="H100" s="2294"/>
      <c r="I100" s="2296"/>
      <c r="J100" s="2298"/>
      <c r="K100" s="2290"/>
      <c r="L100" s="2290"/>
      <c r="M100" s="2290"/>
      <c r="N100" s="2301"/>
      <c r="O100" s="2290"/>
      <c r="P100" s="2290"/>
      <c r="Q100" s="2290"/>
      <c r="R100" s="2288"/>
      <c r="S100" s="2290"/>
      <c r="T100" s="1698"/>
      <c r="U100" s="1698"/>
      <c r="V100" s="1698"/>
      <c r="W100" s="1699"/>
      <c r="X100" s="1054"/>
      <c r="Y100" s="1054"/>
      <c r="Z100" s="1054"/>
      <c r="AA100" s="1054"/>
      <c r="AB100" s="1054"/>
      <c r="AC100" s="1054"/>
      <c r="AD100" s="1054"/>
      <c r="AE100" s="1054"/>
      <c r="AF100" s="1054"/>
      <c r="AG100" s="1054"/>
      <c r="AH100" s="1054"/>
      <c r="AI100" s="1054"/>
      <c r="AJ100" s="1054"/>
      <c r="AK100" s="1054"/>
      <c r="AL100" s="1054"/>
      <c r="AM100" s="1054"/>
      <c r="AN100" s="1054"/>
      <c r="AO100" s="1054"/>
      <c r="AP100" s="1054"/>
      <c r="AQ100" s="1054"/>
      <c r="AR100" s="1255">
        <v>0</v>
      </c>
    </row>
    <row r="101" spans="1:44" s="1609" customFormat="1" ht="17.25" hidden="1" customHeight="1">
      <c r="A101" s="255"/>
      <c r="C101" s="254"/>
      <c r="D101" s="2278"/>
      <c r="E101" s="2292"/>
      <c r="F101" s="2304"/>
      <c r="G101" s="2292"/>
      <c r="H101" s="2294"/>
      <c r="I101" s="2296"/>
      <c r="J101" s="2299"/>
      <c r="K101" s="2290"/>
      <c r="L101" s="2290"/>
      <c r="M101" s="2290"/>
      <c r="N101" s="2288"/>
      <c r="O101" s="2290"/>
      <c r="P101" s="1694"/>
      <c r="Q101" s="1698"/>
      <c r="R101" s="1698"/>
      <c r="S101" s="263"/>
      <c r="T101" s="263"/>
      <c r="U101" s="263"/>
      <c r="V101" s="263"/>
      <c r="W101" s="1699"/>
      <c r="X101" s="1054"/>
      <c r="Y101" s="1054"/>
      <c r="Z101" s="1054"/>
      <c r="AA101" s="1054"/>
      <c r="AB101" s="1054"/>
      <c r="AC101" s="1054"/>
      <c r="AD101" s="1054"/>
      <c r="AE101" s="1054"/>
      <c r="AF101" s="1054"/>
      <c r="AG101" s="1054"/>
      <c r="AH101" s="1054"/>
      <c r="AI101" s="1054"/>
      <c r="AJ101" s="1054"/>
      <c r="AK101" s="1054"/>
      <c r="AL101" s="1054"/>
      <c r="AM101" s="1054"/>
      <c r="AN101" s="1054"/>
      <c r="AO101" s="1054"/>
      <c r="AP101" s="1054"/>
      <c r="AQ101" s="1054"/>
      <c r="AR101" s="1255">
        <v>0</v>
      </c>
    </row>
    <row r="102" spans="1:44" s="1609" customFormat="1" ht="17.25" hidden="1" customHeight="1">
      <c r="A102" s="255"/>
      <c r="C102" s="254"/>
      <c r="D102" s="2278"/>
      <c r="E102" s="2292"/>
      <c r="F102" s="2304"/>
      <c r="G102" s="2292"/>
      <c r="H102" s="2294"/>
      <c r="I102" s="2296"/>
      <c r="J102" s="2299"/>
      <c r="K102" s="2290"/>
      <c r="L102" s="1698"/>
      <c r="M102" s="1698"/>
      <c r="N102" s="1698"/>
      <c r="O102" s="1698"/>
      <c r="P102" s="1698"/>
      <c r="Q102" s="1698"/>
      <c r="R102" s="1698"/>
      <c r="S102" s="263"/>
      <c r="T102" s="263"/>
      <c r="U102" s="263"/>
      <c r="V102" s="263"/>
      <c r="W102" s="1699"/>
      <c r="X102" s="1054"/>
      <c r="Y102" s="1054"/>
      <c r="Z102" s="1054"/>
      <c r="AA102" s="1054"/>
      <c r="AB102" s="1054"/>
      <c r="AC102" s="1054"/>
      <c r="AD102" s="1054"/>
      <c r="AE102" s="1054"/>
      <c r="AF102" s="1054"/>
      <c r="AG102" s="1054"/>
      <c r="AH102" s="1054"/>
      <c r="AI102" s="1054"/>
      <c r="AJ102" s="1054"/>
      <c r="AK102" s="1054"/>
      <c r="AL102" s="1054"/>
      <c r="AM102" s="1054"/>
      <c r="AN102" s="1054"/>
      <c r="AO102" s="1054"/>
      <c r="AP102" s="1054"/>
      <c r="AQ102" s="1054"/>
      <c r="AR102" s="1255">
        <v>0</v>
      </c>
    </row>
    <row r="103" spans="1:44" s="1609" customFormat="1" ht="17.25" hidden="1" customHeight="1">
      <c r="A103" s="255"/>
      <c r="C103" s="254"/>
      <c r="D103" s="2278"/>
      <c r="E103" s="2292"/>
      <c r="F103" s="2305"/>
      <c r="G103" s="2292"/>
      <c r="H103" s="1087"/>
      <c r="I103" s="1696"/>
      <c r="J103" s="1696"/>
      <c r="K103" s="1696"/>
      <c r="L103" s="1696"/>
      <c r="M103" s="1696"/>
      <c r="N103" s="1696"/>
      <c r="O103" s="1696"/>
      <c r="P103" s="1696"/>
      <c r="Q103" s="1696"/>
      <c r="R103" s="1696"/>
      <c r="S103" s="1089"/>
      <c r="T103" s="1089"/>
      <c r="U103" s="1089"/>
      <c r="V103" s="1089"/>
      <c r="W103" s="1697"/>
      <c r="X103" s="1054"/>
      <c r="Y103" s="1054"/>
      <c r="Z103" s="1054"/>
      <c r="AA103" s="1054"/>
      <c r="AB103" s="1054"/>
      <c r="AC103" s="1054"/>
      <c r="AD103" s="1054"/>
      <c r="AE103" s="1054"/>
      <c r="AF103" s="1054"/>
      <c r="AG103" s="1054"/>
      <c r="AH103" s="1054"/>
      <c r="AI103" s="1054"/>
      <c r="AJ103" s="1054"/>
      <c r="AK103" s="1054"/>
      <c r="AL103" s="1054"/>
      <c r="AM103" s="1054"/>
      <c r="AN103" s="1054"/>
      <c r="AO103" s="1054"/>
      <c r="AP103" s="1054"/>
      <c r="AQ103" s="1054"/>
      <c r="AR103" s="1255">
        <v>0</v>
      </c>
    </row>
    <row r="104" spans="1:44" s="1609" customFormat="1" ht="11.25" hidden="1" customHeight="1">
      <c r="A104" s="211"/>
      <c r="B104" s="211"/>
      <c r="Y104" s="1047"/>
      <c r="Z104" s="1047"/>
      <c r="AA104" s="1047"/>
      <c r="AB104" s="1047"/>
      <c r="AC104" s="1047"/>
      <c r="AD104" s="1047"/>
      <c r="AE104" s="1047"/>
      <c r="AF104" s="1047"/>
      <c r="AG104" s="1047"/>
      <c r="AH104" s="1047"/>
      <c r="AI104" s="1047"/>
      <c r="AJ104" s="1047"/>
      <c r="AK104" s="1047"/>
      <c r="AL104" s="1047"/>
      <c r="AM104" s="1047"/>
      <c r="AN104" s="1047"/>
      <c r="AO104" s="1047"/>
      <c r="AP104" s="1047"/>
      <c r="AQ104" s="1047"/>
      <c r="AR104" s="1255">
        <v>0</v>
      </c>
    </row>
    <row r="105" spans="1:44" s="1609" customFormat="1" ht="17.25" hidden="1" customHeight="1">
      <c r="A105" s="255"/>
      <c r="C105" s="143"/>
      <c r="D105" s="2302">
        <v>1</v>
      </c>
      <c r="E105" s="2291" t="s">
        <v>333</v>
      </c>
      <c r="F105" s="2303" t="s">
        <v>6</v>
      </c>
      <c r="G105" s="2291"/>
      <c r="H105" s="2293"/>
      <c r="I105" s="2295"/>
      <c r="J105" s="2297"/>
      <c r="K105" s="2289"/>
      <c r="L105" s="2289"/>
      <c r="M105" s="2289"/>
      <c r="N105" s="2300"/>
      <c r="O105" s="2289"/>
      <c r="P105" s="2289"/>
      <c r="Q105" s="2289"/>
      <c r="R105" s="2287"/>
      <c r="S105" s="2289"/>
      <c r="T105" s="1258"/>
      <c r="U105" s="1258"/>
      <c r="V105" s="1260"/>
      <c r="W105" s="1084"/>
      <c r="Y105" s="1055"/>
      <c r="Z105" s="1055"/>
      <c r="AA105" s="1055"/>
      <c r="AB105" s="1055"/>
      <c r="AC105" s="1055" t="s">
        <v>334</v>
      </c>
      <c r="AD105" s="1055" t="s">
        <v>335</v>
      </c>
      <c r="AE105" s="1055" t="s">
        <v>336</v>
      </c>
      <c r="AF105" s="1055" t="s">
        <v>337</v>
      </c>
      <c r="AG105" s="1055"/>
      <c r="AH105" s="1055" t="str">
        <f>IF($E$105=0,"",$E$105)</f>
        <v>Тариф на горячую воду (горячее водоснабжение)</v>
      </c>
      <c r="AI105" s="1055" t="str">
        <f>IF($G$105=0,"",$G$105)</f>
        <v/>
      </c>
      <c r="AJ105" s="1055" t="str">
        <f>IF($J$105=0,"",$J$105)</f>
        <v/>
      </c>
      <c r="AK105" s="1055" t="str">
        <f>IF($K$105="нет","без дифференциации",IF($N$105=0,"",$N$105))</f>
        <v/>
      </c>
      <c r="AL105" s="1055" t="str">
        <f>IF($O$105="нет","без дифференциации",IF($R$105=0,"",$R$105))</f>
        <v/>
      </c>
      <c r="AM105" s="1055" t="str">
        <f>IF($S$105="нет","без дифференциации",IF($V$105=0,"",$V$105))</f>
        <v/>
      </c>
      <c r="AN105" s="1055">
        <f>$I$105</f>
        <v>0</v>
      </c>
      <c r="AO105" s="1055" t="str">
        <f>$I$105&amp;"."&amp;$M$105</f>
        <v>.</v>
      </c>
      <c r="AP105" s="1055" t="str">
        <f>$I$105&amp;"."&amp;$M$105&amp;"."&amp;$Q$105</f>
        <v>..</v>
      </c>
      <c r="AQ105" s="1055" t="str">
        <f>$I$105&amp;"."&amp;$M$105&amp;"."&amp;$Q$105&amp;"."&amp;$U$105</f>
        <v>...</v>
      </c>
      <c r="AR105" s="1255">
        <v>0</v>
      </c>
    </row>
    <row r="106" spans="1:44" s="1609" customFormat="1" ht="17.25" hidden="1" customHeight="1">
      <c r="A106" s="255"/>
      <c r="C106" s="254"/>
      <c r="D106" s="2302"/>
      <c r="E106" s="2291"/>
      <c r="F106" s="2304"/>
      <c r="G106" s="2291"/>
      <c r="H106" s="2294"/>
      <c r="I106" s="2296"/>
      <c r="J106" s="2298"/>
      <c r="K106" s="2290"/>
      <c r="L106" s="2290"/>
      <c r="M106" s="2290"/>
      <c r="N106" s="2301"/>
      <c r="O106" s="2290"/>
      <c r="P106" s="2290"/>
      <c r="Q106" s="2290"/>
      <c r="R106" s="2288"/>
      <c r="S106" s="2290"/>
      <c r="T106" s="1085"/>
      <c r="U106" s="1085"/>
      <c r="V106" s="1085"/>
      <c r="W106" s="1086"/>
      <c r="Y106" s="1047"/>
      <c r="Z106" s="1047"/>
      <c r="AA106" s="1047"/>
      <c r="AB106" s="1047"/>
      <c r="AC106" s="1047"/>
      <c r="AD106" s="1047"/>
      <c r="AE106" s="1047"/>
      <c r="AF106" s="1047"/>
      <c r="AG106" s="1047"/>
      <c r="AH106" s="1047"/>
      <c r="AI106" s="1047"/>
      <c r="AJ106" s="1047"/>
      <c r="AK106" s="1047"/>
      <c r="AL106" s="1047"/>
      <c r="AM106" s="1047"/>
      <c r="AN106" s="1047"/>
      <c r="AO106" s="1047"/>
      <c r="AP106" s="1047"/>
      <c r="AQ106" s="1047"/>
      <c r="AR106" s="1255">
        <v>0</v>
      </c>
    </row>
    <row r="107" spans="1:44" s="1609" customFormat="1" ht="17.25" hidden="1" customHeight="1">
      <c r="A107" s="255"/>
      <c r="C107" s="143"/>
      <c r="D107" s="2302"/>
      <c r="E107" s="2291"/>
      <c r="F107" s="2304"/>
      <c r="G107" s="2291"/>
      <c r="H107" s="2294"/>
      <c r="I107" s="2296"/>
      <c r="J107" s="2299"/>
      <c r="K107" s="2290"/>
      <c r="L107" s="2290"/>
      <c r="M107" s="2290"/>
      <c r="N107" s="2288"/>
      <c r="O107" s="2290"/>
      <c r="P107" s="1259"/>
      <c r="Q107" s="1085"/>
      <c r="R107" s="1085"/>
      <c r="S107" s="263"/>
      <c r="T107" s="263"/>
      <c r="U107" s="263"/>
      <c r="V107" s="263"/>
      <c r="W107" s="1086"/>
      <c r="Y107" s="1055"/>
      <c r="Z107" s="1055"/>
      <c r="AA107" s="1055"/>
      <c r="AB107" s="1055"/>
      <c r="AC107" s="1055"/>
      <c r="AD107" s="1055"/>
      <c r="AE107" s="1055"/>
      <c r="AF107" s="1055"/>
      <c r="AG107" s="1055"/>
      <c r="AH107" s="1055"/>
      <c r="AI107" s="1055"/>
      <c r="AJ107" s="1055"/>
      <c r="AK107" s="1055"/>
      <c r="AL107" s="1055"/>
      <c r="AM107" s="1055"/>
      <c r="AN107" s="1055"/>
      <c r="AO107" s="1055"/>
      <c r="AP107" s="1055"/>
      <c r="AQ107" s="1055"/>
      <c r="AR107" s="1255">
        <v>0</v>
      </c>
    </row>
    <row r="108" spans="1:44" s="1609" customFormat="1" ht="17.25" hidden="1" customHeight="1">
      <c r="A108" s="255"/>
      <c r="C108" s="254"/>
      <c r="D108" s="2302"/>
      <c r="E108" s="2291"/>
      <c r="F108" s="2304"/>
      <c r="G108" s="2291"/>
      <c r="H108" s="2294"/>
      <c r="I108" s="2296"/>
      <c r="J108" s="2299"/>
      <c r="K108" s="2290"/>
      <c r="L108" s="1085"/>
      <c r="M108" s="1085"/>
      <c r="N108" s="1085"/>
      <c r="O108" s="1085"/>
      <c r="P108" s="1085"/>
      <c r="Q108" s="1085"/>
      <c r="R108" s="1085"/>
      <c r="S108" s="263"/>
      <c r="T108" s="263"/>
      <c r="U108" s="263"/>
      <c r="V108" s="263"/>
      <c r="W108" s="1086"/>
      <c r="Y108" s="1047"/>
      <c r="Z108" s="1047"/>
      <c r="AA108" s="1047"/>
      <c r="AB108" s="1047"/>
      <c r="AC108" s="1047"/>
      <c r="AD108" s="1047"/>
      <c r="AE108" s="1047"/>
      <c r="AF108" s="1047"/>
      <c r="AG108" s="1047"/>
      <c r="AH108" s="1047"/>
      <c r="AI108" s="1047"/>
      <c r="AJ108" s="1047"/>
      <c r="AK108" s="1047"/>
      <c r="AL108" s="1047"/>
      <c r="AM108" s="1047"/>
      <c r="AN108" s="1047"/>
      <c r="AO108" s="1047"/>
      <c r="AP108" s="1047"/>
      <c r="AQ108" s="1047"/>
      <c r="AR108" s="1255">
        <v>0</v>
      </c>
    </row>
    <row r="109" spans="1:44" s="1609" customFormat="1" ht="17.25" hidden="1" customHeight="1">
      <c r="A109" s="255"/>
      <c r="C109" s="254"/>
      <c r="D109" s="2278"/>
      <c r="E109" s="2292"/>
      <c r="F109" s="2305"/>
      <c r="G109" s="2292"/>
      <c r="H109" s="1087"/>
      <c r="I109" s="1088"/>
      <c r="J109" s="1088"/>
      <c r="K109" s="1088"/>
      <c r="L109" s="1088"/>
      <c r="M109" s="1088"/>
      <c r="N109" s="1088"/>
      <c r="O109" s="1088"/>
      <c r="P109" s="1088"/>
      <c r="Q109" s="1088"/>
      <c r="R109" s="1088"/>
      <c r="S109" s="1089"/>
      <c r="T109" s="1089"/>
      <c r="U109" s="1089"/>
      <c r="V109" s="1089"/>
      <c r="W109" s="1090"/>
      <c r="Y109" s="1047"/>
      <c r="Z109" s="1047"/>
      <c r="AA109" s="1047"/>
      <c r="AB109" s="1047"/>
      <c r="AC109" s="1047"/>
      <c r="AD109" s="1047"/>
      <c r="AE109" s="1047"/>
      <c r="AF109" s="1047"/>
      <c r="AG109" s="1047"/>
      <c r="AH109" s="1047"/>
      <c r="AI109" s="1047"/>
      <c r="AJ109" s="1047"/>
      <c r="AK109" s="1047"/>
      <c r="AL109" s="1047"/>
      <c r="AM109" s="1047"/>
      <c r="AN109" s="1047"/>
      <c r="AO109" s="1047"/>
      <c r="AP109" s="1047"/>
      <c r="AQ109" s="1047"/>
      <c r="AR109" s="1255">
        <v>0</v>
      </c>
    </row>
    <row r="110" spans="1:44" s="1609" customFormat="1" ht="17.25" hidden="1" customHeight="1">
      <c r="A110" s="255"/>
      <c r="C110" s="143"/>
      <c r="D110" s="2302">
        <v>2</v>
      </c>
      <c r="E110" s="2291" t="s">
        <v>338</v>
      </c>
      <c r="F110" s="2303" t="s">
        <v>6</v>
      </c>
      <c r="G110" s="2291"/>
      <c r="H110" s="2293"/>
      <c r="I110" s="2295"/>
      <c r="J110" s="2297"/>
      <c r="K110" s="2289"/>
      <c r="L110" s="2289"/>
      <c r="M110" s="2289"/>
      <c r="N110" s="2300"/>
      <c r="O110" s="2289"/>
      <c r="P110" s="2289"/>
      <c r="Q110" s="2289"/>
      <c r="R110" s="2287"/>
      <c r="S110" s="2289"/>
      <c r="T110" s="1258"/>
      <c r="U110" s="1258"/>
      <c r="V110" s="1260"/>
      <c r="W110" s="1084"/>
      <c r="X110" s="1055"/>
      <c r="Y110" s="1055"/>
      <c r="Z110" s="1055"/>
      <c r="AA110" s="1055"/>
      <c r="AB110" s="1055"/>
      <c r="AC110" s="1055" t="s">
        <v>339</v>
      </c>
      <c r="AD110" s="1055" t="s">
        <v>340</v>
      </c>
      <c r="AE110" s="1055" t="s">
        <v>341</v>
      </c>
      <c r="AF110" s="1055" t="s">
        <v>342</v>
      </c>
      <c r="AG110" s="1055"/>
      <c r="AH110" s="1055" t="str">
        <f>IF($E$110=0,"",$E$110)</f>
        <v>Тариф на транспортировку горячей воды</v>
      </c>
      <c r="AI110" s="1055" t="str">
        <f>IF($G$110=0,"",$G$110)</f>
        <v/>
      </c>
      <c r="AJ110" s="1055" t="str">
        <f>IF($J$110=0,"",$J$110)</f>
        <v/>
      </c>
      <c r="AK110" s="1055" t="str">
        <f>IF($K$110="нет","без дифференциации",IF($N$110=0,"",$N$110))</f>
        <v/>
      </c>
      <c r="AL110" s="1055" t="str">
        <f>IF($O$110="нет","без дифференциации",IF($R$110=0,"",$R$110))</f>
        <v/>
      </c>
      <c r="AM110" s="1055" t="str">
        <f>IF($S$110="нет","без дифференциации",IF($V$110=0,"",$V$110))</f>
        <v/>
      </c>
      <c r="AN110" s="1531">
        <f>$I$110</f>
        <v>0</v>
      </c>
      <c r="AO110" s="1055" t="str">
        <f>$I$110&amp;"."&amp;$M$110</f>
        <v>.</v>
      </c>
      <c r="AP110" s="1047" t="str">
        <f>$I$110&amp;"."&amp;$M$110&amp;"."&amp;$Q$110</f>
        <v>..</v>
      </c>
      <c r="AQ110" s="1047" t="str">
        <f>$I$110&amp;"."&amp;$M$110&amp;"."&amp;$Q$110&amp;"."&amp;$U$110</f>
        <v>...</v>
      </c>
      <c r="AR110" s="1255">
        <v>0</v>
      </c>
    </row>
    <row r="111" spans="1:44" s="1609" customFormat="1" ht="17.25" hidden="1" customHeight="1">
      <c r="A111" s="255"/>
      <c r="C111" s="254"/>
      <c r="D111" s="2302"/>
      <c r="E111" s="2291"/>
      <c r="F111" s="2304"/>
      <c r="G111" s="2291"/>
      <c r="H111" s="2294"/>
      <c r="I111" s="2296"/>
      <c r="J111" s="2298"/>
      <c r="K111" s="2290"/>
      <c r="L111" s="2290"/>
      <c r="M111" s="2290"/>
      <c r="N111" s="2301"/>
      <c r="O111" s="2290"/>
      <c r="P111" s="2290"/>
      <c r="Q111" s="2290"/>
      <c r="R111" s="2288"/>
      <c r="S111" s="2290"/>
      <c r="T111" s="1085"/>
      <c r="U111" s="1085"/>
      <c r="V111" s="1085"/>
      <c r="W111" s="1086"/>
      <c r="X111" s="1047"/>
      <c r="Y111" s="1047"/>
      <c r="Z111" s="1047"/>
      <c r="AA111" s="1047"/>
      <c r="AB111" s="1047"/>
      <c r="AC111" s="1047"/>
      <c r="AD111" s="1047"/>
      <c r="AE111" s="1047"/>
      <c r="AF111" s="1047"/>
      <c r="AG111" s="1047"/>
      <c r="AH111" s="1047"/>
      <c r="AI111" s="1047"/>
      <c r="AJ111" s="1047"/>
      <c r="AK111" s="1047"/>
      <c r="AL111" s="1047"/>
      <c r="AM111" s="1047"/>
      <c r="AN111" s="1047"/>
      <c r="AO111" s="1047"/>
      <c r="AP111" s="1047"/>
      <c r="AQ111" s="1047"/>
      <c r="AR111" s="1255">
        <v>0</v>
      </c>
    </row>
    <row r="112" spans="1:44" s="1609" customFormat="1" ht="17.25" hidden="1" customHeight="1">
      <c r="A112" s="255"/>
      <c r="C112" s="254"/>
      <c r="D112" s="2278"/>
      <c r="E112" s="2292"/>
      <c r="F112" s="2304"/>
      <c r="G112" s="2292"/>
      <c r="H112" s="2294"/>
      <c r="I112" s="2296"/>
      <c r="J112" s="2299"/>
      <c r="K112" s="2290"/>
      <c r="L112" s="2290"/>
      <c r="M112" s="2290"/>
      <c r="N112" s="2288"/>
      <c r="O112" s="2290"/>
      <c r="P112" s="1259"/>
      <c r="Q112" s="1085"/>
      <c r="R112" s="1085"/>
      <c r="S112" s="263"/>
      <c r="T112" s="263"/>
      <c r="U112" s="263"/>
      <c r="V112" s="263"/>
      <c r="W112" s="1086"/>
      <c r="X112" s="1047"/>
      <c r="Y112" s="1047"/>
      <c r="Z112" s="1047"/>
      <c r="AA112" s="1047"/>
      <c r="AB112" s="1047"/>
      <c r="AC112" s="1047"/>
      <c r="AD112" s="1047"/>
      <c r="AE112" s="1047"/>
      <c r="AF112" s="1047"/>
      <c r="AG112" s="1047"/>
      <c r="AH112" s="1047"/>
      <c r="AI112" s="1047"/>
      <c r="AJ112" s="1047"/>
      <c r="AK112" s="1047"/>
      <c r="AL112" s="1047"/>
      <c r="AM112" s="1047"/>
      <c r="AN112" s="1047"/>
      <c r="AO112" s="1047"/>
      <c r="AP112" s="1047"/>
      <c r="AQ112" s="1047"/>
      <c r="AR112" s="1255">
        <v>0</v>
      </c>
    </row>
    <row r="113" spans="1:44" s="1609" customFormat="1" ht="17.25" hidden="1" customHeight="1">
      <c r="A113" s="255"/>
      <c r="C113" s="254"/>
      <c r="D113" s="2278"/>
      <c r="E113" s="2292"/>
      <c r="F113" s="2304"/>
      <c r="G113" s="2292"/>
      <c r="H113" s="2294"/>
      <c r="I113" s="2296"/>
      <c r="J113" s="2299"/>
      <c r="K113" s="2290"/>
      <c r="L113" s="1085"/>
      <c r="M113" s="1085"/>
      <c r="N113" s="1085"/>
      <c r="O113" s="1085"/>
      <c r="P113" s="1085"/>
      <c r="Q113" s="1085"/>
      <c r="R113" s="1085"/>
      <c r="S113" s="263"/>
      <c r="T113" s="263"/>
      <c r="U113" s="263"/>
      <c r="V113" s="263"/>
      <c r="W113" s="1086"/>
      <c r="X113" s="1047"/>
      <c r="Y113" s="1047"/>
      <c r="Z113" s="1047"/>
      <c r="AA113" s="1047"/>
      <c r="AB113" s="1047"/>
      <c r="AC113" s="1047"/>
      <c r="AD113" s="1047"/>
      <c r="AE113" s="1047"/>
      <c r="AF113" s="1047"/>
      <c r="AG113" s="1047"/>
      <c r="AH113" s="1047"/>
      <c r="AI113" s="1047"/>
      <c r="AJ113" s="1047"/>
      <c r="AK113" s="1047"/>
      <c r="AL113" s="1047"/>
      <c r="AM113" s="1047"/>
      <c r="AN113" s="1047"/>
      <c r="AO113" s="1047"/>
      <c r="AP113" s="1047"/>
      <c r="AQ113" s="1047"/>
      <c r="AR113" s="1255">
        <v>0</v>
      </c>
    </row>
    <row r="114" spans="1:44" s="1609" customFormat="1" ht="17.25" hidden="1" customHeight="1">
      <c r="A114" s="255"/>
      <c r="C114" s="254"/>
      <c r="D114" s="2278"/>
      <c r="E114" s="2292"/>
      <c r="F114" s="2305"/>
      <c r="G114" s="2292"/>
      <c r="H114" s="1087"/>
      <c r="I114" s="1088"/>
      <c r="J114" s="1088"/>
      <c r="K114" s="1088"/>
      <c r="L114" s="1088"/>
      <c r="M114" s="1088"/>
      <c r="N114" s="1088"/>
      <c r="O114" s="1088"/>
      <c r="P114" s="1088"/>
      <c r="Q114" s="1088"/>
      <c r="R114" s="1088"/>
      <c r="S114" s="1089"/>
      <c r="T114" s="1089"/>
      <c r="U114" s="1089"/>
      <c r="V114" s="1089"/>
      <c r="W114" s="1090"/>
      <c r="X114" s="1047"/>
      <c r="Y114" s="1047"/>
      <c r="Z114" s="1047"/>
      <c r="AA114" s="1047"/>
      <c r="AB114" s="1047"/>
      <c r="AC114" s="1047"/>
      <c r="AD114" s="1047"/>
      <c r="AE114" s="1047"/>
      <c r="AF114" s="1047"/>
      <c r="AG114" s="1047"/>
      <c r="AH114" s="1047"/>
      <c r="AI114" s="1047"/>
      <c r="AJ114" s="1047"/>
      <c r="AK114" s="1047"/>
      <c r="AL114" s="1047"/>
      <c r="AM114" s="1047"/>
      <c r="AN114" s="1047"/>
      <c r="AO114" s="1047"/>
      <c r="AP114" s="1047"/>
      <c r="AQ114" s="1047"/>
      <c r="AR114" s="1255">
        <v>0</v>
      </c>
    </row>
    <row r="115" spans="1:44" s="1609" customFormat="1" ht="17.25" hidden="1" customHeight="1">
      <c r="A115" s="255"/>
      <c r="C115" s="143"/>
      <c r="D115" s="2302">
        <v>3</v>
      </c>
      <c r="E115" s="2291" t="s">
        <v>343</v>
      </c>
      <c r="F115" s="2303" t="s">
        <v>6</v>
      </c>
      <c r="G115" s="2291"/>
      <c r="H115" s="2293"/>
      <c r="I115" s="2295"/>
      <c r="J115" s="2297"/>
      <c r="K115" s="2289"/>
      <c r="L115" s="2289"/>
      <c r="M115" s="2289"/>
      <c r="N115" s="2300"/>
      <c r="O115" s="2289"/>
      <c r="P115" s="2289"/>
      <c r="Q115" s="2289"/>
      <c r="R115" s="2287"/>
      <c r="S115" s="2289"/>
      <c r="T115" s="1693"/>
      <c r="U115" s="1693"/>
      <c r="V115" s="1695"/>
      <c r="W115" s="1084"/>
      <c r="X115" s="1055"/>
      <c r="Y115" s="1055"/>
      <c r="Z115" s="1055"/>
      <c r="AA115" s="1055"/>
      <c r="AB115" s="1055"/>
      <c r="AC115" s="1055" t="s">
        <v>344</v>
      </c>
      <c r="AD115" s="1055" t="s">
        <v>345</v>
      </c>
      <c r="AE115" s="1055" t="s">
        <v>346</v>
      </c>
      <c r="AF115" s="1055" t="s">
        <v>347</v>
      </c>
      <c r="AG115" s="1055"/>
      <c r="AH115" s="1055" t="str">
        <f>IF($E$115=0,"",$E$115)</f>
        <v>Тариф на подключение (технологическое присоединение) к централизованной системе горячего водоснабжения</v>
      </c>
      <c r="AI115" s="1055" t="str">
        <f>IF($G$115=0,"",$G$115)</f>
        <v/>
      </c>
      <c r="AJ115" s="1055" t="str">
        <f>IF($J$115=0,"",$J$115)</f>
        <v/>
      </c>
      <c r="AK115" s="1055" t="str">
        <f>IF($K$115="нет","без дифференциации",IF($N$115=0,"",$N$115))</f>
        <v/>
      </c>
      <c r="AL115" s="1055" t="str">
        <f>IF($O$115="нет","без дифференциации",IF($R$115=0,"",$R$115))</f>
        <v/>
      </c>
      <c r="AM115" s="1055" t="str">
        <f>IF($S$115="нет","без дифференциации",IF($V$115=0,"",$V$115))</f>
        <v/>
      </c>
      <c r="AN115" s="1531">
        <f>$I$115</f>
        <v>0</v>
      </c>
      <c r="AO115" s="1055" t="str">
        <f>$I$115&amp;"."&amp;$M$115</f>
        <v>.</v>
      </c>
      <c r="AP115" s="1054" t="str">
        <f>$I$115&amp;"."&amp;$M$115&amp;"."&amp;$Q$115</f>
        <v>..</v>
      </c>
      <c r="AQ115" s="1054" t="str">
        <f>$I$115&amp;"."&amp;$M$115&amp;"."&amp;$Q$115&amp;"."&amp;$U$115</f>
        <v>...</v>
      </c>
      <c r="AR115" s="1255">
        <v>0</v>
      </c>
    </row>
    <row r="116" spans="1:44" s="1609" customFormat="1" ht="17.25" hidden="1" customHeight="1">
      <c r="A116" s="255"/>
      <c r="C116" s="254"/>
      <c r="D116" s="2302"/>
      <c r="E116" s="2291"/>
      <c r="F116" s="2304"/>
      <c r="G116" s="2291"/>
      <c r="H116" s="2294"/>
      <c r="I116" s="2296"/>
      <c r="J116" s="2298"/>
      <c r="K116" s="2290"/>
      <c r="L116" s="2290"/>
      <c r="M116" s="2290"/>
      <c r="N116" s="2301"/>
      <c r="O116" s="2290"/>
      <c r="P116" s="2290"/>
      <c r="Q116" s="2290"/>
      <c r="R116" s="2288"/>
      <c r="S116" s="2290"/>
      <c r="T116" s="1698"/>
      <c r="U116" s="1698"/>
      <c r="V116" s="1698"/>
      <c r="W116" s="1699"/>
      <c r="X116" s="1054"/>
      <c r="Y116" s="1054"/>
      <c r="Z116" s="1054"/>
      <c r="AA116" s="1054"/>
      <c r="AB116" s="1054"/>
      <c r="AC116" s="1054"/>
      <c r="AD116" s="1054"/>
      <c r="AE116" s="1054"/>
      <c r="AF116" s="1054"/>
      <c r="AG116" s="1054"/>
      <c r="AH116" s="1054"/>
      <c r="AI116" s="1054"/>
      <c r="AJ116" s="1054"/>
      <c r="AK116" s="1054"/>
      <c r="AL116" s="1054"/>
      <c r="AM116" s="1054"/>
      <c r="AN116" s="1054"/>
      <c r="AO116" s="1054"/>
      <c r="AP116" s="1054"/>
      <c r="AQ116" s="1054"/>
      <c r="AR116" s="1255">
        <v>0</v>
      </c>
    </row>
    <row r="117" spans="1:44" s="1609" customFormat="1" ht="17.25" hidden="1" customHeight="1">
      <c r="A117" s="255"/>
      <c r="C117" s="254"/>
      <c r="D117" s="2278"/>
      <c r="E117" s="2292"/>
      <c r="F117" s="2304"/>
      <c r="G117" s="2292"/>
      <c r="H117" s="2294"/>
      <c r="I117" s="2296"/>
      <c r="J117" s="2299"/>
      <c r="K117" s="2290"/>
      <c r="L117" s="2290"/>
      <c r="M117" s="2290"/>
      <c r="N117" s="2288"/>
      <c r="O117" s="2290"/>
      <c r="P117" s="1694"/>
      <c r="Q117" s="1698"/>
      <c r="R117" s="1698"/>
      <c r="S117" s="263"/>
      <c r="T117" s="263"/>
      <c r="U117" s="263"/>
      <c r="V117" s="263"/>
      <c r="W117" s="1699"/>
      <c r="X117" s="1054"/>
      <c r="Y117" s="1054"/>
      <c r="Z117" s="1054"/>
      <c r="AA117" s="1054"/>
      <c r="AB117" s="1054"/>
      <c r="AC117" s="1054"/>
      <c r="AD117" s="1054"/>
      <c r="AE117" s="1054"/>
      <c r="AF117" s="1054"/>
      <c r="AG117" s="1054"/>
      <c r="AH117" s="1054"/>
      <c r="AI117" s="1054"/>
      <c r="AJ117" s="1054"/>
      <c r="AK117" s="1054"/>
      <c r="AL117" s="1054"/>
      <c r="AM117" s="1054"/>
      <c r="AN117" s="1054"/>
      <c r="AO117" s="1054"/>
      <c r="AP117" s="1054"/>
      <c r="AQ117" s="1054"/>
      <c r="AR117" s="1255">
        <v>0</v>
      </c>
    </row>
    <row r="118" spans="1:44" s="1609" customFormat="1" ht="17.25" hidden="1" customHeight="1">
      <c r="A118" s="255"/>
      <c r="C118" s="254"/>
      <c r="D118" s="2278"/>
      <c r="E118" s="2292"/>
      <c r="F118" s="2304"/>
      <c r="G118" s="2292"/>
      <c r="H118" s="2294"/>
      <c r="I118" s="2296"/>
      <c r="J118" s="2299"/>
      <c r="K118" s="2290"/>
      <c r="L118" s="1698"/>
      <c r="M118" s="1698"/>
      <c r="N118" s="1698"/>
      <c r="O118" s="1698"/>
      <c r="P118" s="1698"/>
      <c r="Q118" s="1698"/>
      <c r="R118" s="1698"/>
      <c r="S118" s="263"/>
      <c r="T118" s="263"/>
      <c r="U118" s="263"/>
      <c r="V118" s="263"/>
      <c r="W118" s="1699"/>
      <c r="X118" s="1054"/>
      <c r="Y118" s="1054"/>
      <c r="Z118" s="1054"/>
      <c r="AA118" s="1054"/>
      <c r="AB118" s="1054"/>
      <c r="AC118" s="1054"/>
      <c r="AD118" s="1054"/>
      <c r="AE118" s="1054"/>
      <c r="AF118" s="1054"/>
      <c r="AG118" s="1054"/>
      <c r="AH118" s="1054"/>
      <c r="AI118" s="1054"/>
      <c r="AJ118" s="1054"/>
      <c r="AK118" s="1054"/>
      <c r="AL118" s="1054"/>
      <c r="AM118" s="1054"/>
      <c r="AN118" s="1054"/>
      <c r="AO118" s="1054"/>
      <c r="AP118" s="1054"/>
      <c r="AQ118" s="1054"/>
      <c r="AR118" s="1255">
        <v>0</v>
      </c>
    </row>
    <row r="119" spans="1:44" s="1609" customFormat="1" ht="17.25" hidden="1" customHeight="1">
      <c r="A119" s="255"/>
      <c r="C119" s="254"/>
      <c r="D119" s="2278"/>
      <c r="E119" s="2292"/>
      <c r="F119" s="2305"/>
      <c r="G119" s="2292"/>
      <c r="H119" s="1087"/>
      <c r="I119" s="1696"/>
      <c r="J119" s="1696"/>
      <c r="K119" s="1696"/>
      <c r="L119" s="1696"/>
      <c r="M119" s="1696"/>
      <c r="N119" s="1696"/>
      <c r="O119" s="1696"/>
      <c r="P119" s="1696"/>
      <c r="Q119" s="1696"/>
      <c r="R119" s="1696"/>
      <c r="S119" s="1089"/>
      <c r="T119" s="1089"/>
      <c r="U119" s="1089"/>
      <c r="V119" s="1089"/>
      <c r="W119" s="1697"/>
      <c r="X119" s="1054"/>
      <c r="Y119" s="1054"/>
      <c r="Z119" s="1054"/>
      <c r="AA119" s="1054"/>
      <c r="AB119" s="1054"/>
      <c r="AC119" s="1054"/>
      <c r="AD119" s="1054"/>
      <c r="AE119" s="1054"/>
      <c r="AF119" s="1054"/>
      <c r="AG119" s="1054"/>
      <c r="AH119" s="1054"/>
      <c r="AI119" s="1054"/>
      <c r="AJ119" s="1054"/>
      <c r="AK119" s="1054"/>
      <c r="AL119" s="1054"/>
      <c r="AM119" s="1054"/>
      <c r="AN119" s="1054"/>
      <c r="AO119" s="1054"/>
      <c r="AP119" s="1054"/>
      <c r="AQ119" s="1054"/>
      <c r="AR119" s="1255">
        <v>0</v>
      </c>
    </row>
    <row r="120" spans="1:44" s="1609" customFormat="1" ht="11.25" hidden="1" customHeight="1">
      <c r="A120" s="211"/>
      <c r="B120" s="211"/>
      <c r="Y120" s="1047"/>
      <c r="Z120" s="1047"/>
      <c r="AA120" s="1047"/>
      <c r="AB120" s="1047"/>
      <c r="AC120" s="1047"/>
      <c r="AD120" s="1047"/>
      <c r="AE120" s="1047"/>
      <c r="AF120" s="1047"/>
      <c r="AG120" s="1047"/>
      <c r="AH120" s="1047"/>
      <c r="AI120" s="1047"/>
      <c r="AJ120" s="1047"/>
      <c r="AK120" s="1047"/>
      <c r="AL120" s="1047"/>
      <c r="AM120" s="1047"/>
      <c r="AN120" s="1047"/>
      <c r="AO120" s="1047"/>
      <c r="AP120" s="1047"/>
      <c r="AQ120" s="1047"/>
      <c r="AR120" s="1255">
        <v>0</v>
      </c>
    </row>
    <row r="121" spans="1:44" s="1609" customFormat="1" ht="17.25" hidden="1" customHeight="1">
      <c r="A121" s="255"/>
      <c r="C121" s="143"/>
      <c r="D121" s="2302">
        <v>1</v>
      </c>
      <c r="E121" s="2291" t="s">
        <v>348</v>
      </c>
      <c r="F121" s="2303" t="s">
        <v>6</v>
      </c>
      <c r="G121" s="2291"/>
      <c r="H121" s="2293"/>
      <c r="I121" s="2295"/>
      <c r="J121" s="2297"/>
      <c r="K121" s="2289"/>
      <c r="L121" s="2289"/>
      <c r="M121" s="2289"/>
      <c r="N121" s="2300"/>
      <c r="O121" s="2289"/>
      <c r="P121" s="2289"/>
      <c r="Q121" s="2289"/>
      <c r="R121" s="2287"/>
      <c r="S121" s="2289"/>
      <c r="T121" s="1258"/>
      <c r="U121" s="1258"/>
      <c r="V121" s="1260"/>
      <c r="W121" s="1084"/>
      <c r="Y121" s="1055"/>
      <c r="Z121" s="1055"/>
      <c r="AA121" s="1055"/>
      <c r="AB121" s="1055"/>
      <c r="AC121" s="1055" t="s">
        <v>349</v>
      </c>
      <c r="AD121" s="1055" t="s">
        <v>350</v>
      </c>
      <c r="AE121" s="1055" t="s">
        <v>351</v>
      </c>
      <c r="AF121" s="1055" t="s">
        <v>352</v>
      </c>
      <c r="AG121" s="1055"/>
      <c r="AH121" s="1055" t="str">
        <f>IF($E$121=0,"",$E$121)</f>
        <v>Тариф на водоотведение</v>
      </c>
      <c r="AI121" s="1055" t="str">
        <f>IF($G$121=0,"",$G$121)</f>
        <v/>
      </c>
      <c r="AJ121" s="1055" t="str">
        <f>IF($J$121=0,"",$J$121)</f>
        <v/>
      </c>
      <c r="AK121" s="1055" t="str">
        <f>IF($K$121="нет","без дифференциации",IF($N$121=0,"",$N$121))</f>
        <v/>
      </c>
      <c r="AL121" s="1055" t="str">
        <f>IF($O$121="нет","без дифференциации",IF($R$121=0,"",$R$121))</f>
        <v/>
      </c>
      <c r="AM121" s="1055" t="str">
        <f>IF($S$121="нет","без дифференциации",IF($V$121=0,"",$V$121))</f>
        <v/>
      </c>
      <c r="AN121" s="1055">
        <f>$I$121</f>
        <v>0</v>
      </c>
      <c r="AO121" s="1055" t="str">
        <f>$I$121&amp;"."&amp;$M$121</f>
        <v>.</v>
      </c>
      <c r="AP121" s="1055" t="str">
        <f>$I$121&amp;"."&amp;$M$121&amp;"."&amp;$Q$121</f>
        <v>..</v>
      </c>
      <c r="AQ121" s="1055" t="str">
        <f>$I$121&amp;"."&amp;$M$121&amp;"."&amp;$Q$121&amp;"."&amp;$U$121</f>
        <v>...</v>
      </c>
      <c r="AR121" s="1255">
        <v>0</v>
      </c>
    </row>
    <row r="122" spans="1:44" s="1609" customFormat="1" ht="17.25" hidden="1" customHeight="1">
      <c r="A122" s="255"/>
      <c r="C122" s="254"/>
      <c r="D122" s="2302"/>
      <c r="E122" s="2291"/>
      <c r="F122" s="2304"/>
      <c r="G122" s="2291"/>
      <c r="H122" s="2294"/>
      <c r="I122" s="2296"/>
      <c r="J122" s="2298"/>
      <c r="K122" s="2290"/>
      <c r="L122" s="2290"/>
      <c r="M122" s="2290"/>
      <c r="N122" s="2301"/>
      <c r="O122" s="2290"/>
      <c r="P122" s="2290"/>
      <c r="Q122" s="2290"/>
      <c r="R122" s="2288"/>
      <c r="S122" s="2290"/>
      <c r="T122" s="1085"/>
      <c r="U122" s="1085"/>
      <c r="V122" s="1085"/>
      <c r="W122" s="1086"/>
      <c r="Y122" s="1047"/>
      <c r="Z122" s="1047"/>
      <c r="AA122" s="1047"/>
      <c r="AB122" s="1047"/>
      <c r="AC122" s="1047"/>
      <c r="AD122" s="1047"/>
      <c r="AE122" s="1047"/>
      <c r="AF122" s="1047"/>
      <c r="AG122" s="1047"/>
      <c r="AH122" s="1047"/>
      <c r="AI122" s="1047"/>
      <c r="AJ122" s="1047"/>
      <c r="AK122" s="1047"/>
      <c r="AL122" s="1047"/>
      <c r="AM122" s="1047"/>
      <c r="AN122" s="1047"/>
      <c r="AO122" s="1047"/>
      <c r="AP122" s="1047"/>
      <c r="AQ122" s="1047"/>
      <c r="AR122" s="1255">
        <v>0</v>
      </c>
    </row>
    <row r="123" spans="1:44" s="1609" customFormat="1" ht="17.25" hidden="1" customHeight="1">
      <c r="A123" s="255"/>
      <c r="C123" s="143"/>
      <c r="D123" s="2302"/>
      <c r="E123" s="2291"/>
      <c r="F123" s="2304"/>
      <c r="G123" s="2291"/>
      <c r="H123" s="2294"/>
      <c r="I123" s="2296"/>
      <c r="J123" s="2299"/>
      <c r="K123" s="2290"/>
      <c r="L123" s="2290"/>
      <c r="M123" s="2290"/>
      <c r="N123" s="2288"/>
      <c r="O123" s="2290"/>
      <c r="P123" s="1259"/>
      <c r="Q123" s="1085"/>
      <c r="R123" s="1085"/>
      <c r="S123" s="263"/>
      <c r="T123" s="263"/>
      <c r="U123" s="263"/>
      <c r="V123" s="263"/>
      <c r="W123" s="1086"/>
      <c r="Y123" s="1055"/>
      <c r="Z123" s="1055"/>
      <c r="AA123" s="1055"/>
      <c r="AB123" s="1055"/>
      <c r="AC123" s="1055"/>
      <c r="AD123" s="1055"/>
      <c r="AE123" s="1055"/>
      <c r="AF123" s="1055"/>
      <c r="AG123" s="1055"/>
      <c r="AH123" s="1055"/>
      <c r="AI123" s="1055"/>
      <c r="AJ123" s="1055"/>
      <c r="AK123" s="1055"/>
      <c r="AL123" s="1055"/>
      <c r="AM123" s="1055"/>
      <c r="AN123" s="1055"/>
      <c r="AO123" s="1055"/>
      <c r="AP123" s="1055"/>
      <c r="AQ123" s="1055"/>
      <c r="AR123" s="1255">
        <v>0</v>
      </c>
    </row>
    <row r="124" spans="1:44" s="1609" customFormat="1" ht="17.25" hidden="1" customHeight="1">
      <c r="A124" s="255"/>
      <c r="C124" s="254"/>
      <c r="D124" s="2302"/>
      <c r="E124" s="2291"/>
      <c r="F124" s="2304"/>
      <c r="G124" s="2291"/>
      <c r="H124" s="2294"/>
      <c r="I124" s="2296"/>
      <c r="J124" s="2299"/>
      <c r="K124" s="2290"/>
      <c r="L124" s="1085"/>
      <c r="M124" s="1085"/>
      <c r="N124" s="1085"/>
      <c r="O124" s="1085"/>
      <c r="P124" s="1085"/>
      <c r="Q124" s="1085"/>
      <c r="R124" s="1085"/>
      <c r="S124" s="263"/>
      <c r="T124" s="263"/>
      <c r="U124" s="263"/>
      <c r="V124" s="263"/>
      <c r="W124" s="1086"/>
      <c r="Y124" s="1047"/>
      <c r="Z124" s="1047"/>
      <c r="AA124" s="1047"/>
      <c r="AB124" s="1047"/>
      <c r="AC124" s="1047"/>
      <c r="AD124" s="1047"/>
      <c r="AE124" s="1047"/>
      <c r="AF124" s="1047"/>
      <c r="AG124" s="1047"/>
      <c r="AH124" s="1047"/>
      <c r="AI124" s="1047"/>
      <c r="AJ124" s="1047"/>
      <c r="AK124" s="1047"/>
      <c r="AL124" s="1047"/>
      <c r="AM124" s="1047"/>
      <c r="AN124" s="1047"/>
      <c r="AO124" s="1047"/>
      <c r="AP124" s="1047"/>
      <c r="AQ124" s="1047"/>
      <c r="AR124" s="1255">
        <v>0</v>
      </c>
    </row>
    <row r="125" spans="1:44" s="1609" customFormat="1" ht="17.25" hidden="1" customHeight="1">
      <c r="A125" s="255"/>
      <c r="C125" s="254"/>
      <c r="D125" s="2278"/>
      <c r="E125" s="2292"/>
      <c r="F125" s="2305"/>
      <c r="G125" s="2292"/>
      <c r="H125" s="1087"/>
      <c r="I125" s="1088"/>
      <c r="J125" s="1088"/>
      <c r="K125" s="1088"/>
      <c r="L125" s="1088"/>
      <c r="M125" s="1088"/>
      <c r="N125" s="1088"/>
      <c r="O125" s="1088"/>
      <c r="P125" s="1088"/>
      <c r="Q125" s="1088"/>
      <c r="R125" s="1088"/>
      <c r="S125" s="1089"/>
      <c r="T125" s="1089"/>
      <c r="U125" s="1089"/>
      <c r="V125" s="1089"/>
      <c r="W125" s="1090"/>
      <c r="Y125" s="1047"/>
      <c r="Z125" s="1047"/>
      <c r="AA125" s="1047"/>
      <c r="AB125" s="1047"/>
      <c r="AC125" s="1047"/>
      <c r="AD125" s="1047"/>
      <c r="AE125" s="1047"/>
      <c r="AF125" s="1047"/>
      <c r="AG125" s="1047"/>
      <c r="AH125" s="1047"/>
      <c r="AI125" s="1047"/>
      <c r="AJ125" s="1047"/>
      <c r="AK125" s="1047"/>
      <c r="AL125" s="1047"/>
      <c r="AM125" s="1047"/>
      <c r="AN125" s="1047"/>
      <c r="AO125" s="1047"/>
      <c r="AP125" s="1047"/>
      <c r="AQ125" s="1047"/>
      <c r="AR125" s="1255">
        <v>0</v>
      </c>
    </row>
    <row r="126" spans="1:44" s="1609" customFormat="1" ht="17.25" hidden="1" customHeight="1">
      <c r="A126" s="255"/>
      <c r="C126" s="143"/>
      <c r="D126" s="2302">
        <v>2</v>
      </c>
      <c r="E126" s="2291" t="s">
        <v>353</v>
      </c>
      <c r="F126" s="2303" t="s">
        <v>6</v>
      </c>
      <c r="G126" s="2291"/>
      <c r="H126" s="2293"/>
      <c r="I126" s="2295"/>
      <c r="J126" s="2297"/>
      <c r="K126" s="2289"/>
      <c r="L126" s="2289"/>
      <c r="M126" s="2289"/>
      <c r="N126" s="2300"/>
      <c r="O126" s="2289"/>
      <c r="P126" s="2289"/>
      <c r="Q126" s="2289"/>
      <c r="R126" s="2287"/>
      <c r="S126" s="2289"/>
      <c r="T126" s="1258"/>
      <c r="U126" s="1258"/>
      <c r="V126" s="1260"/>
      <c r="W126" s="1084"/>
      <c r="X126" s="1055"/>
      <c r="Y126" s="1055"/>
      <c r="Z126" s="1055"/>
      <c r="AA126" s="1055"/>
      <c r="AB126" s="1055"/>
      <c r="AC126" s="1055" t="s">
        <v>354</v>
      </c>
      <c r="AD126" s="1055" t="s">
        <v>355</v>
      </c>
      <c r="AE126" s="1055" t="s">
        <v>356</v>
      </c>
      <c r="AF126" s="1055" t="s">
        <v>357</v>
      </c>
      <c r="AG126" s="1055"/>
      <c r="AH126" s="1055" t="str">
        <f>IF($E$126=0,"",$E$126)</f>
        <v>Тариф на транспортировку сточных вод</v>
      </c>
      <c r="AI126" s="1055" t="str">
        <f>IF($G$126=0,"",$G$126)</f>
        <v/>
      </c>
      <c r="AJ126" s="1055" t="str">
        <f>IF($J$126=0,"",$J$126)</f>
        <v/>
      </c>
      <c r="AK126" s="1055" t="str">
        <f>IF($K$126="нет","без дифференциации",IF($N$126=0,"",$N$126))</f>
        <v/>
      </c>
      <c r="AL126" s="1055" t="str">
        <f>IF($O$126="нет","без дифференциации",IF($R$126=0,"",$R$126))</f>
        <v/>
      </c>
      <c r="AM126" s="1055" t="str">
        <f>IF($S$126="нет","без дифференциации",IF($V$126=0,"",$V$126))</f>
        <v/>
      </c>
      <c r="AN126" s="1531">
        <f>$I$126</f>
        <v>0</v>
      </c>
      <c r="AO126" s="1055" t="str">
        <f>$I$126&amp;"."&amp;$M$126</f>
        <v>.</v>
      </c>
      <c r="AP126" s="1047" t="str">
        <f>$I$126&amp;"."&amp;$M$126&amp;"."&amp;$Q$126</f>
        <v>..</v>
      </c>
      <c r="AQ126" s="1047" t="str">
        <f>$I$126&amp;"."&amp;$M$126&amp;"."&amp;$Q$126&amp;"."&amp;$U$126</f>
        <v>...</v>
      </c>
      <c r="AR126" s="1255">
        <v>0</v>
      </c>
    </row>
    <row r="127" spans="1:44" s="1609" customFormat="1" ht="17.25" hidden="1" customHeight="1">
      <c r="A127" s="255"/>
      <c r="C127" s="254"/>
      <c r="D127" s="2302"/>
      <c r="E127" s="2291"/>
      <c r="F127" s="2304"/>
      <c r="G127" s="2291"/>
      <c r="H127" s="2294"/>
      <c r="I127" s="2296"/>
      <c r="J127" s="2298"/>
      <c r="K127" s="2290"/>
      <c r="L127" s="2290"/>
      <c r="M127" s="2290"/>
      <c r="N127" s="2301"/>
      <c r="O127" s="2290"/>
      <c r="P127" s="2290"/>
      <c r="Q127" s="2290"/>
      <c r="R127" s="2288"/>
      <c r="S127" s="2290"/>
      <c r="T127" s="1085"/>
      <c r="U127" s="1085"/>
      <c r="V127" s="1085"/>
      <c r="W127" s="1086"/>
      <c r="X127" s="1047"/>
      <c r="Y127" s="1047"/>
      <c r="Z127" s="1047"/>
      <c r="AA127" s="1047"/>
      <c r="AB127" s="1047"/>
      <c r="AC127" s="1047"/>
      <c r="AD127" s="1047"/>
      <c r="AE127" s="1047"/>
      <c r="AF127" s="1047"/>
      <c r="AG127" s="1047"/>
      <c r="AH127" s="1047"/>
      <c r="AI127" s="1047"/>
      <c r="AJ127" s="1047"/>
      <c r="AK127" s="1047"/>
      <c r="AL127" s="1047"/>
      <c r="AM127" s="1047"/>
      <c r="AN127" s="1047"/>
      <c r="AO127" s="1047"/>
      <c r="AP127" s="1047"/>
      <c r="AQ127" s="1047"/>
      <c r="AR127" s="1255">
        <v>0</v>
      </c>
    </row>
    <row r="128" spans="1:44" s="1609" customFormat="1" ht="17.25" hidden="1" customHeight="1">
      <c r="A128" s="255"/>
      <c r="C128" s="254"/>
      <c r="D128" s="2278"/>
      <c r="E128" s="2292"/>
      <c r="F128" s="2304"/>
      <c r="G128" s="2292"/>
      <c r="H128" s="2294"/>
      <c r="I128" s="2296"/>
      <c r="J128" s="2299"/>
      <c r="K128" s="2290"/>
      <c r="L128" s="2290"/>
      <c r="M128" s="2290"/>
      <c r="N128" s="2288"/>
      <c r="O128" s="2290"/>
      <c r="P128" s="1259"/>
      <c r="Q128" s="1085"/>
      <c r="R128" s="1085"/>
      <c r="S128" s="263"/>
      <c r="T128" s="263"/>
      <c r="U128" s="263"/>
      <c r="V128" s="263"/>
      <c r="W128" s="1086"/>
      <c r="X128" s="1047"/>
      <c r="Y128" s="1047"/>
      <c r="Z128" s="1047"/>
      <c r="AA128" s="1047"/>
      <c r="AB128" s="1047"/>
      <c r="AC128" s="1047"/>
      <c r="AD128" s="1047"/>
      <c r="AE128" s="1047"/>
      <c r="AF128" s="1047"/>
      <c r="AG128" s="1047"/>
      <c r="AH128" s="1047"/>
      <c r="AI128" s="1047"/>
      <c r="AJ128" s="1047"/>
      <c r="AK128" s="1047"/>
      <c r="AL128" s="1047"/>
      <c r="AM128" s="1047"/>
      <c r="AN128" s="1047"/>
      <c r="AO128" s="1047"/>
      <c r="AP128" s="1047"/>
      <c r="AQ128" s="1047"/>
      <c r="AR128" s="1255">
        <v>0</v>
      </c>
    </row>
    <row r="129" spans="1:44" s="1609" customFormat="1" ht="17.25" hidden="1" customHeight="1">
      <c r="A129" s="255"/>
      <c r="C129" s="254"/>
      <c r="D129" s="2278"/>
      <c r="E129" s="2292"/>
      <c r="F129" s="2304"/>
      <c r="G129" s="2292"/>
      <c r="H129" s="2294"/>
      <c r="I129" s="2296"/>
      <c r="J129" s="2299"/>
      <c r="K129" s="2290"/>
      <c r="L129" s="1085"/>
      <c r="M129" s="1085"/>
      <c r="N129" s="1085"/>
      <c r="O129" s="1085"/>
      <c r="P129" s="1085"/>
      <c r="Q129" s="1085"/>
      <c r="R129" s="1085"/>
      <c r="S129" s="263"/>
      <c r="T129" s="263"/>
      <c r="U129" s="263"/>
      <c r="V129" s="263"/>
      <c r="W129" s="1086"/>
      <c r="X129" s="1047"/>
      <c r="Y129" s="1047"/>
      <c r="Z129" s="1047"/>
      <c r="AA129" s="1047"/>
      <c r="AB129" s="1047"/>
      <c r="AC129" s="1047"/>
      <c r="AD129" s="1047"/>
      <c r="AE129" s="1047"/>
      <c r="AF129" s="1047"/>
      <c r="AG129" s="1047"/>
      <c r="AH129" s="1047"/>
      <c r="AI129" s="1047"/>
      <c r="AJ129" s="1047"/>
      <c r="AK129" s="1047"/>
      <c r="AL129" s="1047"/>
      <c r="AM129" s="1047"/>
      <c r="AN129" s="1047"/>
      <c r="AO129" s="1047"/>
      <c r="AP129" s="1047"/>
      <c r="AQ129" s="1047"/>
      <c r="AR129" s="1255">
        <v>0</v>
      </c>
    </row>
    <row r="130" spans="1:44" s="1609" customFormat="1" ht="17.25" hidden="1" customHeight="1">
      <c r="A130" s="255"/>
      <c r="C130" s="254"/>
      <c r="D130" s="2278"/>
      <c r="E130" s="2292"/>
      <c r="F130" s="2305"/>
      <c r="G130" s="2292"/>
      <c r="H130" s="1087"/>
      <c r="I130" s="1088"/>
      <c r="J130" s="1088"/>
      <c r="K130" s="1088"/>
      <c r="L130" s="1088"/>
      <c r="M130" s="1088"/>
      <c r="N130" s="1088"/>
      <c r="O130" s="1088"/>
      <c r="P130" s="1088"/>
      <c r="Q130" s="1088"/>
      <c r="R130" s="1088"/>
      <c r="S130" s="1089"/>
      <c r="T130" s="1089"/>
      <c r="U130" s="1089"/>
      <c r="V130" s="1089"/>
      <c r="W130" s="1090"/>
      <c r="X130" s="1047"/>
      <c r="Y130" s="1047"/>
      <c r="Z130" s="1047"/>
      <c r="AA130" s="1047"/>
      <c r="AB130" s="1047"/>
      <c r="AC130" s="1047"/>
      <c r="AD130" s="1047"/>
      <c r="AE130" s="1047"/>
      <c r="AF130" s="1047"/>
      <c r="AG130" s="1047"/>
      <c r="AH130" s="1047"/>
      <c r="AI130" s="1047"/>
      <c r="AJ130" s="1047"/>
      <c r="AK130" s="1047"/>
      <c r="AL130" s="1047"/>
      <c r="AM130" s="1047"/>
      <c r="AN130" s="1047"/>
      <c r="AO130" s="1047"/>
      <c r="AP130" s="1047"/>
      <c r="AQ130" s="1047"/>
      <c r="AR130" s="1255">
        <v>0</v>
      </c>
    </row>
    <row r="131" spans="1:44" s="1609" customFormat="1" ht="17.25" hidden="1" customHeight="1">
      <c r="A131" s="255"/>
      <c r="C131" s="143"/>
      <c r="D131" s="2302">
        <v>3</v>
      </c>
      <c r="E131" s="2291" t="s">
        <v>358</v>
      </c>
      <c r="F131" s="2303" t="s">
        <v>6</v>
      </c>
      <c r="G131" s="2291"/>
      <c r="H131" s="2293"/>
      <c r="I131" s="2295"/>
      <c r="J131" s="2297"/>
      <c r="K131" s="2289"/>
      <c r="L131" s="2289"/>
      <c r="M131" s="2289"/>
      <c r="N131" s="2300"/>
      <c r="O131" s="2289"/>
      <c r="P131" s="2289"/>
      <c r="Q131" s="2289"/>
      <c r="R131" s="2287"/>
      <c r="S131" s="2289"/>
      <c r="T131" s="1693"/>
      <c r="U131" s="1693"/>
      <c r="V131" s="1695"/>
      <c r="W131" s="1084"/>
      <c r="X131" s="1055"/>
      <c r="Y131" s="1055"/>
      <c r="Z131" s="1055"/>
      <c r="AA131" s="1055"/>
      <c r="AB131" s="1055"/>
      <c r="AC131" s="1055" t="s">
        <v>359</v>
      </c>
      <c r="AD131" s="1055" t="s">
        <v>360</v>
      </c>
      <c r="AE131" s="1055" t="s">
        <v>361</v>
      </c>
      <c r="AF131" s="1055" t="s">
        <v>362</v>
      </c>
      <c r="AG131" s="1055"/>
      <c r="AH131" s="1055" t="str">
        <f>IF($E$131=0,"",$E$131)</f>
        <v>Тариф на подключение (технологическое присоединение) к централизованной системе водоотведения</v>
      </c>
      <c r="AI131" s="1055" t="str">
        <f>IF($G$131=0,"",$G$131)</f>
        <v/>
      </c>
      <c r="AJ131" s="1055" t="str">
        <f>IF($J$131=0,"",$J$131)</f>
        <v/>
      </c>
      <c r="AK131" s="1055" t="str">
        <f>IF($K$131="нет","без дифференциации",IF($N$131=0,"",$N$131))</f>
        <v/>
      </c>
      <c r="AL131" s="1055" t="str">
        <f>IF($O$131="нет","без дифференциации",IF($R$131=0,"",$R$131))</f>
        <v/>
      </c>
      <c r="AM131" s="1055" t="str">
        <f>IF($S$131="нет","без дифференциации",IF($V$131=0,"",$V$131))</f>
        <v/>
      </c>
      <c r="AN131" s="1531">
        <f>$I$131</f>
        <v>0</v>
      </c>
      <c r="AO131" s="1055" t="str">
        <f>$I$131&amp;"."&amp;$M$131</f>
        <v>.</v>
      </c>
      <c r="AP131" s="1054" t="str">
        <f>$I$131&amp;"."&amp;$M$131&amp;"."&amp;$Q$131</f>
        <v>..</v>
      </c>
      <c r="AQ131" s="1054" t="str">
        <f>$I$131&amp;"."&amp;$M$131&amp;"."&amp;$Q$131&amp;"."&amp;$U$131</f>
        <v>...</v>
      </c>
      <c r="AR131" s="1255">
        <v>0</v>
      </c>
    </row>
    <row r="132" spans="1:44" s="1609" customFormat="1" ht="17.25" hidden="1" customHeight="1">
      <c r="A132" s="255"/>
      <c r="C132" s="254"/>
      <c r="D132" s="2302"/>
      <c r="E132" s="2291"/>
      <c r="F132" s="2304"/>
      <c r="G132" s="2291"/>
      <c r="H132" s="2294"/>
      <c r="I132" s="2296"/>
      <c r="J132" s="2298"/>
      <c r="K132" s="2290"/>
      <c r="L132" s="2290"/>
      <c r="M132" s="2290"/>
      <c r="N132" s="2301"/>
      <c r="O132" s="2290"/>
      <c r="P132" s="2290"/>
      <c r="Q132" s="2290"/>
      <c r="R132" s="2288"/>
      <c r="S132" s="2290"/>
      <c r="T132" s="1698"/>
      <c r="U132" s="1698"/>
      <c r="V132" s="1698"/>
      <c r="W132" s="1699"/>
      <c r="X132" s="1054"/>
      <c r="Y132" s="1054"/>
      <c r="Z132" s="1054"/>
      <c r="AA132" s="1054"/>
      <c r="AB132" s="1054"/>
      <c r="AC132" s="1054"/>
      <c r="AD132" s="1054"/>
      <c r="AE132" s="1054"/>
      <c r="AF132" s="1054"/>
      <c r="AG132" s="1054"/>
      <c r="AH132" s="1054"/>
      <c r="AI132" s="1054"/>
      <c r="AJ132" s="1054"/>
      <c r="AK132" s="1054"/>
      <c r="AL132" s="1054"/>
      <c r="AM132" s="1054"/>
      <c r="AN132" s="1054"/>
      <c r="AO132" s="1054"/>
      <c r="AP132" s="1054"/>
      <c r="AQ132" s="1054"/>
      <c r="AR132" s="1255">
        <v>0</v>
      </c>
    </row>
    <row r="133" spans="1:44" s="1609" customFormat="1" ht="17.25" hidden="1" customHeight="1">
      <c r="A133" s="255"/>
      <c r="C133" s="254"/>
      <c r="D133" s="2278"/>
      <c r="E133" s="2292"/>
      <c r="F133" s="2304"/>
      <c r="G133" s="2292"/>
      <c r="H133" s="2294"/>
      <c r="I133" s="2296"/>
      <c r="J133" s="2299"/>
      <c r="K133" s="2290"/>
      <c r="L133" s="2290"/>
      <c r="M133" s="2290"/>
      <c r="N133" s="2288"/>
      <c r="O133" s="2290"/>
      <c r="P133" s="1694"/>
      <c r="Q133" s="1698"/>
      <c r="R133" s="1698"/>
      <c r="S133" s="263"/>
      <c r="T133" s="263"/>
      <c r="U133" s="263"/>
      <c r="V133" s="263"/>
      <c r="W133" s="1699"/>
      <c r="X133" s="1054"/>
      <c r="Y133" s="1054"/>
      <c r="Z133" s="1054"/>
      <c r="AA133" s="1054"/>
      <c r="AB133" s="1054"/>
      <c r="AC133" s="1054"/>
      <c r="AD133" s="1054"/>
      <c r="AE133" s="1054"/>
      <c r="AF133" s="1054"/>
      <c r="AG133" s="1054"/>
      <c r="AH133" s="1054"/>
      <c r="AI133" s="1054"/>
      <c r="AJ133" s="1054"/>
      <c r="AK133" s="1054"/>
      <c r="AL133" s="1054"/>
      <c r="AM133" s="1054"/>
      <c r="AN133" s="1054"/>
      <c r="AO133" s="1054"/>
      <c r="AP133" s="1054"/>
      <c r="AQ133" s="1054"/>
      <c r="AR133" s="1255">
        <v>0</v>
      </c>
    </row>
    <row r="134" spans="1:44" s="1609" customFormat="1" ht="17.25" hidden="1" customHeight="1">
      <c r="A134" s="255"/>
      <c r="C134" s="254"/>
      <c r="D134" s="2278"/>
      <c r="E134" s="2292"/>
      <c r="F134" s="2304"/>
      <c r="G134" s="2292"/>
      <c r="H134" s="2294"/>
      <c r="I134" s="2296"/>
      <c r="J134" s="2299"/>
      <c r="K134" s="2290"/>
      <c r="L134" s="1698"/>
      <c r="M134" s="1698"/>
      <c r="N134" s="1698"/>
      <c r="O134" s="1698"/>
      <c r="P134" s="1698"/>
      <c r="Q134" s="1698"/>
      <c r="R134" s="1698"/>
      <c r="S134" s="263"/>
      <c r="T134" s="263"/>
      <c r="U134" s="263"/>
      <c r="V134" s="263"/>
      <c r="W134" s="1699"/>
      <c r="X134" s="1054"/>
      <c r="Y134" s="1054"/>
      <c r="Z134" s="1054"/>
      <c r="AA134" s="1054"/>
      <c r="AB134" s="1054"/>
      <c r="AC134" s="1054"/>
      <c r="AD134" s="1054"/>
      <c r="AE134" s="1054"/>
      <c r="AF134" s="1054"/>
      <c r="AG134" s="1054"/>
      <c r="AH134" s="1054"/>
      <c r="AI134" s="1054"/>
      <c r="AJ134" s="1054"/>
      <c r="AK134" s="1054"/>
      <c r="AL134" s="1054"/>
      <c r="AM134" s="1054"/>
      <c r="AN134" s="1054"/>
      <c r="AO134" s="1054"/>
      <c r="AP134" s="1054"/>
      <c r="AQ134" s="1054"/>
      <c r="AR134" s="1255">
        <v>0</v>
      </c>
    </row>
    <row r="135" spans="1:44" s="1609" customFormat="1" ht="17.25" hidden="1" customHeight="1">
      <c r="A135" s="255"/>
      <c r="C135" s="254"/>
      <c r="D135" s="2278"/>
      <c r="E135" s="2292"/>
      <c r="F135" s="2305"/>
      <c r="G135" s="2292"/>
      <c r="H135" s="1087"/>
      <c r="I135" s="1696"/>
      <c r="J135" s="1696"/>
      <c r="K135" s="1696"/>
      <c r="L135" s="1696"/>
      <c r="M135" s="1696"/>
      <c r="N135" s="1696"/>
      <c r="O135" s="1696"/>
      <c r="P135" s="1696"/>
      <c r="Q135" s="1696"/>
      <c r="R135" s="1696"/>
      <c r="S135" s="1089"/>
      <c r="T135" s="1089"/>
      <c r="U135" s="1089"/>
      <c r="V135" s="1089"/>
      <c r="W135" s="1697"/>
      <c r="X135" s="1054"/>
      <c r="Y135" s="1054"/>
      <c r="Z135" s="1054"/>
      <c r="AA135" s="1054"/>
      <c r="AB135" s="1054"/>
      <c r="AC135" s="1054"/>
      <c r="AD135" s="1054"/>
      <c r="AE135" s="1054"/>
      <c r="AF135" s="1054"/>
      <c r="AG135" s="1054"/>
      <c r="AH135" s="1054"/>
      <c r="AI135" s="1054"/>
      <c r="AJ135" s="1054"/>
      <c r="AK135" s="1054"/>
      <c r="AL135" s="1054"/>
      <c r="AM135" s="1054"/>
      <c r="AN135" s="1054"/>
      <c r="AO135" s="1054"/>
      <c r="AP135" s="1054"/>
      <c r="AQ135" s="1054"/>
      <c r="AR135" s="1255">
        <v>0</v>
      </c>
    </row>
    <row r="136" spans="1:44" ht="11.45" customHeight="1">
      <c r="AR136" s="42">
        <v>11</v>
      </c>
    </row>
    <row r="137" spans="1:44" ht="11.45" customHeight="1">
      <c r="AR137" s="42">
        <v>11</v>
      </c>
    </row>
    <row r="138" spans="1:44" ht="11.45" customHeight="1">
      <c r="AR138" s="42">
        <v>11</v>
      </c>
    </row>
    <row r="139" spans="1:44" ht="11.45" customHeight="1">
      <c r="E139" s="1138"/>
      <c r="AR139" s="42">
        <v>11</v>
      </c>
    </row>
    <row r="140" spans="1:44" ht="11.45" customHeight="1">
      <c r="E140" s="1138"/>
      <c r="AR140" s="42">
        <v>11</v>
      </c>
    </row>
    <row r="141" spans="1:44" ht="11.45" customHeight="1">
      <c r="E141" s="1138"/>
      <c r="AR141" s="42">
        <v>11</v>
      </c>
    </row>
    <row r="142" spans="1:44" ht="11.45" customHeight="1">
      <c r="E142" s="1138"/>
      <c r="AR142" s="42">
        <v>11</v>
      </c>
    </row>
    <row r="143" spans="1:44" ht="11.45" customHeight="1">
      <c r="E143" s="1138"/>
      <c r="AR143" s="42">
        <v>11</v>
      </c>
    </row>
    <row r="144" spans="1:44" ht="11.45" customHeight="1">
      <c r="E144" s="1138"/>
      <c r="AR144" s="42">
        <v>11</v>
      </c>
    </row>
    <row r="145" spans="1:44" ht="11.45" customHeight="1">
      <c r="E145" s="1138"/>
      <c r="AR145" s="42">
        <v>11</v>
      </c>
    </row>
    <row r="146" spans="1:44" ht="11.25" hidden="1" customHeight="1">
      <c r="A146" s="87" t="s">
        <v>69</v>
      </c>
      <c r="B146" s="87">
        <v>0</v>
      </c>
      <c r="C146" s="42">
        <v>3</v>
      </c>
      <c r="D146" s="42">
        <v>6</v>
      </c>
      <c r="E146" s="42">
        <v>42</v>
      </c>
      <c r="F146" s="1071">
        <v>14</v>
      </c>
      <c r="G146" s="42">
        <v>42</v>
      </c>
      <c r="H146" s="42">
        <v>3</v>
      </c>
      <c r="I146" s="42">
        <v>5</v>
      </c>
      <c r="J146" s="42">
        <v>47</v>
      </c>
      <c r="K146" s="42">
        <v>3</v>
      </c>
      <c r="L146" s="42">
        <v>3</v>
      </c>
      <c r="M146" s="42">
        <v>5</v>
      </c>
      <c r="N146" s="42">
        <v>28</v>
      </c>
      <c r="O146" s="42">
        <v>3</v>
      </c>
      <c r="P146" s="42">
        <v>3</v>
      </c>
      <c r="Q146" s="42">
        <v>5</v>
      </c>
      <c r="R146" s="42">
        <v>34</v>
      </c>
      <c r="S146" s="216">
        <v>0</v>
      </c>
      <c r="T146" s="216">
        <v>0</v>
      </c>
      <c r="U146" s="216">
        <v>0</v>
      </c>
      <c r="V146" s="216">
        <v>0</v>
      </c>
      <c r="W146" s="42">
        <v>30</v>
      </c>
      <c r="X146" s="42">
        <v>3</v>
      </c>
      <c r="Y146" s="1047">
        <v>0</v>
      </c>
      <c r="Z146" s="1047">
        <v>0</v>
      </c>
      <c r="AA146" s="1047">
        <v>0</v>
      </c>
      <c r="AB146" s="1047">
        <v>0</v>
      </c>
      <c r="AC146" s="1047">
        <v>0</v>
      </c>
      <c r="AD146" s="1047">
        <v>0</v>
      </c>
      <c r="AE146" s="1047">
        <v>0</v>
      </c>
      <c r="AF146" s="1047">
        <v>0</v>
      </c>
      <c r="AG146" s="1047">
        <v>0</v>
      </c>
      <c r="AH146" s="1047">
        <v>0</v>
      </c>
      <c r="AI146" s="1047">
        <v>0</v>
      </c>
      <c r="AJ146" s="1047">
        <v>0</v>
      </c>
      <c r="AK146" s="1047">
        <v>0</v>
      </c>
      <c r="AL146" s="1047">
        <v>0</v>
      </c>
      <c r="AM146" s="1047">
        <v>0</v>
      </c>
      <c r="AN146" s="1047">
        <v>0</v>
      </c>
      <c r="AO146" s="1047">
        <v>0</v>
      </c>
      <c r="AP146" s="1047">
        <v>0</v>
      </c>
      <c r="AQ146" s="1047">
        <v>0</v>
      </c>
      <c r="AR146" s="42">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AM23"/>
  <sheetViews>
    <sheetView showGridLines="0" zoomScale="90" workbookViewId="0">
      <pane xSplit="7" ySplit="14" topLeftCell="AB15" activePane="bottomRight" state="frozen"/>
      <selection pane="topRight" activeCell="H1" sqref="H1"/>
      <selection pane="bottomLeft" activeCell="A15" sqref="A15"/>
      <selection pane="bottomRight" activeCell="AB8" sqref="AB8"/>
    </sheetView>
  </sheetViews>
  <sheetFormatPr defaultColWidth="10.5703125" defaultRowHeight="15" customHeight="1"/>
  <cols>
    <col min="1" max="1" width="9.140625" style="1420" hidden="1" customWidth="1"/>
    <col min="2" max="2" width="9.140625" style="1423" hidden="1" customWidth="1"/>
    <col min="3" max="3" width="4" style="604" customWidth="1"/>
    <col min="4" max="4" width="6" style="1423" customWidth="1"/>
    <col min="5" max="5" width="36" style="1423" customWidth="1"/>
    <col min="6" max="6" width="9" style="1423" customWidth="1"/>
    <col min="7" max="7" width="42.42578125" style="1423" hidden="1" customWidth="1"/>
    <col min="8" max="8" width="40.7109375" style="1423" customWidth="1"/>
    <col min="9" max="28" width="42.42578125" style="1423" customWidth="1"/>
    <col min="29" max="29" width="93" style="1154" customWidth="1"/>
    <col min="30" max="37" width="10" style="1423" customWidth="1"/>
    <col min="38" max="38" width="10" style="596" customWidth="1"/>
    <col min="39" max="39" width="10.5703125" style="1423" hidden="1"/>
  </cols>
  <sheetData>
    <row r="1" spans="1:39" s="1154" customFormat="1" ht="15" hidden="1" customHeight="1">
      <c r="C1" s="593"/>
      <c r="H1" s="350">
        <v>4</v>
      </c>
      <c r="AL1" s="353"/>
      <c r="AM1" s="350" t="s">
        <v>1</v>
      </c>
    </row>
    <row r="2" spans="1:39" ht="22.5" hidden="1" customHeight="1">
      <c r="C2" s="1678" t="s">
        <v>90</v>
      </c>
      <c r="D2" s="471"/>
      <c r="E2" s="590"/>
      <c r="F2" s="1520" t="str">
        <f>IF(TEMPLATE_SPHERE="HEAT","Гкал/час","тыс. куб. м/сутки")</f>
        <v>Гкал/час</v>
      </c>
      <c r="G2" s="601"/>
      <c r="H2" s="601"/>
      <c r="I2" s="601"/>
      <c r="J2" s="601"/>
      <c r="K2" s="601"/>
      <c r="L2" s="601"/>
      <c r="M2" s="601"/>
      <c r="N2" s="601"/>
      <c r="O2" s="601"/>
      <c r="P2" s="601"/>
      <c r="Q2" s="601"/>
      <c r="R2" s="601"/>
      <c r="S2" s="601"/>
      <c r="T2" s="601"/>
      <c r="U2" s="601"/>
      <c r="V2" s="601"/>
      <c r="W2" s="601"/>
      <c r="X2" s="601"/>
      <c r="Y2" s="601"/>
      <c r="Z2" s="601"/>
      <c r="AA2" s="601"/>
      <c r="AB2" s="601"/>
      <c r="AC2" s="223"/>
      <c r="AM2" s="438">
        <v>0</v>
      </c>
    </row>
    <row r="3" spans="1:39" s="1154" customFormat="1" ht="15" hidden="1" customHeight="1">
      <c r="C3" s="593"/>
      <c r="AL3" s="353"/>
      <c r="AM3" s="350">
        <v>0</v>
      </c>
    </row>
    <row r="4" spans="1:39" ht="15.75" customHeight="1">
      <c r="C4" s="110"/>
      <c r="D4" s="442"/>
      <c r="E4" s="442"/>
      <c r="F4" s="442"/>
      <c r="G4" s="442"/>
      <c r="H4" s="442"/>
      <c r="AM4" s="438">
        <v>15</v>
      </c>
    </row>
    <row r="5" spans="1:39" ht="39.75" customHeight="1">
      <c r="C5" s="110"/>
      <c r="D5" s="237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76"/>
      <c r="F5" s="2376"/>
      <c r="G5" s="2376"/>
      <c r="H5" s="2376"/>
      <c r="I5" s="1846"/>
      <c r="J5" s="1846"/>
      <c r="K5" s="1846"/>
      <c r="L5" s="1846"/>
      <c r="M5" s="1846"/>
      <c r="N5" s="1846"/>
      <c r="O5" s="1846"/>
      <c r="P5" s="1846"/>
      <c r="Q5" s="1846"/>
      <c r="R5" s="1846"/>
      <c r="S5" s="1846"/>
      <c r="T5" s="1846"/>
      <c r="U5" s="1846"/>
      <c r="V5" s="1846"/>
      <c r="W5" s="1846"/>
      <c r="X5" s="1846"/>
      <c r="Y5" s="1846"/>
      <c r="Z5" s="1846"/>
      <c r="AA5" s="1846"/>
      <c r="AB5" s="1846"/>
      <c r="AC5" s="469"/>
      <c r="AM5" s="438">
        <v>38</v>
      </c>
    </row>
    <row r="6" spans="1:39" ht="15.75" customHeight="1">
      <c r="C6" s="110"/>
      <c r="D6" s="2349" t="str">
        <f>IF(org=0,"Не определено",org)</f>
        <v>ООО "Смоленскрегионтеплоэнерго"</v>
      </c>
      <c r="E6" s="2349"/>
      <c r="F6" s="2349"/>
      <c r="G6" s="2349"/>
      <c r="H6" s="2349"/>
      <c r="I6" s="1847"/>
      <c r="J6" s="1847"/>
      <c r="K6" s="1847"/>
      <c r="L6" s="1847"/>
      <c r="M6" s="1847"/>
      <c r="N6" s="1847"/>
      <c r="O6" s="1847"/>
      <c r="P6" s="1847"/>
      <c r="Q6" s="1847"/>
      <c r="R6" s="1847"/>
      <c r="S6" s="1847"/>
      <c r="T6" s="1847"/>
      <c r="U6" s="1847"/>
      <c r="V6" s="1847"/>
      <c r="W6" s="1847"/>
      <c r="X6" s="1847"/>
      <c r="Y6" s="1847"/>
      <c r="Z6" s="1847"/>
      <c r="AA6" s="1847"/>
      <c r="AB6" s="1847"/>
      <c r="AC6" s="469"/>
      <c r="AM6" s="438">
        <v>15</v>
      </c>
    </row>
    <row r="7" spans="1:39" s="1423" customFormat="1" ht="15.75" customHeight="1">
      <c r="A7" s="664"/>
      <c r="C7" s="110"/>
      <c r="D7" s="597"/>
      <c r="E7" s="597"/>
      <c r="F7" s="597"/>
      <c r="G7" s="597"/>
      <c r="H7" s="659"/>
      <c r="I7" s="1858" t="s">
        <v>9</v>
      </c>
      <c r="J7" s="1858" t="s">
        <v>9</v>
      </c>
      <c r="K7" s="1858" t="s">
        <v>9</v>
      </c>
      <c r="L7" s="1858" t="s">
        <v>9</v>
      </c>
      <c r="M7" s="1858" t="s">
        <v>9</v>
      </c>
      <c r="N7" s="1858" t="s">
        <v>9</v>
      </c>
      <c r="O7" s="1858" t="s">
        <v>9</v>
      </c>
      <c r="P7" s="1858" t="s">
        <v>9</v>
      </c>
      <c r="Q7" s="1858" t="s">
        <v>9</v>
      </c>
      <c r="R7" s="1858" t="s">
        <v>9</v>
      </c>
      <c r="S7" s="1858" t="s">
        <v>9</v>
      </c>
      <c r="T7" s="1858" t="s">
        <v>9</v>
      </c>
      <c r="U7" s="1858" t="s">
        <v>9</v>
      </c>
      <c r="V7" s="1858" t="s">
        <v>9</v>
      </c>
      <c r="W7" s="1858" t="s">
        <v>9</v>
      </c>
      <c r="X7" s="1858" t="s">
        <v>9</v>
      </c>
      <c r="Y7" s="1858" t="s">
        <v>9</v>
      </c>
      <c r="Z7" s="1858" t="s">
        <v>9</v>
      </c>
      <c r="AA7" s="1858" t="s">
        <v>9</v>
      </c>
      <c r="AB7" s="1858" t="s">
        <v>9</v>
      </c>
      <c r="AC7" s="469"/>
      <c r="AL7" s="596"/>
      <c r="AM7" s="663">
        <v>15</v>
      </c>
    </row>
    <row r="8" spans="1:39" ht="1.1499999999999999" customHeight="1">
      <c r="C8" s="110"/>
      <c r="D8" s="442"/>
      <c r="E8" s="442"/>
      <c r="F8" s="442"/>
      <c r="G8" s="442"/>
      <c r="H8" s="469" t="s">
        <v>167</v>
      </c>
      <c r="I8" s="1423" t="s">
        <v>172</v>
      </c>
      <c r="J8" s="1423" t="s">
        <v>174</v>
      </c>
      <c r="K8" s="1423" t="s">
        <v>176</v>
      </c>
      <c r="L8" s="1423" t="s">
        <v>178</v>
      </c>
      <c r="M8" s="1423" t="s">
        <v>180</v>
      </c>
      <c r="N8" s="1423" t="s">
        <v>182</v>
      </c>
      <c r="O8" s="1423" t="s">
        <v>184</v>
      </c>
      <c r="P8" s="1423" t="s">
        <v>186</v>
      </c>
      <c r="Q8" s="1423" t="s">
        <v>188</v>
      </c>
      <c r="R8" s="1423" t="s">
        <v>190</v>
      </c>
      <c r="S8" s="1423" t="s">
        <v>192</v>
      </c>
      <c r="T8" s="1423" t="s">
        <v>194</v>
      </c>
      <c r="U8" s="1423" t="s">
        <v>196</v>
      </c>
      <c r="V8" s="1423" t="s">
        <v>198</v>
      </c>
      <c r="W8" s="1423" t="s">
        <v>200</v>
      </c>
      <c r="X8" s="1423" t="s">
        <v>202</v>
      </c>
      <c r="Y8" s="1423" t="s">
        <v>204</v>
      </c>
      <c r="Z8" s="1423" t="s">
        <v>206</v>
      </c>
      <c r="AA8" s="1423" t="s">
        <v>208</v>
      </c>
      <c r="AB8" s="1423" t="s">
        <v>210</v>
      </c>
      <c r="AM8" s="438">
        <v>1</v>
      </c>
    </row>
    <row r="9" spans="1:39" ht="15.75" customHeight="1">
      <c r="C9" s="110"/>
      <c r="D9" s="629"/>
      <c r="E9" s="2484" t="s">
        <v>157</v>
      </c>
      <c r="F9" s="2485"/>
      <c r="G9" s="715" t="str">
        <f t="shared" ref="G9:AB9" si="0">IF(G8="","",INDEX(DIFFERENTIATION_UNMERGE_VD,MATCH(G8,DIFFERENTIATION_ID_DIFF,0)))</f>
        <v/>
      </c>
      <c r="H9" s="715" t="str">
        <f t="shared" si="0"/>
        <v>Производство тепловой энергии. Некомбинированная выработка; Передача. Тепловая энергия; Сбыт. Тепловая энергия</v>
      </c>
      <c r="I9" s="1856" t="str">
        <f t="shared" si="0"/>
        <v>Производство тепловой энергии. Некомбинированная выработка; Передача. Тепловая энергия; Сбыт. Тепловая энергия</v>
      </c>
      <c r="J9" s="1856" t="str">
        <f t="shared" si="0"/>
        <v>Производство тепловой энергии. Некомбинированная выработка; Передача. Тепловая энергия; Сбыт. Тепловая энергия</v>
      </c>
      <c r="K9" s="1856" t="str">
        <f t="shared" si="0"/>
        <v>Производство тепловой энергии. Некомбинированная выработка; Передача. Тепловая энергия; Сбыт. Тепловая энергия</v>
      </c>
      <c r="L9" s="1856" t="str">
        <f t="shared" si="0"/>
        <v>Производство тепловой энергии. Некомбинированная выработка; Передача. Тепловая энергия; Сбыт. Тепловая энергия</v>
      </c>
      <c r="M9" s="1856" t="str">
        <f t="shared" si="0"/>
        <v>Производство тепловой энергии. Некомбинированная выработка; Передача. Тепловая энергия; Сбыт. Тепловая энергия</v>
      </c>
      <c r="N9" s="1856" t="str">
        <f t="shared" si="0"/>
        <v>Производство тепловой энергии. Некомбинированная выработка; Передача. Тепловая энергия; Сбыт. Тепловая энергия</v>
      </c>
      <c r="O9" s="1856" t="str">
        <f t="shared" si="0"/>
        <v>Производство тепловой энергии. Некомбинированная выработка; Передача. Тепловая энергия; Сбыт. Тепловая энергия</v>
      </c>
      <c r="P9" s="1856" t="str">
        <f t="shared" si="0"/>
        <v>Производство тепловой энергии. Некомбинированная выработка; Передача. Тепловая энергия; Сбыт. Тепловая энергия</v>
      </c>
      <c r="Q9" s="1856" t="str">
        <f t="shared" si="0"/>
        <v>Производство тепловой энергии. Некомбинированная выработка; Передача. Тепловая энергия; Сбыт. Тепловая энергия</v>
      </c>
      <c r="R9" s="1856" t="str">
        <f t="shared" si="0"/>
        <v>Производство тепловой энергии. Некомбинированная выработка; Передача. Тепловая энергия; Сбыт. Тепловая энергия</v>
      </c>
      <c r="S9" s="1856" t="str">
        <f t="shared" si="0"/>
        <v>Производство тепловой энергии. Некомбинированная выработка; Передача. Тепловая энергия; Сбыт. Тепловая энергия</v>
      </c>
      <c r="T9" s="1856" t="str">
        <f t="shared" si="0"/>
        <v>Производство тепловой энергии. Некомбинированная выработка; Передача. Тепловая энергия; Сбыт. Тепловая энергия</v>
      </c>
      <c r="U9" s="1856" t="str">
        <f t="shared" si="0"/>
        <v>Производство тепловой энергии. Некомбинированная выработка; Передача. Тепловая энергия; Сбыт. Тепловая энергия</v>
      </c>
      <c r="V9" s="1856" t="str">
        <f t="shared" si="0"/>
        <v>Производство тепловой энергии. Некомбинированная выработка; Передача. Тепловая энергия; Сбыт. Тепловая энергия</v>
      </c>
      <c r="W9" s="1856" t="str">
        <f t="shared" si="0"/>
        <v>Производство тепловой энергии. Некомбинированная выработка; Передача. Тепловая энергия; Сбыт. Тепловая энергия</v>
      </c>
      <c r="X9" s="1856" t="str">
        <f t="shared" si="0"/>
        <v>Производство тепловой энергии. Некомбинированная выработка; Передача. Тепловая энергия; Сбыт. Тепловая энергия</v>
      </c>
      <c r="Y9" s="1856" t="str">
        <f t="shared" si="0"/>
        <v>Производство тепловой энергии. Некомбинированная выработка; Передача. Тепловая энергия; Сбыт. Тепловая энергия</v>
      </c>
      <c r="Z9" s="1856" t="str">
        <f t="shared" si="0"/>
        <v>Производство тепловой энергии. Некомбинированная выработка; Передача. Тепловая энергия; Сбыт. Тепловая энергия</v>
      </c>
      <c r="AA9" s="1856" t="str">
        <f t="shared" si="0"/>
        <v>Производство тепловой энергии. Некомбинированная выработка; Передача. Тепловая энергия; Сбыт. Тепловая энергия</v>
      </c>
      <c r="AB9" s="1856" t="str">
        <f t="shared" si="0"/>
        <v>Производство тепловой энергии. Некомбинированная выработка; Передача. Тепловая энергия; Сбыт. Тепловая энергия</v>
      </c>
      <c r="AC9" s="2266" t="s">
        <v>385</v>
      </c>
      <c r="AM9" s="438">
        <v>15</v>
      </c>
    </row>
    <row r="10" spans="1:39" s="1423" customFormat="1" ht="15.75" customHeight="1">
      <c r="A10" s="664"/>
      <c r="C10" s="110"/>
      <c r="D10" s="629"/>
      <c r="E10" s="2484" t="s">
        <v>648</v>
      </c>
      <c r="F10" s="2485"/>
      <c r="G10" s="715" t="str">
        <f t="shared" ref="G10:AB10" si="1">IF(G8="","",INDEX(DIFFERENTIATION_UNMERGE_AREA,MATCH(G8,DIFFERENTIATION_ID_DIFF,0)))</f>
        <v/>
      </c>
      <c r="H10" s="715" t="str">
        <f t="shared" si="1"/>
        <v>Территория 1</v>
      </c>
      <c r="I10" s="1856" t="str">
        <f t="shared" si="1"/>
        <v>Территория 2</v>
      </c>
      <c r="J10" s="1856" t="str">
        <f t="shared" si="1"/>
        <v>Территория 3</v>
      </c>
      <c r="K10" s="1856" t="str">
        <f t="shared" si="1"/>
        <v>Территория 4</v>
      </c>
      <c r="L10" s="1856" t="str">
        <f t="shared" si="1"/>
        <v>Территория 5</v>
      </c>
      <c r="M10" s="1856" t="str">
        <f t="shared" si="1"/>
        <v>Территория 6</v>
      </c>
      <c r="N10" s="1856" t="str">
        <f t="shared" si="1"/>
        <v>Территория 6</v>
      </c>
      <c r="O10" s="1856" t="str">
        <f t="shared" si="1"/>
        <v>Территория 6</v>
      </c>
      <c r="P10" s="1856" t="str">
        <f t="shared" si="1"/>
        <v>Территория 7</v>
      </c>
      <c r="Q10" s="1856" t="str">
        <f t="shared" si="1"/>
        <v>Территория 8</v>
      </c>
      <c r="R10" s="1856" t="str">
        <f t="shared" si="1"/>
        <v>Территория 8</v>
      </c>
      <c r="S10" s="1856" t="str">
        <f t="shared" si="1"/>
        <v>Территория 8</v>
      </c>
      <c r="T10" s="1856" t="str">
        <f t="shared" si="1"/>
        <v>Территория 9</v>
      </c>
      <c r="U10" s="1856" t="str">
        <f t="shared" si="1"/>
        <v>Территория 10</v>
      </c>
      <c r="V10" s="1856" t="str">
        <f t="shared" si="1"/>
        <v>Территория 10</v>
      </c>
      <c r="W10" s="1856" t="str">
        <f t="shared" si="1"/>
        <v>Территория 11</v>
      </c>
      <c r="X10" s="1856" t="str">
        <f t="shared" si="1"/>
        <v>Территория 12</v>
      </c>
      <c r="Y10" s="1856" t="str">
        <f t="shared" si="1"/>
        <v>Территория 13</v>
      </c>
      <c r="Z10" s="1856" t="str">
        <f t="shared" si="1"/>
        <v>Территория 13</v>
      </c>
      <c r="AA10" s="1856" t="str">
        <f t="shared" si="1"/>
        <v>Территория 13</v>
      </c>
      <c r="AB10" s="1856" t="str">
        <f t="shared" si="1"/>
        <v>Территория 13</v>
      </c>
      <c r="AC10" s="2266"/>
      <c r="AL10" s="596"/>
      <c r="AM10" s="663">
        <v>15</v>
      </c>
    </row>
    <row r="11" spans="1:39" s="1423" customFormat="1" ht="15.75" customHeight="1">
      <c r="A11" s="664"/>
      <c r="C11" s="110"/>
      <c r="D11" s="629"/>
      <c r="E11" s="2484" t="s">
        <v>649</v>
      </c>
      <c r="F11" s="2485"/>
      <c r="G11" s="715" t="str">
        <f t="shared" ref="G11:AB11" si="2">IF(G8="","",INDEX(DIFFERENTIATION_UNMERGE_SYSTEM,MATCH(G8,DIFFERENTIATION_ID_DIFF,0)))</f>
        <v/>
      </c>
      <c r="H11" s="715" t="str">
        <f t="shared" si="2"/>
        <v>котельная г. Вязьма ул. Московская</v>
      </c>
      <c r="I11" s="1856" t="str">
        <f t="shared" si="2"/>
        <v>Вяземский филиал</v>
      </c>
      <c r="J11" s="1856" t="str">
        <f t="shared" si="2"/>
        <v>котельная с. Карманово, ул. Набережная, д. 18, стр. 3</v>
      </c>
      <c r="K11" s="1856" t="str">
        <f t="shared" si="2"/>
        <v>Рославльский филиал</v>
      </c>
      <c r="L11" s="1856" t="str">
        <f t="shared" si="2"/>
        <v>котельная г. Рославль, ул. Мичурина</v>
      </c>
      <c r="M11" s="1856" t="str">
        <f t="shared" si="2"/>
        <v>котельная д. Даньково</v>
      </c>
      <c r="N11" s="1856" t="str">
        <f t="shared" si="2"/>
        <v>котельная д. Пересна</v>
      </c>
      <c r="O11" s="1856" t="str">
        <f t="shared" si="2"/>
        <v>котельная г. Починок, ул. Садовая</v>
      </c>
      <c r="P11" s="1856" t="str">
        <f t="shared" si="2"/>
        <v>Сафоновский филиал</v>
      </c>
      <c r="Q11" s="1856" t="str">
        <f t="shared" si="2"/>
        <v>котельная г. Сафоново, ул. Советская</v>
      </c>
      <c r="R11" s="1856" t="str">
        <f t="shared" si="2"/>
        <v>котельная г. Сафоново, ул. Первомайская</v>
      </c>
      <c r="S11" s="1856" t="str">
        <f t="shared" si="2"/>
        <v>котельная с. Издешково</v>
      </c>
      <c r="T11" s="1856" t="str">
        <f t="shared" si="2"/>
        <v>котельная БМК Михайловское</v>
      </c>
      <c r="U11" s="1856" t="str">
        <f t="shared" si="2"/>
        <v>котельные пгт. Холм-Жирковское, ул. Кирова,ул. Советская</v>
      </c>
      <c r="V11" s="1856" t="str">
        <f t="shared" si="2"/>
        <v>котельная ст. Игоревская</v>
      </c>
      <c r="W11" s="1856" t="str">
        <f t="shared" si="2"/>
        <v>Ярцевский филиал</v>
      </c>
      <c r="X11" s="1856" t="str">
        <f t="shared" si="2"/>
        <v>п. Красный</v>
      </c>
      <c r="Y11" s="1856" t="str">
        <f t="shared" si="2"/>
        <v>котельная д. Богородицкое</v>
      </c>
      <c r="Z11" s="1856" t="str">
        <f t="shared" si="2"/>
        <v>котельная д. Сметанино</v>
      </c>
      <c r="AA11" s="1856" t="str">
        <f t="shared" si="2"/>
        <v>котельная с. Талашкино</v>
      </c>
      <c r="AB11" s="1856" t="str">
        <f t="shared" si="2"/>
        <v>котельная д. Митино</v>
      </c>
      <c r="AC11" s="2266"/>
      <c r="AL11" s="596"/>
      <c r="AM11" s="663">
        <v>15</v>
      </c>
    </row>
    <row r="12" spans="1:39" s="1423" customFormat="1" ht="15.75" customHeight="1">
      <c r="A12" s="664"/>
      <c r="C12" s="110"/>
      <c r="D12" s="2486" t="s">
        <v>384</v>
      </c>
      <c r="E12" s="2487"/>
      <c r="F12" s="2487"/>
      <c r="G12" s="785"/>
      <c r="H12" s="785"/>
      <c r="I12" s="1854"/>
      <c r="J12" s="1854"/>
      <c r="K12" s="1854"/>
      <c r="L12" s="1854"/>
      <c r="M12" s="1854"/>
      <c r="N12" s="1854"/>
      <c r="O12" s="1854"/>
      <c r="P12" s="1854"/>
      <c r="Q12" s="1854"/>
      <c r="R12" s="1854"/>
      <c r="S12" s="1854"/>
      <c r="T12" s="1854"/>
      <c r="U12" s="1854"/>
      <c r="V12" s="1854"/>
      <c r="W12" s="1854"/>
      <c r="X12" s="1854"/>
      <c r="Y12" s="1854"/>
      <c r="Z12" s="1854"/>
      <c r="AA12" s="1854"/>
      <c r="AB12" s="1854"/>
      <c r="AC12" s="2266"/>
      <c r="AL12" s="596"/>
      <c r="AM12" s="663">
        <v>15</v>
      </c>
    </row>
    <row r="13" spans="1:39" ht="35.65" customHeight="1">
      <c r="C13" s="110"/>
      <c r="D13" s="666" t="s">
        <v>75</v>
      </c>
      <c r="E13" s="665" t="s">
        <v>386</v>
      </c>
      <c r="F13" s="665" t="s">
        <v>650</v>
      </c>
      <c r="G13" s="707" t="s">
        <v>387</v>
      </c>
      <c r="H13" s="661" t="s">
        <v>387</v>
      </c>
      <c r="I13" s="1849" t="s">
        <v>387</v>
      </c>
      <c r="J13" s="1849" t="s">
        <v>387</v>
      </c>
      <c r="K13" s="1849" t="s">
        <v>387</v>
      </c>
      <c r="L13" s="1849" t="s">
        <v>387</v>
      </c>
      <c r="M13" s="1849" t="s">
        <v>387</v>
      </c>
      <c r="N13" s="1849" t="s">
        <v>387</v>
      </c>
      <c r="O13" s="1849" t="s">
        <v>387</v>
      </c>
      <c r="P13" s="1849" t="s">
        <v>387</v>
      </c>
      <c r="Q13" s="1849" t="s">
        <v>387</v>
      </c>
      <c r="R13" s="1849" t="s">
        <v>387</v>
      </c>
      <c r="S13" s="1849" t="s">
        <v>387</v>
      </c>
      <c r="T13" s="1849" t="s">
        <v>387</v>
      </c>
      <c r="U13" s="1849" t="s">
        <v>387</v>
      </c>
      <c r="V13" s="1849" t="s">
        <v>387</v>
      </c>
      <c r="W13" s="1849" t="s">
        <v>387</v>
      </c>
      <c r="X13" s="1849" t="s">
        <v>387</v>
      </c>
      <c r="Y13" s="1849" t="s">
        <v>387</v>
      </c>
      <c r="Z13" s="1849" t="s">
        <v>387</v>
      </c>
      <c r="AA13" s="1849" t="s">
        <v>387</v>
      </c>
      <c r="AB13" s="1849" t="s">
        <v>387</v>
      </c>
      <c r="AC13" s="2266"/>
      <c r="AM13" s="438">
        <v>34</v>
      </c>
    </row>
    <row r="14" spans="1:39" ht="15" hidden="1" customHeight="1">
      <c r="C14" s="110"/>
      <c r="D14" s="524" t="s">
        <v>161</v>
      </c>
      <c r="E14" s="524" t="s">
        <v>89</v>
      </c>
      <c r="F14" s="524" t="s">
        <v>77</v>
      </c>
      <c r="G14" s="588" t="str">
        <f t="shared" ref="G14:AB14" si="3">G1&amp;".1"</f>
        <v>.1</v>
      </c>
      <c r="H14" s="588" t="str">
        <f t="shared" si="3"/>
        <v>4.1</v>
      </c>
      <c r="I14" s="604" t="str">
        <f t="shared" si="3"/>
        <v>.1</v>
      </c>
      <c r="J14" s="604" t="str">
        <f t="shared" si="3"/>
        <v>.1</v>
      </c>
      <c r="K14" s="604" t="str">
        <f t="shared" si="3"/>
        <v>.1</v>
      </c>
      <c r="L14" s="604" t="str">
        <f t="shared" si="3"/>
        <v>.1</v>
      </c>
      <c r="M14" s="604" t="str">
        <f t="shared" si="3"/>
        <v>.1</v>
      </c>
      <c r="N14" s="604" t="str">
        <f t="shared" si="3"/>
        <v>.1</v>
      </c>
      <c r="O14" s="604" t="str">
        <f t="shared" si="3"/>
        <v>.1</v>
      </c>
      <c r="P14" s="604" t="str">
        <f t="shared" si="3"/>
        <v>.1</v>
      </c>
      <c r="Q14" s="604" t="str">
        <f t="shared" si="3"/>
        <v>.1</v>
      </c>
      <c r="R14" s="604" t="str">
        <f t="shared" si="3"/>
        <v>.1</v>
      </c>
      <c r="S14" s="604" t="str">
        <f t="shared" si="3"/>
        <v>.1</v>
      </c>
      <c r="T14" s="604" t="str">
        <f t="shared" si="3"/>
        <v>.1</v>
      </c>
      <c r="U14" s="604" t="str">
        <f t="shared" si="3"/>
        <v>.1</v>
      </c>
      <c r="V14" s="604" t="str">
        <f t="shared" si="3"/>
        <v>.1</v>
      </c>
      <c r="W14" s="604" t="str">
        <f t="shared" si="3"/>
        <v>.1</v>
      </c>
      <c r="X14" s="604" t="str">
        <f t="shared" si="3"/>
        <v>.1</v>
      </c>
      <c r="Y14" s="604" t="str">
        <f t="shared" si="3"/>
        <v>.1</v>
      </c>
      <c r="Z14" s="604" t="str">
        <f t="shared" si="3"/>
        <v>.1</v>
      </c>
      <c r="AA14" s="604" t="str">
        <f t="shared" si="3"/>
        <v>.1</v>
      </c>
      <c r="AB14" s="604" t="str">
        <f t="shared" si="3"/>
        <v>.1</v>
      </c>
      <c r="AC14" s="223"/>
      <c r="AM14" s="438">
        <v>0</v>
      </c>
    </row>
    <row r="15" spans="1:39" ht="15.75" customHeight="1">
      <c r="A15" s="438"/>
      <c r="C15" s="459"/>
      <c r="D15" s="454">
        <v>1</v>
      </c>
      <c r="E15" s="1680" t="str">
        <f>TP_P_A</f>
        <v>Количество поданных заявок</v>
      </c>
      <c r="F15" s="454" t="s">
        <v>1193</v>
      </c>
      <c r="G15" s="606"/>
      <c r="H15" s="606"/>
      <c r="I15" s="606"/>
      <c r="J15" s="606"/>
      <c r="K15" s="606"/>
      <c r="L15" s="606"/>
      <c r="M15" s="606"/>
      <c r="N15" s="606"/>
      <c r="O15" s="606"/>
      <c r="P15" s="606"/>
      <c r="Q15" s="606"/>
      <c r="R15" s="606"/>
      <c r="S15" s="606"/>
      <c r="T15" s="606"/>
      <c r="U15" s="606"/>
      <c r="V15" s="606"/>
      <c r="W15" s="606"/>
      <c r="X15" s="606"/>
      <c r="Y15" s="606"/>
      <c r="Z15" s="606"/>
      <c r="AA15" s="606"/>
      <c r="AB15" s="606"/>
      <c r="AC15" s="142"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AM15" s="438">
        <v>15</v>
      </c>
    </row>
    <row r="16" spans="1:39" ht="15.75" customHeight="1">
      <c r="A16" s="438"/>
      <c r="C16" s="459"/>
      <c r="D16" s="454">
        <v>2</v>
      </c>
      <c r="E16" s="1680" t="str">
        <f>TP_P_B</f>
        <v>Количество рассмотренных заявок</v>
      </c>
      <c r="F16" s="454" t="s">
        <v>1193</v>
      </c>
      <c r="G16" s="606"/>
      <c r="H16" s="606"/>
      <c r="I16" s="606"/>
      <c r="J16" s="606"/>
      <c r="K16" s="606"/>
      <c r="L16" s="606"/>
      <c r="M16" s="606"/>
      <c r="N16" s="606"/>
      <c r="O16" s="606"/>
      <c r="P16" s="606"/>
      <c r="Q16" s="606"/>
      <c r="R16" s="606"/>
      <c r="S16" s="606"/>
      <c r="T16" s="606"/>
      <c r="U16" s="606"/>
      <c r="V16" s="606"/>
      <c r="W16" s="606"/>
      <c r="X16" s="606"/>
      <c r="Y16" s="606"/>
      <c r="Z16" s="606"/>
      <c r="AA16" s="606"/>
      <c r="AB16" s="606"/>
      <c r="AC16" s="142"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AM16" s="438">
        <v>15</v>
      </c>
    </row>
    <row r="17" spans="1:39" ht="77.650000000000006" customHeight="1">
      <c r="A17" s="438"/>
      <c r="C17" s="459"/>
      <c r="D17" s="454">
        <v>3</v>
      </c>
      <c r="E17" s="1680"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4" t="s">
        <v>1193</v>
      </c>
      <c r="G17" s="606"/>
      <c r="H17" s="606"/>
      <c r="I17" s="606"/>
      <c r="J17" s="606"/>
      <c r="K17" s="606"/>
      <c r="L17" s="606"/>
      <c r="M17" s="606"/>
      <c r="N17" s="606"/>
      <c r="O17" s="606"/>
      <c r="P17" s="606"/>
      <c r="Q17" s="606"/>
      <c r="R17" s="606"/>
      <c r="S17" s="606"/>
      <c r="T17" s="606"/>
      <c r="U17" s="606"/>
      <c r="V17" s="606"/>
      <c r="W17" s="606"/>
      <c r="X17" s="606"/>
      <c r="Y17" s="606"/>
      <c r="Z17" s="606"/>
      <c r="AA17" s="606"/>
      <c r="AB17" s="606"/>
      <c r="AC17" s="142" t="str">
        <f>TP_P_NOTE_V</f>
        <v>Указывается количество заявок с решением об отказе в течение отчетного квартала.</v>
      </c>
      <c r="AM17" s="438">
        <v>74</v>
      </c>
    </row>
    <row r="18" spans="1:39" ht="54.75" customHeight="1">
      <c r="A18" s="438"/>
      <c r="C18" s="459"/>
      <c r="D18" s="454">
        <v>4</v>
      </c>
      <c r="E18" s="1680" t="str">
        <f>TP_P_V_1</f>
        <v>Причины отказа в заключении договора о подключении (технологическом присоединении) к системе теплоснабжения</v>
      </c>
      <c r="F18" s="454" t="s">
        <v>390</v>
      </c>
      <c r="G18" s="607"/>
      <c r="H18" s="607"/>
      <c r="I18" s="1852"/>
      <c r="J18" s="1852"/>
      <c r="K18" s="1852"/>
      <c r="L18" s="1852"/>
      <c r="M18" s="1852"/>
      <c r="N18" s="1852"/>
      <c r="O18" s="1852"/>
      <c r="P18" s="1852"/>
      <c r="Q18" s="1852"/>
      <c r="R18" s="1852"/>
      <c r="S18" s="1852"/>
      <c r="T18" s="1852"/>
      <c r="U18" s="1852"/>
      <c r="V18" s="1852"/>
      <c r="W18" s="1852"/>
      <c r="X18" s="1852"/>
      <c r="Y18" s="1852"/>
      <c r="Z18" s="1852"/>
      <c r="AA18" s="1852"/>
      <c r="AB18" s="1852"/>
      <c r="AC18" s="73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AM18" s="438">
        <v>52</v>
      </c>
    </row>
    <row r="19" spans="1:39" ht="60" customHeight="1">
      <c r="A19" s="438"/>
      <c r="C19" s="459"/>
      <c r="D19" s="454">
        <v>5</v>
      </c>
      <c r="E19" s="1680" t="str">
        <f>TP_P_G</f>
        <v>Резерв мощности источников тепловой энергии, входящих в систему теплоснабжения, в течение одного квартала, в том числе:</v>
      </c>
      <c r="F19" s="454" t="str">
        <f>IF(TEMPLATE_SPHERE="HEAT","Гкал/час","тыс. куб. м/сутки")</f>
        <v>Гкал/час</v>
      </c>
      <c r="G19" s="608">
        <f t="shared" ref="G19:AB19" si="4">SUM(G20:G22)</f>
        <v>0</v>
      </c>
      <c r="H19" s="608">
        <f t="shared" si="4"/>
        <v>0</v>
      </c>
      <c r="I19" s="608">
        <f t="shared" si="4"/>
        <v>0</v>
      </c>
      <c r="J19" s="608">
        <f t="shared" si="4"/>
        <v>0</v>
      </c>
      <c r="K19" s="608">
        <f t="shared" si="4"/>
        <v>0</v>
      </c>
      <c r="L19" s="608">
        <f t="shared" si="4"/>
        <v>0</v>
      </c>
      <c r="M19" s="608">
        <f t="shared" si="4"/>
        <v>0</v>
      </c>
      <c r="N19" s="608">
        <f t="shared" si="4"/>
        <v>0</v>
      </c>
      <c r="O19" s="608">
        <f t="shared" si="4"/>
        <v>0</v>
      </c>
      <c r="P19" s="608">
        <f t="shared" si="4"/>
        <v>0</v>
      </c>
      <c r="Q19" s="608">
        <f t="shared" si="4"/>
        <v>0</v>
      </c>
      <c r="R19" s="608">
        <f t="shared" si="4"/>
        <v>0</v>
      </c>
      <c r="S19" s="608">
        <f t="shared" si="4"/>
        <v>0</v>
      </c>
      <c r="T19" s="608">
        <f t="shared" si="4"/>
        <v>0</v>
      </c>
      <c r="U19" s="608">
        <f t="shared" si="4"/>
        <v>0</v>
      </c>
      <c r="V19" s="608">
        <f t="shared" si="4"/>
        <v>0</v>
      </c>
      <c r="W19" s="608">
        <f t="shared" si="4"/>
        <v>0</v>
      </c>
      <c r="X19" s="608">
        <f t="shared" si="4"/>
        <v>0</v>
      </c>
      <c r="Y19" s="608">
        <f t="shared" si="4"/>
        <v>0</v>
      </c>
      <c r="Z19" s="608">
        <f t="shared" si="4"/>
        <v>0</v>
      </c>
      <c r="AA19" s="608">
        <f t="shared" si="4"/>
        <v>0</v>
      </c>
      <c r="AB19" s="608">
        <f t="shared" si="4"/>
        <v>0</v>
      </c>
      <c r="AC19" s="142"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M19" s="438">
        <v>57</v>
      </c>
    </row>
    <row r="20" spans="1:39" ht="15" hidden="1" customHeight="1">
      <c r="D20" s="442" t="s">
        <v>1194</v>
      </c>
      <c r="E20" s="609"/>
      <c r="F20" s="442"/>
      <c r="G20" s="442"/>
      <c r="H20" s="442"/>
      <c r="AC20" s="1522"/>
      <c r="AM20" s="438">
        <v>0</v>
      </c>
    </row>
    <row r="21" spans="1:39" ht="29.25" customHeight="1">
      <c r="C21" s="384"/>
      <c r="D21" s="471" t="s">
        <v>397</v>
      </c>
      <c r="E21" s="592"/>
      <c r="F21" s="1520" t="str">
        <f>IF(TEMPLATE_SPHERE="HEAT","Гкал/час","тыс. куб. м/сутки")</f>
        <v>Гкал/час</v>
      </c>
      <c r="G21" s="601"/>
      <c r="H21" s="601"/>
      <c r="I21" s="601"/>
      <c r="J21" s="601"/>
      <c r="K21" s="601"/>
      <c r="L21" s="601"/>
      <c r="M21" s="601"/>
      <c r="N21" s="601"/>
      <c r="O21" s="601"/>
      <c r="P21" s="601"/>
      <c r="Q21" s="601"/>
      <c r="R21" s="601"/>
      <c r="S21" s="601"/>
      <c r="T21" s="601"/>
      <c r="U21" s="601"/>
      <c r="V21" s="601"/>
      <c r="W21" s="601"/>
      <c r="X21" s="601"/>
      <c r="Y21" s="601"/>
      <c r="Z21" s="601"/>
      <c r="AA21" s="601"/>
      <c r="AB21" s="601"/>
      <c r="AC21" s="231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M21" s="438">
        <v>28</v>
      </c>
    </row>
    <row r="22" spans="1:39" ht="15.75" customHeight="1">
      <c r="A22" s="438"/>
      <c r="C22" s="438"/>
      <c r="D22" s="281"/>
      <c r="E22" s="511" t="s">
        <v>1195</v>
      </c>
      <c r="F22" s="504"/>
      <c r="G22" s="504"/>
      <c r="H22" s="504"/>
      <c r="I22" s="2206"/>
      <c r="J22" s="2207"/>
      <c r="K22" s="2208"/>
      <c r="L22" s="2209"/>
      <c r="M22" s="2210"/>
      <c r="N22" s="2211"/>
      <c r="O22" s="2212"/>
      <c r="P22" s="2213"/>
      <c r="Q22" s="2214"/>
      <c r="R22" s="2215"/>
      <c r="S22" s="2216"/>
      <c r="T22" s="2217"/>
      <c r="U22" s="2218"/>
      <c r="V22" s="2219"/>
      <c r="W22" s="2220"/>
      <c r="X22" s="2221"/>
      <c r="Y22" s="2222"/>
      <c r="Z22" s="2223"/>
      <c r="AA22" s="2224"/>
      <c r="AB22" s="2242"/>
      <c r="AC22" s="2314"/>
      <c r="AL22" s="438"/>
      <c r="AM22" s="438">
        <v>15</v>
      </c>
    </row>
    <row r="23" spans="1:39" ht="22.5" hidden="1" customHeight="1">
      <c r="A23" s="382" t="s">
        <v>69</v>
      </c>
      <c r="B23" s="438">
        <v>0</v>
      </c>
      <c r="C23" s="604">
        <v>4</v>
      </c>
      <c r="D23" s="438">
        <v>6</v>
      </c>
      <c r="E23" s="438">
        <v>36</v>
      </c>
      <c r="F23" s="438">
        <v>9</v>
      </c>
      <c r="G23" s="663">
        <v>0</v>
      </c>
      <c r="H23" s="438">
        <v>40</v>
      </c>
      <c r="I23" s="1423">
        <v>0</v>
      </c>
      <c r="J23" s="1423">
        <v>0</v>
      </c>
      <c r="K23" s="1423">
        <v>0</v>
      </c>
      <c r="L23" s="1423">
        <v>0</v>
      </c>
      <c r="M23" s="1423">
        <v>0</v>
      </c>
      <c r="N23" s="1423">
        <v>0</v>
      </c>
      <c r="O23" s="1423">
        <v>0</v>
      </c>
      <c r="P23" s="1423">
        <v>0</v>
      </c>
      <c r="Q23" s="1423">
        <v>0</v>
      </c>
      <c r="R23" s="1423">
        <v>0</v>
      </c>
      <c r="S23" s="1423">
        <v>0</v>
      </c>
      <c r="T23" s="1423">
        <v>0</v>
      </c>
      <c r="U23" s="1423">
        <v>0</v>
      </c>
      <c r="V23" s="1423">
        <v>0</v>
      </c>
      <c r="W23" s="1423">
        <v>0</v>
      </c>
      <c r="X23" s="1423">
        <v>0</v>
      </c>
      <c r="Y23" s="1423">
        <v>0</v>
      </c>
      <c r="Z23" s="1423">
        <v>0</v>
      </c>
      <c r="AA23" s="1423">
        <v>0</v>
      </c>
      <c r="AB23" s="1423">
        <v>0</v>
      </c>
      <c r="AC23" s="350">
        <v>93</v>
      </c>
      <c r="AD23" s="438">
        <v>10</v>
      </c>
      <c r="AE23" s="438">
        <v>10</v>
      </c>
      <c r="AF23" s="438">
        <v>10</v>
      </c>
      <c r="AG23" s="438">
        <v>10</v>
      </c>
      <c r="AH23" s="438">
        <v>10</v>
      </c>
      <c r="AI23" s="438">
        <v>10</v>
      </c>
      <c r="AJ23" s="438">
        <v>10</v>
      </c>
      <c r="AK23" s="438">
        <v>10</v>
      </c>
      <c r="AL23" s="596">
        <v>10</v>
      </c>
      <c r="AM23" s="438">
        <v>23</v>
      </c>
    </row>
  </sheetData>
  <sheetProtection formatColumns="0" formatRows="0" insertRows="0" deleteColumns="0" deleteRows="0" sort="0" autoFilter="0"/>
  <mergeCells count="8">
    <mergeCell ref="AC21:AC22"/>
    <mergeCell ref="AC9:AC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AB2 G21:AB21">
      <formula1>-9.99999999999999E+23</formula1>
      <formula2>9.99999999999999E+23</formula2>
    </dataValidation>
    <dataValidation type="whole" allowBlank="1" showErrorMessage="1" errorTitle="Ошибка" error="Допускается ввод только неотрицательных целых чисел!" sqref="G15:AB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AB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1857" hidden="1" customWidth="1"/>
    <col min="2" max="2" width="9.140625" style="1154" hidden="1" customWidth="1"/>
    <col min="3" max="3" width="3" style="278" customWidth="1"/>
    <col min="4" max="4" width="6" style="1423" customWidth="1"/>
    <col min="5" max="6" width="64" style="1423" customWidth="1"/>
    <col min="7" max="7" width="140" style="1423" customWidth="1"/>
    <col min="8" max="8" width="10" style="1423" customWidth="1"/>
    <col min="9" max="10" width="10" style="1412" customWidth="1"/>
    <col min="11" max="16" width="10" style="1423" customWidth="1"/>
    <col min="17" max="17" width="10.5703125" style="1423" hidden="1"/>
  </cols>
  <sheetData>
    <row r="1" spans="1:17" ht="22.5" hidden="1" customHeight="1">
      <c r="M1" s="189"/>
      <c r="N1" s="189"/>
      <c r="P1" s="189"/>
      <c r="Q1" s="21" t="s">
        <v>1</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31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319"/>
      <c r="F5" s="2319"/>
      <c r="G5" s="2320"/>
      <c r="Q5" s="21">
        <v>28</v>
      </c>
    </row>
    <row r="6" spans="1:17" s="1423" customFormat="1" ht="18.75" customHeight="1">
      <c r="A6" s="780"/>
      <c r="B6" s="350"/>
      <c r="C6" s="309"/>
      <c r="D6" s="2371" t="str">
        <f>IF(org=0,"Не определено",org)</f>
        <v>ООО "Смоленскрегионтеплоэнерго"</v>
      </c>
      <c r="E6" s="2372"/>
      <c r="F6" s="2372"/>
      <c r="G6" s="2373"/>
      <c r="I6" s="433"/>
      <c r="J6" s="433"/>
      <c r="Q6" s="663">
        <v>18</v>
      </c>
    </row>
    <row r="7" spans="1:17" ht="14.65" customHeight="1">
      <c r="C7" s="34"/>
      <c r="D7" s="22"/>
      <c r="E7" s="33"/>
      <c r="F7" s="659"/>
      <c r="G7" s="127"/>
      <c r="Q7" s="21">
        <v>14</v>
      </c>
    </row>
    <row r="8" spans="1:17" s="1423" customFormat="1" ht="1.1499999999999999" customHeight="1">
      <c r="A8" s="1456"/>
      <c r="B8" s="961"/>
      <c r="C8" s="309"/>
      <c r="D8" s="296"/>
      <c r="E8" s="322"/>
      <c r="F8" s="659"/>
      <c r="G8" s="127"/>
      <c r="I8" s="1412"/>
      <c r="J8" s="1412"/>
      <c r="Q8" s="1419">
        <v>1</v>
      </c>
    </row>
    <row r="9" spans="1:17" ht="14.65" customHeight="1">
      <c r="C9" s="34"/>
      <c r="D9" s="2357" t="s">
        <v>384</v>
      </c>
      <c r="E9" s="2357"/>
      <c r="F9" s="2357"/>
      <c r="G9" s="2504" t="s">
        <v>385</v>
      </c>
      <c r="Q9" s="21">
        <v>14</v>
      </c>
    </row>
    <row r="10" spans="1:17" ht="24" customHeight="1">
      <c r="C10" s="34"/>
      <c r="D10" s="43" t="s">
        <v>75</v>
      </c>
      <c r="E10" s="45" t="s">
        <v>386</v>
      </c>
      <c r="F10" s="45" t="s">
        <v>474</v>
      </c>
      <c r="G10" s="2504"/>
      <c r="Q10" s="21">
        <v>23</v>
      </c>
    </row>
    <row r="11" spans="1:17" ht="12" hidden="1" customHeight="1">
      <c r="C11" s="34"/>
      <c r="D11" s="25"/>
      <c r="E11" s="25"/>
      <c r="F11" s="25"/>
      <c r="G11" s="25"/>
      <c r="Q11" s="21">
        <v>0</v>
      </c>
    </row>
    <row r="12" spans="1:17" ht="65.25" customHeight="1">
      <c r="A12" s="126"/>
      <c r="C12" s="34"/>
      <c r="D12" s="82">
        <v>1</v>
      </c>
      <c r="E12" s="131"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2" t="s">
        <v>390</v>
      </c>
      <c r="G12" s="85"/>
      <c r="Q12" s="21">
        <v>62</v>
      </c>
    </row>
    <row r="13" spans="1:17" ht="24" customHeight="1">
      <c r="A13" s="126"/>
      <c r="C13" s="34"/>
      <c r="D13" s="82" t="s">
        <v>1141</v>
      </c>
      <c r="E13" s="128"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2" t="s">
        <v>390</v>
      </c>
      <c r="G13" s="85"/>
      <c r="Q13" s="21">
        <v>23</v>
      </c>
    </row>
    <row r="14" spans="1:17" ht="14.65" customHeight="1">
      <c r="A14" s="126"/>
      <c r="C14" s="34"/>
      <c r="D14" s="82" t="s">
        <v>1177</v>
      </c>
      <c r="E14" s="129"/>
      <c r="F14" s="147"/>
      <c r="G14" s="231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6"/>
      <c r="C15" s="34"/>
      <c r="D15" s="46"/>
      <c r="E15" s="282" t="s">
        <v>1196</v>
      </c>
      <c r="F15" s="135"/>
      <c r="G15" s="2314"/>
      <c r="Q15" s="21">
        <v>15</v>
      </c>
    </row>
    <row r="16" spans="1:17" ht="14.65" customHeight="1">
      <c r="A16" s="126"/>
      <c r="C16" s="34"/>
      <c r="D16" s="82" t="s">
        <v>1143</v>
      </c>
      <c r="E16" s="128"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2" t="s">
        <v>390</v>
      </c>
      <c r="G16" s="271"/>
      <c r="Q16" s="21">
        <v>14</v>
      </c>
    </row>
    <row r="17" spans="1:17" ht="14.65" customHeight="1">
      <c r="A17" s="126"/>
      <c r="C17" s="34"/>
      <c r="D17" s="82" t="s">
        <v>1185</v>
      </c>
      <c r="E17" s="129"/>
      <c r="F17" s="318"/>
      <c r="G17" s="231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1">
        <v>14</v>
      </c>
    </row>
    <row r="18" spans="1:17" s="1423" customFormat="1" ht="21.95" customHeight="1">
      <c r="A18" s="277"/>
      <c r="B18" s="81"/>
      <c r="C18" s="241"/>
      <c r="D18" s="281"/>
      <c r="E18" s="282" t="s">
        <v>1197</v>
      </c>
      <c r="F18" s="272"/>
      <c r="G18" s="2314"/>
      <c r="I18" s="283"/>
      <c r="J18" s="283"/>
      <c r="Q18" s="276">
        <v>21</v>
      </c>
    </row>
    <row r="19" spans="1:17" s="1423" customFormat="1" ht="256.5" hidden="1" customHeight="1">
      <c r="A19" s="277"/>
      <c r="B19" s="350"/>
      <c r="C19" s="309"/>
      <c r="D19" s="782" t="s">
        <v>1145</v>
      </c>
      <c r="E19" s="781" t="s">
        <v>1198</v>
      </c>
      <c r="F19" s="318"/>
      <c r="G19" s="271" t="s">
        <v>1199</v>
      </c>
      <c r="I19" s="433"/>
      <c r="J19" s="433"/>
      <c r="Q19" s="663">
        <v>0</v>
      </c>
    </row>
    <row r="20" spans="1:17" s="1423" customFormat="1" ht="14.65" customHeight="1">
      <c r="A20" s="277"/>
      <c r="B20" s="81"/>
      <c r="C20" s="241"/>
      <c r="D20" s="783">
        <v>2</v>
      </c>
      <c r="E20" s="264" t="s">
        <v>1200</v>
      </c>
      <c r="F20" s="132" t="s">
        <v>390</v>
      </c>
      <c r="G20" s="271"/>
      <c r="I20" s="283"/>
      <c r="J20" s="283"/>
      <c r="Q20" s="276">
        <v>14</v>
      </c>
    </row>
    <row r="21" spans="1:17" s="1423" customFormat="1" ht="18.75" hidden="1" customHeight="1">
      <c r="A21" s="277"/>
      <c r="B21" s="81"/>
      <c r="C21" s="241"/>
      <c r="D21" s="267" t="s">
        <v>751</v>
      </c>
      <c r="E21" s="266"/>
      <c r="F21" s="265"/>
      <c r="G21" s="275"/>
      <c r="H21" s="268"/>
      <c r="I21" s="283"/>
      <c r="J21" s="283"/>
      <c r="Q21" s="276">
        <v>0</v>
      </c>
    </row>
    <row r="22" spans="1:17" ht="15.75" customHeight="1">
      <c r="A22" s="126"/>
      <c r="C22" s="34"/>
      <c r="D22" s="46"/>
      <c r="E22" s="137" t="s">
        <v>406</v>
      </c>
      <c r="F22" s="272"/>
      <c r="G22" s="273"/>
      <c r="Q22" s="21">
        <v>15</v>
      </c>
    </row>
    <row r="23" spans="1:17" s="1423" customFormat="1" ht="22.5" hidden="1" customHeight="1">
      <c r="A23" s="277"/>
      <c r="B23" s="961"/>
      <c r="C23" s="309"/>
      <c r="D23" s="1460" t="s">
        <v>89</v>
      </c>
      <c r="E23" s="131" t="s">
        <v>1201</v>
      </c>
      <c r="F23" s="1457" t="s">
        <v>390</v>
      </c>
      <c r="G23" s="279"/>
      <c r="I23" s="1412"/>
      <c r="J23" s="1412"/>
      <c r="Q23" s="1419">
        <v>0</v>
      </c>
    </row>
    <row r="24" spans="1:17" s="1423" customFormat="1" ht="14.25" hidden="1" customHeight="1">
      <c r="A24" s="277"/>
      <c r="B24" s="961"/>
      <c r="C24" s="309"/>
      <c r="D24" s="1460" t="s">
        <v>823</v>
      </c>
      <c r="E24" s="1459" t="s">
        <v>1202</v>
      </c>
      <c r="F24" s="1457" t="s">
        <v>390</v>
      </c>
      <c r="G24" s="271"/>
      <c r="I24" s="1412"/>
      <c r="J24" s="1412"/>
      <c r="Q24" s="1419">
        <v>0</v>
      </c>
    </row>
    <row r="25" spans="1:17" s="1423" customFormat="1" ht="14.25" hidden="1" customHeight="1">
      <c r="A25" s="277"/>
      <c r="B25" s="961"/>
      <c r="C25" s="309"/>
      <c r="D25" s="1460" t="s">
        <v>826</v>
      </c>
      <c r="E25" s="129"/>
      <c r="F25" s="318"/>
      <c r="G25" s="2312" t="s">
        <v>1203</v>
      </c>
      <c r="I25" s="1412"/>
      <c r="J25" s="1412"/>
      <c r="Q25" s="1419">
        <v>0</v>
      </c>
    </row>
    <row r="26" spans="1:17" s="1423" customFormat="1" ht="14.25" hidden="1" customHeight="1">
      <c r="A26" s="277"/>
      <c r="B26" s="961"/>
      <c r="C26" s="309"/>
      <c r="D26" s="281"/>
      <c r="E26" s="282" t="s">
        <v>1204</v>
      </c>
      <c r="F26" s="272"/>
      <c r="G26" s="2314"/>
      <c r="I26" s="1412"/>
      <c r="J26" s="1412"/>
      <c r="Q26" s="1419">
        <v>0</v>
      </c>
    </row>
    <row r="27" spans="1:17" s="1423" customFormat="1" ht="33.75" hidden="1" customHeight="1">
      <c r="A27" s="277"/>
      <c r="B27" s="1154"/>
      <c r="C27" s="309"/>
      <c r="D27" s="1829" t="s">
        <v>77</v>
      </c>
      <c r="E27" s="131" t="s">
        <v>1205</v>
      </c>
      <c r="F27" s="1830" t="s">
        <v>390</v>
      </c>
      <c r="G27" s="1313"/>
      <c r="I27" s="1412"/>
      <c r="J27" s="1412"/>
      <c r="Q27" s="1419">
        <v>0</v>
      </c>
    </row>
    <row r="28" spans="1:17" s="1423" customFormat="1" ht="22.5" hidden="1" customHeight="1">
      <c r="A28" s="277"/>
      <c r="B28" s="1154"/>
      <c r="C28" s="309"/>
      <c r="D28" s="1829" t="s">
        <v>408</v>
      </c>
      <c r="E28" s="1831" t="s">
        <v>1206</v>
      </c>
      <c r="F28" s="1830" t="s">
        <v>390</v>
      </c>
      <c r="G28" s="271"/>
      <c r="I28" s="1412"/>
      <c r="J28" s="1412"/>
      <c r="Q28" s="1419">
        <v>0</v>
      </c>
    </row>
    <row r="29" spans="1:17" s="1423" customFormat="1" ht="14.25" hidden="1" customHeight="1">
      <c r="A29" s="277"/>
      <c r="B29" s="1154"/>
      <c r="C29" s="309"/>
      <c r="D29" s="1829" t="s">
        <v>410</v>
      </c>
      <c r="E29" s="1867"/>
      <c r="F29" s="589"/>
      <c r="G29" s="2312" t="s">
        <v>1207</v>
      </c>
      <c r="I29" s="1412"/>
      <c r="J29" s="1412"/>
      <c r="Q29" s="1419">
        <v>0</v>
      </c>
    </row>
    <row r="30" spans="1:17" s="1423" customFormat="1" ht="14.25" hidden="1" customHeight="1">
      <c r="A30" s="277"/>
      <c r="B30" s="1154"/>
      <c r="C30" s="309"/>
      <c r="D30" s="281"/>
      <c r="E30" s="503" t="s">
        <v>1204</v>
      </c>
      <c r="F30" s="272"/>
      <c r="G30" s="2314"/>
      <c r="I30" s="1412"/>
      <c r="J30" s="1412"/>
      <c r="Q30" s="1419">
        <v>0</v>
      </c>
    </row>
    <row r="31" spans="1:17" ht="3" customHeight="1">
      <c r="Q31" s="21">
        <v>3</v>
      </c>
    </row>
    <row r="32" spans="1:17" ht="14.65" customHeight="1">
      <c r="D32" s="270"/>
      <c r="E32" s="269"/>
      <c r="F32" s="249"/>
      <c r="G32" s="249"/>
      <c r="H32" s="249"/>
      <c r="I32" s="249"/>
      <c r="J32" s="249"/>
      <c r="K32" s="249"/>
      <c r="L32" s="249"/>
      <c r="M32" s="249"/>
      <c r="N32" s="249"/>
      <c r="O32" s="249"/>
      <c r="P32" s="249"/>
      <c r="Q32" s="21">
        <v>14</v>
      </c>
    </row>
    <row r="33" spans="1:17" ht="14.65" customHeight="1">
      <c r="D33" s="270"/>
      <c r="E33" s="513"/>
      <c r="Q33" s="21">
        <v>14</v>
      </c>
    </row>
    <row r="34" spans="1:17" ht="14.65" customHeight="1">
      <c r="Q34" s="21">
        <v>14</v>
      </c>
    </row>
    <row r="35" spans="1:17" ht="14.65" customHeight="1">
      <c r="E35" s="663"/>
      <c r="Q35" s="21">
        <v>14</v>
      </c>
    </row>
    <row r="36" spans="1:17" ht="22.5" hidden="1" customHeight="1">
      <c r="A36" s="39" t="s">
        <v>69</v>
      </c>
      <c r="B36" s="81">
        <v>0</v>
      </c>
      <c r="C36" s="35">
        <v>3</v>
      </c>
      <c r="D36" s="21">
        <v>6</v>
      </c>
      <c r="E36" s="21">
        <v>64</v>
      </c>
      <c r="F36" s="21">
        <v>64</v>
      </c>
      <c r="G36" s="21">
        <v>140</v>
      </c>
      <c r="H36" s="21">
        <v>10</v>
      </c>
      <c r="I36" s="89">
        <v>10</v>
      </c>
      <c r="J36" s="89">
        <v>10</v>
      </c>
      <c r="K36" s="21">
        <v>10</v>
      </c>
      <c r="L36" s="21">
        <v>10</v>
      </c>
      <c r="M36" s="21">
        <v>10</v>
      </c>
      <c r="N36" s="21">
        <v>10</v>
      </c>
      <c r="O36" s="21">
        <v>10</v>
      </c>
      <c r="P36" s="21">
        <v>10</v>
      </c>
      <c r="Q36" s="21">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535" hidden="1" customWidth="1"/>
    <col min="2" max="2" width="9.140625" style="1154" hidden="1" customWidth="1"/>
    <col min="3" max="3" width="3" style="278" customWidth="1"/>
    <col min="4" max="4" width="6" style="1423" customWidth="1"/>
    <col min="5" max="5" width="63" style="1423" customWidth="1"/>
    <col min="6" max="6" width="1.7109375" style="1423" hidden="1" customWidth="1"/>
    <col min="7" max="8" width="35" style="1423" customWidth="1"/>
    <col min="9" max="9" width="91" style="1423" customWidth="1"/>
    <col min="10" max="10" width="68" style="1423" customWidth="1"/>
    <col min="11" max="12" width="10" style="1412" customWidth="1"/>
    <col min="13" max="13" width="10.5703125" style="1423" hidden="1"/>
  </cols>
  <sheetData>
    <row r="1" spans="1:13" ht="22.5" hidden="1" customHeight="1">
      <c r="M1" s="21" t="s">
        <v>1</v>
      </c>
    </row>
    <row r="2" spans="1:13" s="1423" customFormat="1" ht="18.75" hidden="1" customHeight="1">
      <c r="A2" s="1470"/>
      <c r="B2" s="961"/>
      <c r="C2" s="1489" t="s">
        <v>90</v>
      </c>
      <c r="D2" s="1460"/>
      <c r="E2" s="133"/>
      <c r="F2" s="1457"/>
      <c r="G2" s="1457" t="s">
        <v>390</v>
      </c>
      <c r="H2" s="962"/>
      <c r="K2" s="1412"/>
      <c r="L2" s="1412"/>
      <c r="M2" s="1419">
        <v>0</v>
      </c>
    </row>
    <row r="3" spans="1:13" s="1423" customFormat="1" ht="14.25" hidden="1" customHeight="1">
      <c r="A3" s="1150"/>
      <c r="B3" s="961"/>
      <c r="C3" s="278"/>
      <c r="K3" s="1412"/>
      <c r="L3" s="1412"/>
      <c r="M3" s="1419">
        <v>0</v>
      </c>
    </row>
    <row r="4" spans="1:13" s="1423" customFormat="1" ht="18.75" hidden="1" customHeight="1">
      <c r="A4" s="1470"/>
      <c r="B4" s="961"/>
      <c r="C4" s="1489" t="s">
        <v>90</v>
      </c>
      <c r="D4" s="1460"/>
      <c r="E4" s="139" t="s">
        <v>1208</v>
      </c>
      <c r="F4" s="1457"/>
      <c r="G4" s="191"/>
      <c r="H4" s="1457" t="s">
        <v>390</v>
      </c>
      <c r="K4" s="1412"/>
      <c r="L4" s="1412"/>
      <c r="M4" s="1419">
        <v>0</v>
      </c>
    </row>
    <row r="5" spans="1:13" s="1423" customFormat="1" ht="14.25" hidden="1" customHeight="1">
      <c r="A5" s="1150"/>
      <c r="B5" s="961"/>
      <c r="C5" s="278"/>
      <c r="K5" s="1412"/>
      <c r="L5" s="1412"/>
      <c r="M5" s="1419">
        <v>0</v>
      </c>
    </row>
    <row r="6" spans="1:13" s="1423" customFormat="1" ht="18.75" hidden="1" customHeight="1">
      <c r="A6" s="1470"/>
      <c r="B6" s="961"/>
      <c r="C6" s="1489" t="s">
        <v>90</v>
      </c>
      <c r="D6" s="1460"/>
      <c r="E6" s="140" t="s">
        <v>1209</v>
      </c>
      <c r="F6" s="1457"/>
      <c r="G6" s="191"/>
      <c r="H6" s="1457" t="s">
        <v>390</v>
      </c>
      <c r="K6" s="1412"/>
      <c r="L6" s="1412"/>
      <c r="M6" s="1419">
        <v>0</v>
      </c>
    </row>
    <row r="7" spans="1:13" s="1423" customFormat="1" ht="14.25" hidden="1" customHeight="1">
      <c r="A7" s="1150"/>
      <c r="B7" s="961"/>
      <c r="C7" s="278"/>
      <c r="K7" s="1412"/>
      <c r="L7" s="1412"/>
      <c r="M7" s="1419">
        <v>0</v>
      </c>
    </row>
    <row r="8" spans="1:13" s="1423" customFormat="1" ht="18.75" hidden="1" customHeight="1">
      <c r="A8" s="1470"/>
      <c r="B8" s="961"/>
      <c r="C8" s="1489" t="s">
        <v>90</v>
      </c>
      <c r="D8" s="1460"/>
      <c r="E8" s="140" t="s">
        <v>1210</v>
      </c>
      <c r="F8" s="1457"/>
      <c r="G8" s="191"/>
      <c r="H8" s="1457" t="s">
        <v>390</v>
      </c>
      <c r="K8" s="1412"/>
      <c r="L8" s="1412"/>
      <c r="M8" s="1419">
        <v>0</v>
      </c>
    </row>
    <row r="9" spans="1:13" s="1423" customFormat="1" ht="14.25" hidden="1" customHeight="1">
      <c r="A9" s="1150"/>
      <c r="B9" s="961"/>
      <c r="C9" s="278"/>
      <c r="K9" s="1412"/>
      <c r="L9" s="1412"/>
      <c r="M9" s="1419">
        <v>0</v>
      </c>
    </row>
    <row r="10" spans="1:13" s="1423" customFormat="1" ht="18.75" hidden="1" customHeight="1">
      <c r="A10" s="1470"/>
      <c r="B10" s="961"/>
      <c r="C10" s="1489" t="s">
        <v>90</v>
      </c>
      <c r="D10" s="1460"/>
      <c r="E10" s="140" t="s">
        <v>1211</v>
      </c>
      <c r="F10" s="1457"/>
      <c r="G10" s="1461"/>
      <c r="H10" s="1457" t="s">
        <v>390</v>
      </c>
      <c r="K10" s="1412"/>
      <c r="L10" s="1412" t="s">
        <v>1212</v>
      </c>
      <c r="M10" s="1419">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231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319"/>
      <c r="F14" s="2319"/>
      <c r="G14" s="2319"/>
      <c r="H14" s="2320"/>
      <c r="J14" s="1419"/>
      <c r="M14" s="21">
        <v>28</v>
      </c>
    </row>
    <row r="15" spans="1:13" s="1423" customFormat="1" ht="14.65" customHeight="1">
      <c r="A15" s="1150"/>
      <c r="B15" s="961"/>
      <c r="C15" s="309"/>
      <c r="D15" s="2371" t="str">
        <f>IF(org=0,"Не определено",org)</f>
        <v>ООО "Смоленскрегионтеплоэнерго"</v>
      </c>
      <c r="E15" s="2372"/>
      <c r="F15" s="2372"/>
      <c r="G15" s="2372"/>
      <c r="H15" s="2373"/>
      <c r="J15" s="751"/>
      <c r="K15" s="1412"/>
      <c r="L15" s="1412"/>
      <c r="M15" s="1419">
        <v>14</v>
      </c>
    </row>
    <row r="16" spans="1:13" ht="14.65" customHeight="1">
      <c r="C16" s="34"/>
      <c r="D16" s="22"/>
      <c r="E16" s="33"/>
      <c r="F16" s="33"/>
      <c r="G16" s="33"/>
      <c r="H16" s="659"/>
      <c r="I16" s="127"/>
      <c r="M16" s="21">
        <v>14</v>
      </c>
    </row>
    <row r="17" spans="1:13" s="1423" customFormat="1" ht="14.25" hidden="1" customHeight="1">
      <c r="A17" s="1150"/>
      <c r="B17" s="961"/>
      <c r="C17" s="309"/>
      <c r="D17" s="296"/>
      <c r="E17" s="322"/>
      <c r="F17" s="322"/>
      <c r="G17" s="322"/>
      <c r="H17" s="659"/>
      <c r="I17" s="127"/>
      <c r="K17" s="1412"/>
      <c r="L17" s="1412"/>
      <c r="M17" s="1419">
        <v>0</v>
      </c>
    </row>
    <row r="18" spans="1:13" ht="21.95" customHeight="1">
      <c r="C18" s="34"/>
      <c r="D18" s="2357" t="s">
        <v>384</v>
      </c>
      <c r="E18" s="2357"/>
      <c r="F18" s="2357"/>
      <c r="G18" s="2357"/>
      <c r="H18" s="2357"/>
      <c r="I18" s="2504" t="s">
        <v>385</v>
      </c>
      <c r="M18" s="21">
        <v>21</v>
      </c>
    </row>
    <row r="19" spans="1:13" ht="21.95" customHeight="1">
      <c r="C19" s="34"/>
      <c r="D19" s="43" t="s">
        <v>75</v>
      </c>
      <c r="E19" s="45" t="s">
        <v>386</v>
      </c>
      <c r="F19" s="45"/>
      <c r="G19" s="45" t="s">
        <v>387</v>
      </c>
      <c r="H19" s="45" t="s">
        <v>474</v>
      </c>
      <c r="I19" s="2504"/>
      <c r="M19" s="21">
        <v>21</v>
      </c>
    </row>
    <row r="20" spans="1:13" ht="12" hidden="1" customHeight="1">
      <c r="C20" s="34"/>
      <c r="D20" s="25"/>
      <c r="E20" s="25"/>
      <c r="F20" s="25"/>
      <c r="G20" s="25"/>
      <c r="H20" s="25"/>
      <c r="I20" s="25"/>
      <c r="M20" s="21">
        <v>0</v>
      </c>
    </row>
    <row r="21" spans="1:13" ht="14.65" customHeight="1">
      <c r="A21" s="1470"/>
      <c r="C21" s="34"/>
      <c r="D21" s="82">
        <v>1</v>
      </c>
      <c r="E21" s="2566" t="s">
        <v>1213</v>
      </c>
      <c r="F21" s="2566"/>
      <c r="G21" s="2566"/>
      <c r="H21" s="2566"/>
      <c r="I21" s="142"/>
      <c r="M21" s="21">
        <v>14</v>
      </c>
    </row>
    <row r="22" spans="1:13" ht="21" customHeight="1">
      <c r="A22" s="1470"/>
      <c r="C22" s="34"/>
      <c r="D22" s="82" t="s">
        <v>1141</v>
      </c>
      <c r="E22" s="128" t="s">
        <v>1214</v>
      </c>
      <c r="F22" s="132"/>
      <c r="G22" s="1496"/>
      <c r="H22" s="132" t="s">
        <v>390</v>
      </c>
      <c r="I22" s="85" t="s">
        <v>1215</v>
      </c>
      <c r="M22" s="21">
        <v>20</v>
      </c>
    </row>
    <row r="23" spans="1:13" ht="60" customHeight="1">
      <c r="A23" s="1470"/>
      <c r="C23" s="34"/>
      <c r="D23" s="82" t="s">
        <v>1143</v>
      </c>
      <c r="E23" s="128" t="s">
        <v>1216</v>
      </c>
      <c r="F23" s="132"/>
      <c r="G23" s="191"/>
      <c r="H23" s="147"/>
      <c r="I23" s="192" t="s">
        <v>1217</v>
      </c>
      <c r="M23" s="21">
        <v>57</v>
      </c>
    </row>
    <row r="24" spans="1:13" ht="14.65" customHeight="1">
      <c r="A24" s="1470"/>
      <c r="B24" s="81">
        <v>3</v>
      </c>
      <c r="C24" s="34"/>
      <c r="D24" s="82">
        <v>2</v>
      </c>
      <c r="E24" s="156"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2"/>
      <c r="G24" s="132" t="s">
        <v>390</v>
      </c>
      <c r="H24" s="147"/>
      <c r="I24" s="193" t="s">
        <v>746</v>
      </c>
      <c r="M24" s="21">
        <v>14</v>
      </c>
    </row>
    <row r="25" spans="1:13" ht="48.2" customHeight="1">
      <c r="A25" s="1470"/>
      <c r="C25" s="34"/>
      <c r="D25" s="82">
        <v>3</v>
      </c>
      <c r="E25" s="256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66"/>
      <c r="G25" s="2566"/>
      <c r="H25" s="2566"/>
      <c r="I25" s="190"/>
      <c r="M25" s="21">
        <v>46</v>
      </c>
    </row>
    <row r="26" spans="1:13" ht="14.65" customHeight="1">
      <c r="A26" s="1470"/>
      <c r="C26" s="34"/>
      <c r="D26" s="82" t="s">
        <v>408</v>
      </c>
      <c r="E26" s="133"/>
      <c r="F26" s="132"/>
      <c r="G26" s="132" t="s">
        <v>390</v>
      </c>
      <c r="H26" s="147"/>
      <c r="I26" s="2312" t="s">
        <v>1218</v>
      </c>
      <c r="M26" s="21">
        <v>14</v>
      </c>
    </row>
    <row r="27" spans="1:13" ht="15.75" customHeight="1">
      <c r="A27" s="1470" t="s">
        <v>161</v>
      </c>
      <c r="C27" s="34"/>
      <c r="D27" s="46"/>
      <c r="E27" s="137" t="s">
        <v>406</v>
      </c>
      <c r="F27" s="138"/>
      <c r="G27" s="138"/>
      <c r="H27" s="135"/>
      <c r="I27" s="2314"/>
      <c r="M27" s="21">
        <v>15</v>
      </c>
    </row>
    <row r="28" spans="1:13" ht="39.75" customHeight="1">
      <c r="A28" s="1470"/>
      <c r="B28" s="81">
        <v>3</v>
      </c>
      <c r="C28" s="34"/>
      <c r="D28" s="82">
        <v>4</v>
      </c>
      <c r="E28" s="256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66"/>
      <c r="G28" s="2566"/>
      <c r="H28" s="2566"/>
      <c r="I28" s="190"/>
      <c r="M28" s="21">
        <v>38</v>
      </c>
    </row>
    <row r="29" spans="1:13" ht="21" customHeight="1">
      <c r="A29" s="1470"/>
      <c r="C29" s="34"/>
      <c r="D29" s="82" t="s">
        <v>874</v>
      </c>
      <c r="E29" s="139" t="s">
        <v>1208</v>
      </c>
      <c r="F29" s="132"/>
      <c r="G29" s="191"/>
      <c r="H29" s="132" t="s">
        <v>390</v>
      </c>
      <c r="I29" s="2312" t="s">
        <v>1219</v>
      </c>
      <c r="M29" s="21">
        <v>20</v>
      </c>
    </row>
    <row r="30" spans="1:13" ht="15.75" customHeight="1">
      <c r="A30" s="1470" t="s">
        <v>89</v>
      </c>
      <c r="C30" s="34"/>
      <c r="D30" s="46"/>
      <c r="E30" s="137" t="s">
        <v>406</v>
      </c>
      <c r="F30" s="138"/>
      <c r="G30" s="138"/>
      <c r="H30" s="135"/>
      <c r="I30" s="2314"/>
      <c r="M30" s="21">
        <v>15</v>
      </c>
    </row>
    <row r="31" spans="1:13" ht="31.5" customHeight="1">
      <c r="A31" s="1470"/>
      <c r="B31" s="81">
        <v>3</v>
      </c>
      <c r="C31" s="34"/>
      <c r="D31" s="82">
        <v>5</v>
      </c>
      <c r="E31" s="256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66"/>
      <c r="G31" s="2566"/>
      <c r="H31" s="2566"/>
      <c r="I31" s="190"/>
      <c r="M31" s="21">
        <v>30</v>
      </c>
    </row>
    <row r="32" spans="1:13" ht="27.4" customHeight="1">
      <c r="A32" s="1470"/>
      <c r="C32" s="34"/>
      <c r="D32" s="82" t="s">
        <v>397</v>
      </c>
      <c r="E32" s="251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14"/>
      <c r="G32" s="2514"/>
      <c r="H32" s="2514"/>
      <c r="I32" s="190"/>
      <c r="M32" s="21">
        <v>26</v>
      </c>
    </row>
    <row r="33" spans="1:13" ht="14.65" customHeight="1">
      <c r="A33" s="1470"/>
      <c r="C33" s="34"/>
      <c r="D33" s="82" t="s">
        <v>1220</v>
      </c>
      <c r="E33" s="140" t="s">
        <v>1209</v>
      </c>
      <c r="F33" s="132"/>
      <c r="G33" s="191"/>
      <c r="H33" s="132" t="s">
        <v>390</v>
      </c>
      <c r="I33" s="2312" t="s">
        <v>1221</v>
      </c>
      <c r="M33" s="21">
        <v>14</v>
      </c>
    </row>
    <row r="34" spans="1:13" ht="15.75" customHeight="1">
      <c r="A34" s="1470" t="s">
        <v>77</v>
      </c>
      <c r="C34" s="34"/>
      <c r="D34" s="46"/>
      <c r="E34" s="138" t="s">
        <v>406</v>
      </c>
      <c r="F34" s="134"/>
      <c r="G34" s="134"/>
      <c r="H34" s="135"/>
      <c r="I34" s="2314"/>
      <c r="M34" s="21">
        <v>15</v>
      </c>
    </row>
    <row r="35" spans="1:13" ht="25.15" customHeight="1">
      <c r="A35" s="1470"/>
      <c r="C35" s="34"/>
      <c r="D35" s="82" t="s">
        <v>955</v>
      </c>
      <c r="E35" s="251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14"/>
      <c r="G35" s="2514"/>
      <c r="H35" s="2514"/>
      <c r="I35" s="190"/>
      <c r="M35" s="21">
        <v>24</v>
      </c>
    </row>
    <row r="36" spans="1:13" ht="14.65" customHeight="1">
      <c r="A36" s="1470"/>
      <c r="C36" s="34"/>
      <c r="D36" s="82" t="s">
        <v>1222</v>
      </c>
      <c r="E36" s="140" t="s">
        <v>1210</v>
      </c>
      <c r="F36" s="132"/>
      <c r="G36" s="191"/>
      <c r="H36" s="132" t="s">
        <v>390</v>
      </c>
      <c r="I36" s="2291" t="s">
        <v>1223</v>
      </c>
      <c r="M36" s="21">
        <v>14</v>
      </c>
    </row>
    <row r="37" spans="1:13" ht="15.75" customHeight="1">
      <c r="A37" s="1470" t="s">
        <v>78</v>
      </c>
      <c r="C37" s="34"/>
      <c r="D37" s="46"/>
      <c r="E37" s="138" t="s">
        <v>406</v>
      </c>
      <c r="F37" s="134"/>
      <c r="G37" s="134"/>
      <c r="H37" s="135"/>
      <c r="I37" s="2291"/>
      <c r="M37" s="21">
        <v>15</v>
      </c>
    </row>
    <row r="38" spans="1:13" ht="27.4" customHeight="1">
      <c r="A38" s="1470"/>
      <c r="C38" s="34"/>
      <c r="D38" s="82" t="s">
        <v>956</v>
      </c>
      <c r="E38" s="251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14"/>
      <c r="G38" s="2514"/>
      <c r="H38" s="2514"/>
      <c r="I38" s="190"/>
      <c r="M38" s="21">
        <v>26</v>
      </c>
    </row>
    <row r="39" spans="1:13" ht="14.65" customHeight="1">
      <c r="A39" s="1470"/>
      <c r="C39" s="34"/>
      <c r="D39" s="82" t="s">
        <v>957</v>
      </c>
      <c r="E39" s="140" t="s">
        <v>1211</v>
      </c>
      <c r="F39" s="132"/>
      <c r="G39" s="141"/>
      <c r="H39" s="132" t="s">
        <v>390</v>
      </c>
      <c r="I39" s="2312" t="s">
        <v>1224</v>
      </c>
      <c r="L39" s="89" t="s">
        <v>1212</v>
      </c>
      <c r="M39" s="21">
        <v>14</v>
      </c>
    </row>
    <row r="40" spans="1:13" ht="15.75" customHeight="1">
      <c r="A40" s="1470" t="s">
        <v>115</v>
      </c>
      <c r="C40" s="34"/>
      <c r="D40" s="46"/>
      <c r="E40" s="138" t="s">
        <v>406</v>
      </c>
      <c r="F40" s="134"/>
      <c r="G40" s="134"/>
      <c r="H40" s="135"/>
      <c r="I40" s="2314"/>
      <c r="M40" s="21">
        <v>15</v>
      </c>
    </row>
    <row r="41" spans="1:13" s="1581" customFormat="1" ht="3" customHeight="1">
      <c r="A41" s="1470"/>
      <c r="K41" s="130"/>
      <c r="L41" s="130"/>
      <c r="M41" s="76">
        <v>3</v>
      </c>
    </row>
    <row r="42" spans="1:13" ht="26.25" customHeight="1">
      <c r="D42" s="1468" t="s">
        <v>936</v>
      </c>
      <c r="E42" s="239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94"/>
      <c r="G42" s="2394"/>
      <c r="H42" s="2394"/>
      <c r="I42" s="2394"/>
      <c r="M42" s="21">
        <v>25</v>
      </c>
    </row>
    <row r="43" spans="1:13" ht="22.5" hidden="1" customHeight="1">
      <c r="A43" s="1150" t="s">
        <v>69</v>
      </c>
      <c r="B43" s="81">
        <v>0</v>
      </c>
      <c r="C43" s="35">
        <v>3</v>
      </c>
      <c r="D43" s="21">
        <v>6</v>
      </c>
      <c r="E43" s="21">
        <v>63</v>
      </c>
      <c r="F43" s="21">
        <v>0</v>
      </c>
      <c r="G43" s="21">
        <v>35</v>
      </c>
      <c r="H43" s="21">
        <v>35</v>
      </c>
      <c r="I43" s="21">
        <v>91</v>
      </c>
      <c r="J43" s="21">
        <v>68</v>
      </c>
      <c r="K43" s="89">
        <v>10</v>
      </c>
      <c r="L43" s="89">
        <v>10</v>
      </c>
      <c r="M43" s="2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538" hidden="1" customWidth="1"/>
    <col min="3" max="3" width="9.140625" style="1474" hidden="1" customWidth="1"/>
    <col min="4" max="4" width="3" style="278" customWidth="1"/>
    <col min="5" max="5" width="6" style="1423" customWidth="1"/>
    <col min="6" max="6" width="46.7109375" style="1423" customWidth="1"/>
    <col min="7" max="7" width="35" style="1423" customWidth="1"/>
    <col min="8" max="8" width="3" style="1423" customWidth="1"/>
    <col min="9" max="10" width="11" style="1423" customWidth="1"/>
    <col min="11" max="12" width="35" style="1423" customWidth="1"/>
    <col min="13" max="13" width="84" style="1423" customWidth="1"/>
    <col min="14" max="14" width="10" style="1423" customWidth="1"/>
    <col min="15" max="16" width="10" style="1412" customWidth="1"/>
    <col min="17" max="33" width="10" style="1423" customWidth="1"/>
    <col min="34" max="34" width="10.5703125" style="1423" hidden="1"/>
  </cols>
  <sheetData>
    <row r="1" spans="1:34" s="1423" customFormat="1" ht="22.5" hidden="1" customHeight="1">
      <c r="A1" s="1538"/>
      <c r="B1" s="1538"/>
      <c r="C1" s="302"/>
      <c r="D1" s="278"/>
      <c r="N1" s="1424">
        <f>IFERROR(MATCH("метод экономически обоснованных расходов (затрат)",OFFER_METHOD,0),0)</f>
        <v>0</v>
      </c>
      <c r="O1" s="1412"/>
      <c r="P1" s="1412"/>
      <c r="T1" s="730"/>
      <c r="AG1" s="189"/>
      <c r="AH1" s="1419" t="s">
        <v>1</v>
      </c>
    </row>
    <row r="2" spans="1:34" s="1423" customFormat="1" ht="18.75" hidden="1" customHeight="1">
      <c r="A2" s="1539" t="s">
        <v>241</v>
      </c>
      <c r="B2" s="1539" t="s">
        <v>242</v>
      </c>
      <c r="C2" s="302"/>
      <c r="D2" s="278"/>
      <c r="E2" s="874"/>
      <c r="F2" s="874"/>
      <c r="G2" s="2562" t="str">
        <f>INDEX(PT_DIFFERENTIATION_NTAR,MATCH(B2,PT_DIFFERENTIATION_NTAR_ID,0))</f>
        <v/>
      </c>
      <c r="H2" s="1620"/>
      <c r="I2" s="1498"/>
      <c r="J2" s="1532"/>
      <c r="K2" s="1621"/>
      <c r="L2" s="1620" t="s">
        <v>390</v>
      </c>
      <c r="M2" s="1628"/>
      <c r="N2" s="268"/>
      <c r="O2" s="1412"/>
      <c r="P2" s="1412"/>
      <c r="AH2" s="1419">
        <v>0</v>
      </c>
    </row>
    <row r="3" spans="1:34" s="1423" customFormat="1" ht="18.75" hidden="1" customHeight="1">
      <c r="A3" s="1539"/>
      <c r="B3" s="1539"/>
      <c r="C3" s="302" t="s">
        <v>1225</v>
      </c>
      <c r="D3" s="278"/>
      <c r="E3" s="874"/>
      <c r="F3" s="874"/>
      <c r="G3" s="2562"/>
      <c r="H3" s="1288"/>
      <c r="I3" s="582" t="s">
        <v>1226</v>
      </c>
      <c r="J3" s="503"/>
      <c r="K3" s="1288"/>
      <c r="L3" s="148"/>
      <c r="M3" s="1628"/>
      <c r="N3" s="268"/>
      <c r="O3" s="1412"/>
      <c r="P3" s="1412"/>
      <c r="AH3" s="1419">
        <v>0</v>
      </c>
    </row>
    <row r="4" spans="1:34" s="1423" customFormat="1" ht="14.25" hidden="1" customHeight="1">
      <c r="A4" s="1538"/>
      <c r="B4" s="1538"/>
      <c r="C4" s="302"/>
      <c r="D4" s="278"/>
      <c r="N4" s="1424">
        <f>IFERROR(MATCH("метод экономически обоснованных расходов (затрат)",OFFER_METHOD,0),0)</f>
        <v>0</v>
      </c>
      <c r="O4" s="1412"/>
      <c r="P4" s="1412"/>
      <c r="T4" s="730"/>
      <c r="AG4" s="189"/>
      <c r="AH4" s="1419">
        <v>0</v>
      </c>
    </row>
    <row r="5" spans="1:34" s="1423" customFormat="1" ht="18.75" hidden="1" customHeight="1">
      <c r="A5" s="1539" t="s">
        <v>241</v>
      </c>
      <c r="B5" s="1539" t="s">
        <v>242</v>
      </c>
      <c r="C5" s="302"/>
      <c r="D5" s="278"/>
      <c r="E5" s="874"/>
      <c r="F5" s="874"/>
      <c r="G5" s="2562" t="str">
        <f>INDEX(PT_DIFFERENTIATION_NTAR,MATCH(B5,PT_DIFFERENTIATION_NTAR_ID,0))</f>
        <v/>
      </c>
      <c r="H5" s="1620"/>
      <c r="I5" s="1498"/>
      <c r="J5" s="1532"/>
      <c r="K5" s="1537"/>
      <c r="L5" s="1620" t="s">
        <v>390</v>
      </c>
      <c r="M5" s="1628"/>
      <c r="N5" s="268"/>
      <c r="O5" s="1412"/>
      <c r="P5" s="1412"/>
      <c r="AH5" s="1419">
        <v>0</v>
      </c>
    </row>
    <row r="6" spans="1:34" s="1423" customFormat="1" ht="18.75" hidden="1" customHeight="1">
      <c r="A6" s="1539"/>
      <c r="B6" s="1539"/>
      <c r="C6" s="302" t="s">
        <v>1227</v>
      </c>
      <c r="D6" s="278"/>
      <c r="E6" s="874"/>
      <c r="F6" s="874"/>
      <c r="G6" s="2562"/>
      <c r="H6" s="1288"/>
      <c r="I6" s="582" t="s">
        <v>1226</v>
      </c>
      <c r="J6" s="503"/>
      <c r="K6" s="1288"/>
      <c r="L6" s="148"/>
      <c r="M6" s="1628"/>
      <c r="N6" s="268"/>
      <c r="O6" s="1412"/>
      <c r="P6" s="1412"/>
      <c r="AH6" s="1419">
        <v>0</v>
      </c>
    </row>
    <row r="7" spans="1:34" s="1423" customFormat="1" ht="14.25" hidden="1" customHeight="1">
      <c r="A7" s="1538"/>
      <c r="B7" s="1538"/>
      <c r="C7" s="302"/>
      <c r="D7" s="278"/>
      <c r="N7" s="1424">
        <f>IFERROR(MATCH("метод экономически обоснованных расходов (затрат)",OFFER_METHOD,0),0)</f>
        <v>0</v>
      </c>
      <c r="O7" s="1412"/>
      <c r="P7" s="1412"/>
      <c r="T7" s="730"/>
      <c r="AG7" s="189"/>
      <c r="AH7" s="1419">
        <v>0</v>
      </c>
    </row>
    <row r="8" spans="1:34" s="1423" customFormat="1" ht="56.25" hidden="1" customHeight="1">
      <c r="A8" s="1539"/>
      <c r="B8" s="1539"/>
      <c r="C8" s="302"/>
      <c r="D8" s="278"/>
      <c r="E8" s="874"/>
      <c r="F8" s="874"/>
      <c r="G8" s="874"/>
      <c r="H8" s="1530"/>
      <c r="I8" s="1498"/>
      <c r="J8" s="1532"/>
      <c r="K8" s="1621"/>
      <c r="L8" s="1530" t="s">
        <v>390</v>
      </c>
      <c r="M8" s="1628"/>
      <c r="N8" s="268"/>
      <c r="O8" s="1412"/>
      <c r="P8" s="1412"/>
      <c r="AH8" s="1419">
        <v>0</v>
      </c>
    </row>
    <row r="9" spans="1:34" ht="14.25" hidden="1" customHeight="1">
      <c r="T9" s="330"/>
      <c r="AG9" s="189"/>
      <c r="AH9" s="307">
        <v>0</v>
      </c>
    </row>
    <row r="10" spans="1:34" s="1423" customFormat="1" ht="56.25" hidden="1" customHeight="1">
      <c r="A10" s="1539"/>
      <c r="B10" s="1539"/>
      <c r="C10" s="302"/>
      <c r="D10" s="278"/>
      <c r="E10" s="874"/>
      <c r="F10" s="874"/>
      <c r="G10" s="874"/>
      <c r="H10" s="1529"/>
      <c r="I10" s="1498"/>
      <c r="J10" s="1532"/>
      <c r="K10" s="1537"/>
      <c r="L10" s="1530" t="s">
        <v>390</v>
      </c>
      <c r="M10" s="1628"/>
      <c r="N10" s="268"/>
      <c r="O10" s="1412"/>
      <c r="P10" s="1412"/>
      <c r="AH10" s="1419">
        <v>0</v>
      </c>
    </row>
    <row r="11" spans="1:34" ht="14.25" hidden="1" customHeight="1">
      <c r="AH11" s="307">
        <v>0</v>
      </c>
    </row>
    <row r="12" spans="1:34" ht="14.25" hidden="1" customHeight="1">
      <c r="AH12" s="307">
        <v>0</v>
      </c>
    </row>
    <row r="13" spans="1:34" ht="6.4" customHeight="1">
      <c r="D13" s="309"/>
      <c r="E13" s="296"/>
      <c r="F13" s="296"/>
      <c r="G13" s="296"/>
      <c r="H13" s="296"/>
      <c r="I13" s="296"/>
      <c r="J13" s="296"/>
      <c r="K13" s="296"/>
      <c r="L13" s="23"/>
      <c r="M13" s="23"/>
      <c r="AH13" s="307">
        <v>6</v>
      </c>
    </row>
    <row r="14" spans="1:34" ht="14.65" customHeight="1">
      <c r="D14" s="309"/>
      <c r="E14" s="256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68"/>
      <c r="G14" s="2568"/>
      <c r="H14" s="2568"/>
      <c r="I14" s="2568"/>
      <c r="J14" s="2568"/>
      <c r="K14" s="2568"/>
      <c r="L14" s="2568"/>
      <c r="M14" s="154"/>
      <c r="AH14" s="307">
        <v>14</v>
      </c>
    </row>
    <row r="15" spans="1:34" ht="6.4" customHeight="1">
      <c r="D15" s="309"/>
      <c r="E15" s="296"/>
      <c r="F15" s="322"/>
      <c r="G15" s="322"/>
      <c r="H15" s="322"/>
      <c r="I15" s="322"/>
      <c r="J15" s="322"/>
      <c r="K15" s="322"/>
      <c r="L15" s="256"/>
      <c r="M15" s="127"/>
      <c r="AH15" s="307">
        <v>6</v>
      </c>
    </row>
    <row r="16" spans="1:34" ht="24" customHeight="1">
      <c r="D16" s="309"/>
      <c r="E16" s="296"/>
      <c r="F16" s="239" t="str">
        <f>"Дата подачи заявления об "&amp;IF(TITLE_DATE_PR_CHANGE="","утверждении","изменении")&amp;" тарифов"</f>
        <v>Дата подачи заявления об утверждении тарифов</v>
      </c>
      <c r="G16" s="2387" t="str">
        <f>IF(TITLE_DATE_PR_CHANGE="",IF(TITLE_DATE_PR="","",TITLE_DATE_PR),TITLE_DATE_PR_CHANGE)</f>
        <v/>
      </c>
      <c r="H16" s="2387"/>
      <c r="I16" s="2387"/>
      <c r="J16" s="2387"/>
      <c r="K16" s="2387"/>
      <c r="L16" s="2387"/>
      <c r="M16" s="331"/>
      <c r="N16" s="260"/>
      <c r="AH16" s="307">
        <v>23</v>
      </c>
    </row>
    <row r="17" spans="1:34" ht="24" customHeight="1">
      <c r="D17" s="309"/>
      <c r="E17" s="296"/>
      <c r="F17" s="239" t="str">
        <f>"Номер подачи заявления об "&amp;IF(TITLE_DATE_PR_CHANGE="","утверждении","изменении")&amp;" тарифов"</f>
        <v>Номер подачи заявления об утверждении тарифов</v>
      </c>
      <c r="G17" s="2388" t="str">
        <f>IF(TITLE_NUMBER_PR_CHANGE="",IF(TITLE_NUMBER_PR="","",TITLE_NUMBER_PR),TITLE_NUMBER_PR_CHANGE)</f>
        <v/>
      </c>
      <c r="H17" s="2388"/>
      <c r="I17" s="2388"/>
      <c r="J17" s="2388"/>
      <c r="K17" s="2388"/>
      <c r="L17" s="2388"/>
      <c r="M17" s="331"/>
      <c r="N17" s="260"/>
      <c r="AH17" s="307">
        <v>23</v>
      </c>
    </row>
    <row r="18" spans="1:34" ht="14.65" customHeight="1">
      <c r="D18" s="309"/>
      <c r="E18" s="296"/>
      <c r="F18" s="322"/>
      <c r="G18" s="322"/>
      <c r="H18" s="322"/>
      <c r="I18" s="322"/>
      <c r="J18" s="322"/>
      <c r="K18" s="322"/>
      <c r="L18" s="659"/>
      <c r="M18" s="127"/>
      <c r="AH18" s="307">
        <v>14</v>
      </c>
    </row>
    <row r="19" spans="1:34" ht="21.95" customHeight="1">
      <c r="D19" s="309"/>
      <c r="E19" s="2357" t="s">
        <v>384</v>
      </c>
      <c r="F19" s="2357"/>
      <c r="G19" s="2357"/>
      <c r="H19" s="2357"/>
      <c r="I19" s="2357"/>
      <c r="J19" s="2357"/>
      <c r="K19" s="2357"/>
      <c r="L19" s="2357"/>
      <c r="M19" s="2504" t="s">
        <v>385</v>
      </c>
      <c r="AH19" s="307">
        <v>21</v>
      </c>
    </row>
    <row r="20" spans="1:34" ht="21.95" customHeight="1">
      <c r="D20" s="309"/>
      <c r="E20" s="2412" t="s">
        <v>75</v>
      </c>
      <c r="F20" s="2363" t="s">
        <v>213</v>
      </c>
      <c r="G20" s="2363" t="s">
        <v>214</v>
      </c>
      <c r="H20" s="2501" t="s">
        <v>1228</v>
      </c>
      <c r="I20" s="2502"/>
      <c r="J20" s="2564"/>
      <c r="K20" s="2363" t="s">
        <v>387</v>
      </c>
      <c r="L20" s="2363" t="s">
        <v>474</v>
      </c>
      <c r="M20" s="2504"/>
      <c r="AH20" s="307">
        <v>21</v>
      </c>
    </row>
    <row r="21" spans="1:34" ht="21.95" customHeight="1">
      <c r="D21" s="309"/>
      <c r="E21" s="2414"/>
      <c r="F21" s="2364"/>
      <c r="G21" s="2364"/>
      <c r="H21" s="2362" t="s">
        <v>1229</v>
      </c>
      <c r="I21" s="2375"/>
      <c r="J21" s="45" t="s">
        <v>1230</v>
      </c>
      <c r="K21" s="2364"/>
      <c r="L21" s="2364"/>
      <c r="M21" s="2504"/>
      <c r="AH21" s="307">
        <v>21</v>
      </c>
    </row>
    <row r="22" spans="1:34" ht="12.75" customHeight="1">
      <c r="D22" s="309"/>
      <c r="E22" s="215"/>
      <c r="F22" s="215"/>
      <c r="G22" s="215"/>
      <c r="H22" s="2570"/>
      <c r="I22" s="2570"/>
      <c r="J22" s="215"/>
      <c r="K22" s="215"/>
      <c r="L22" s="215"/>
      <c r="M22" s="215"/>
      <c r="AH22" s="307">
        <v>12</v>
      </c>
    </row>
    <row r="23" spans="1:34" ht="19.899999999999999" customHeight="1">
      <c r="A23" s="1539"/>
      <c r="B23" s="1539"/>
      <c r="D23" s="309"/>
      <c r="E23" s="1622" t="s">
        <v>161</v>
      </c>
      <c r="F23" s="2571" t="str">
        <f>"Предлагаемый метод регулирования"&amp;IF(TEMPLATE_SPHERE="HEAT"," в сфере "&amp;TEMPLATE_SPHERE_RUS,"")</f>
        <v>Предлагаемый метод регулирования в сфере теплоснабжения</v>
      </c>
      <c r="G23" s="2571"/>
      <c r="H23" s="2566"/>
      <c r="I23" s="2566"/>
      <c r="J23" s="2566"/>
      <c r="K23" s="2571" t="s">
        <v>390</v>
      </c>
      <c r="L23" s="2566"/>
      <c r="M23" s="1528"/>
      <c r="N23" s="268"/>
      <c r="AH23" s="307">
        <v>19</v>
      </c>
    </row>
    <row r="24" spans="1:34" ht="60.75" hidden="1" customHeight="1">
      <c r="A24" s="1539" t="s">
        <v>241</v>
      </c>
      <c r="B24" s="1539" t="s">
        <v>242</v>
      </c>
      <c r="D24" s="2569"/>
      <c r="E24" s="2352"/>
      <c r="F24" s="257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62" t="str">
        <f>INDEX(PT_DIFFERENTIATION_NTAR,MATCH(B24,PT_DIFFERENTIATION_NTAR_ID,0))</f>
        <v/>
      </c>
      <c r="H24" s="1618"/>
      <c r="I24" s="1498"/>
      <c r="J24" s="1532"/>
      <c r="K24" s="1621"/>
      <c r="L24" s="1527" t="s">
        <v>390</v>
      </c>
      <c r="M24" s="231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8"/>
      <c r="AH24" s="307">
        <v>0</v>
      </c>
    </row>
    <row r="25" spans="1:34" s="1423" customFormat="1" ht="18.75" hidden="1" customHeight="1">
      <c r="A25" s="1539"/>
      <c r="B25" s="1539"/>
      <c r="C25" s="302" t="s">
        <v>1225</v>
      </c>
      <c r="D25" s="2569"/>
      <c r="E25" s="2352"/>
      <c r="F25" s="2572"/>
      <c r="G25" s="2562"/>
      <c r="H25" s="1288"/>
      <c r="I25" s="582" t="s">
        <v>1226</v>
      </c>
      <c r="J25" s="503"/>
      <c r="K25" s="1288"/>
      <c r="L25" s="148"/>
      <c r="M25" s="2313"/>
      <c r="N25" s="268"/>
      <c r="O25" s="1412"/>
      <c r="P25" s="1412"/>
      <c r="AH25" s="1419">
        <v>0</v>
      </c>
    </row>
    <row r="26" spans="1:34" ht="0.75" hidden="1" customHeight="1">
      <c r="A26" s="1539"/>
      <c r="B26" s="1539"/>
      <c r="C26" s="302" t="s">
        <v>1231</v>
      </c>
      <c r="D26" s="2569"/>
      <c r="E26" s="2352"/>
      <c r="F26" s="2491"/>
      <c r="G26" s="333"/>
      <c r="H26" s="1288"/>
      <c r="I26" s="328"/>
      <c r="J26" s="282"/>
      <c r="K26" s="1288"/>
      <c r="L26" s="135"/>
      <c r="M26" s="2313"/>
      <c r="N26" s="268"/>
      <c r="AH26" s="307">
        <v>0</v>
      </c>
    </row>
    <row r="27" spans="1:34" s="1423" customFormat="1" ht="45" hidden="1" customHeight="1">
      <c r="A27" s="1539" t="s">
        <v>246</v>
      </c>
      <c r="B27" s="1539" t="s">
        <v>247</v>
      </c>
      <c r="C27" s="302"/>
      <c r="D27" s="2567"/>
      <c r="E27" s="2573"/>
      <c r="F27" s="2574" t="str">
        <f>INDEX(PT_DIFFERENTIATION_VTAR,MATCH(A27,PT_DIFFERENTIATION_VTAR_ID,0))</f>
        <v/>
      </c>
      <c r="G27" s="2562" t="str">
        <f>INDEX(PT_DIFFERENTIATION_NTAR,MATCH(B27,PT_DIFFERENTIATION_NTAR_ID,0))</f>
        <v/>
      </c>
      <c r="H27" s="1618"/>
      <c r="I27" s="1498"/>
      <c r="J27" s="1532"/>
      <c r="K27" s="1621"/>
      <c r="L27" s="1618" t="s">
        <v>390</v>
      </c>
      <c r="M27" s="2313"/>
      <c r="N27" s="268"/>
      <c r="O27" s="1412"/>
      <c r="P27" s="1412"/>
      <c r="AH27" s="1419">
        <v>0</v>
      </c>
    </row>
    <row r="28" spans="1:34" s="1423" customFormat="1" ht="18.75" hidden="1" customHeight="1">
      <c r="A28" s="1539"/>
      <c r="B28" s="1539"/>
      <c r="C28" s="302" t="s">
        <v>1225</v>
      </c>
      <c r="D28" s="2567"/>
      <c r="E28" s="2573"/>
      <c r="F28" s="2574"/>
      <c r="G28" s="2562"/>
      <c r="H28" s="1288"/>
      <c r="I28" s="582" t="s">
        <v>1226</v>
      </c>
      <c r="J28" s="503"/>
      <c r="K28" s="1288"/>
      <c r="L28" s="148"/>
      <c r="M28" s="2313"/>
      <c r="N28" s="268"/>
      <c r="O28" s="1412"/>
      <c r="P28" s="1412"/>
      <c r="AH28" s="1419">
        <v>0</v>
      </c>
    </row>
    <row r="29" spans="1:34" s="1423" customFormat="1" ht="0.75" hidden="1" customHeight="1">
      <c r="A29" s="1539"/>
      <c r="B29" s="1539"/>
      <c r="C29" s="302" t="s">
        <v>1231</v>
      </c>
      <c r="D29" s="2567"/>
      <c r="E29" s="2352"/>
      <c r="F29" s="2491"/>
      <c r="G29" s="333"/>
      <c r="H29" s="1288"/>
      <c r="I29" s="582"/>
      <c r="J29" s="503"/>
      <c r="K29" s="1288"/>
      <c r="L29" s="148"/>
      <c r="M29" s="2313"/>
      <c r="N29" s="268"/>
      <c r="O29" s="1412"/>
      <c r="P29" s="1412"/>
      <c r="AH29" s="1419">
        <v>0</v>
      </c>
    </row>
    <row r="30" spans="1:34" s="1423" customFormat="1" ht="45" hidden="1" customHeight="1">
      <c r="A30" s="1539" t="s">
        <v>253</v>
      </c>
      <c r="B30" s="1539" t="s">
        <v>254</v>
      </c>
      <c r="C30" s="302"/>
      <c r="D30" s="2567"/>
      <c r="E30" s="2352"/>
      <c r="F30" s="249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62" t="str">
        <f>INDEX(PT_DIFFERENTIATION_NTAR,MATCH(B30,PT_DIFFERENTIATION_NTAR_ID,0))</f>
        <v/>
      </c>
      <c r="H30" s="1618"/>
      <c r="I30" s="1498"/>
      <c r="J30" s="1532"/>
      <c r="K30" s="1621"/>
      <c r="L30" s="1618" t="s">
        <v>390</v>
      </c>
      <c r="M30" s="2313"/>
      <c r="N30" s="268"/>
      <c r="O30" s="1412"/>
      <c r="P30" s="1412"/>
      <c r="AH30" s="1419">
        <v>0</v>
      </c>
    </row>
    <row r="31" spans="1:34" s="1423" customFormat="1" ht="18.75" hidden="1" customHeight="1">
      <c r="A31" s="1539"/>
      <c r="B31" s="1539"/>
      <c r="C31" s="302" t="s">
        <v>1225</v>
      </c>
      <c r="D31" s="2567"/>
      <c r="E31" s="2352"/>
      <c r="F31" s="2491"/>
      <c r="G31" s="2562"/>
      <c r="H31" s="1288"/>
      <c r="I31" s="582" t="s">
        <v>1226</v>
      </c>
      <c r="J31" s="503"/>
      <c r="K31" s="1288"/>
      <c r="L31" s="148"/>
      <c r="M31" s="2313"/>
      <c r="N31" s="268"/>
      <c r="O31" s="1412"/>
      <c r="P31" s="1412"/>
      <c r="AH31" s="1419">
        <v>0</v>
      </c>
    </row>
    <row r="32" spans="1:34" s="1423" customFormat="1" ht="0.75" hidden="1" customHeight="1">
      <c r="A32" s="1539"/>
      <c r="B32" s="1539"/>
      <c r="C32" s="302" t="s">
        <v>1231</v>
      </c>
      <c r="D32" s="2567"/>
      <c r="E32" s="2352"/>
      <c r="F32" s="2491"/>
      <c r="G32" s="333"/>
      <c r="H32" s="1288"/>
      <c r="I32" s="582"/>
      <c r="J32" s="503"/>
      <c r="K32" s="1288"/>
      <c r="L32" s="148"/>
      <c r="M32" s="2313"/>
      <c r="N32" s="268"/>
      <c r="O32" s="1412"/>
      <c r="P32" s="1412"/>
      <c r="AH32" s="1419">
        <v>0</v>
      </c>
    </row>
    <row r="33" spans="1:34" s="1423" customFormat="1" ht="45" hidden="1" customHeight="1">
      <c r="A33" s="1539" t="s">
        <v>259</v>
      </c>
      <c r="B33" s="1539" t="s">
        <v>260</v>
      </c>
      <c r="C33" s="302"/>
      <c r="D33" s="2567"/>
      <c r="E33" s="2352"/>
      <c r="F33" s="249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62" t="str">
        <f>INDEX(PT_DIFFERENTIATION_NTAR,MATCH(B33,PT_DIFFERENTIATION_NTAR_ID,0))</f>
        <v/>
      </c>
      <c r="H33" s="1618"/>
      <c r="I33" s="1498"/>
      <c r="J33" s="1532"/>
      <c r="K33" s="1621"/>
      <c r="L33" s="1618" t="s">
        <v>390</v>
      </c>
      <c r="M33" s="2313"/>
      <c r="N33" s="268"/>
      <c r="O33" s="1412"/>
      <c r="P33" s="1412"/>
      <c r="AH33" s="1419">
        <v>0</v>
      </c>
    </row>
    <row r="34" spans="1:34" s="1423" customFormat="1" ht="18.75" hidden="1" customHeight="1">
      <c r="A34" s="1539"/>
      <c r="B34" s="1539"/>
      <c r="C34" s="302" t="s">
        <v>1225</v>
      </c>
      <c r="D34" s="2567"/>
      <c r="E34" s="2352"/>
      <c r="F34" s="2491"/>
      <c r="G34" s="2562"/>
      <c r="H34" s="1288"/>
      <c r="I34" s="582" t="s">
        <v>1226</v>
      </c>
      <c r="J34" s="503"/>
      <c r="K34" s="1288"/>
      <c r="L34" s="148"/>
      <c r="M34" s="2313"/>
      <c r="N34" s="268"/>
      <c r="O34" s="1412"/>
      <c r="P34" s="1412"/>
      <c r="AH34" s="1419">
        <v>0</v>
      </c>
    </row>
    <row r="35" spans="1:34" s="1423" customFormat="1" ht="0.75" hidden="1" customHeight="1">
      <c r="A35" s="1539"/>
      <c r="B35" s="1539"/>
      <c r="C35" s="302" t="s">
        <v>1231</v>
      </c>
      <c r="D35" s="2567"/>
      <c r="E35" s="2352"/>
      <c r="F35" s="2491"/>
      <c r="G35" s="333"/>
      <c r="H35" s="1288"/>
      <c r="I35" s="582"/>
      <c r="J35" s="503"/>
      <c r="K35" s="1288"/>
      <c r="L35" s="148"/>
      <c r="M35" s="2313"/>
      <c r="N35" s="268"/>
      <c r="O35" s="1412"/>
      <c r="P35" s="1412"/>
      <c r="AH35" s="1419">
        <v>0</v>
      </c>
    </row>
    <row r="36" spans="1:34" s="1423" customFormat="1" ht="18.75" hidden="1" customHeight="1">
      <c r="A36" s="1539" t="s">
        <v>265</v>
      </c>
      <c r="B36" s="1539" t="s">
        <v>266</v>
      </c>
      <c r="C36" s="302"/>
      <c r="D36" s="2567"/>
      <c r="E36" s="2352"/>
      <c r="F36" s="2491" t="str">
        <f>INDEX(PT_DIFFERENTIATION_VTAR,MATCH(A36,PT_DIFFERENTIATION_VTAR_ID,0))</f>
        <v>Тарифы на услуги по передаче тепловой энергии</v>
      </c>
      <c r="G36" s="2562" t="str">
        <f>INDEX(PT_DIFFERENTIATION_NTAR,MATCH(B36,PT_DIFFERENTIATION_NTAR_ID,0))</f>
        <v/>
      </c>
      <c r="H36" s="1618"/>
      <c r="I36" s="1498"/>
      <c r="J36" s="1532"/>
      <c r="K36" s="1621"/>
      <c r="L36" s="1618" t="s">
        <v>390</v>
      </c>
      <c r="M36" s="2313"/>
      <c r="N36" s="268"/>
      <c r="O36" s="1412"/>
      <c r="P36" s="1412"/>
      <c r="AH36" s="1419">
        <v>0</v>
      </c>
    </row>
    <row r="37" spans="1:34" s="1423" customFormat="1" ht="18.75" hidden="1" customHeight="1">
      <c r="A37" s="1539"/>
      <c r="B37" s="1539"/>
      <c r="C37" s="302" t="s">
        <v>1225</v>
      </c>
      <c r="D37" s="2567"/>
      <c r="E37" s="2352"/>
      <c r="F37" s="2491"/>
      <c r="G37" s="2562"/>
      <c r="H37" s="1288"/>
      <c r="I37" s="582" t="s">
        <v>1226</v>
      </c>
      <c r="J37" s="503"/>
      <c r="K37" s="1288"/>
      <c r="L37" s="148"/>
      <c r="M37" s="2313"/>
      <c r="N37" s="268"/>
      <c r="O37" s="1412"/>
      <c r="P37" s="1412"/>
      <c r="AH37" s="1419">
        <v>0</v>
      </c>
    </row>
    <row r="38" spans="1:34" s="1423" customFormat="1" ht="0.75" hidden="1" customHeight="1">
      <c r="A38" s="1539"/>
      <c r="B38" s="1539"/>
      <c r="C38" s="302" t="s">
        <v>1231</v>
      </c>
      <c r="D38" s="2567"/>
      <c r="E38" s="2352"/>
      <c r="F38" s="2491"/>
      <c r="G38" s="333"/>
      <c r="H38" s="1288"/>
      <c r="I38" s="582"/>
      <c r="J38" s="503"/>
      <c r="K38" s="1288"/>
      <c r="L38" s="148"/>
      <c r="M38" s="2313"/>
      <c r="N38" s="268"/>
      <c r="O38" s="1412"/>
      <c r="P38" s="1412"/>
      <c r="AH38" s="1419">
        <v>0</v>
      </c>
    </row>
    <row r="39" spans="1:34" s="1423" customFormat="1" ht="18.75" hidden="1" customHeight="1">
      <c r="A39" s="1539" t="s">
        <v>271</v>
      </c>
      <c r="B39" s="1539" t="s">
        <v>272</v>
      </c>
      <c r="C39" s="302"/>
      <c r="D39" s="2567"/>
      <c r="E39" s="2352"/>
      <c r="F39" s="2491" t="str">
        <f>INDEX(PT_DIFFERENTIATION_VTAR,MATCH(A39,PT_DIFFERENTIATION_VTAR_ID,0))</f>
        <v>Тарифы на услуги по передаче теплоносителя</v>
      </c>
      <c r="G39" s="2562" t="str">
        <f>INDEX(PT_DIFFERENTIATION_NTAR,MATCH(B39,PT_DIFFERENTIATION_NTAR_ID,0))</f>
        <v/>
      </c>
      <c r="H39" s="1618"/>
      <c r="I39" s="1498"/>
      <c r="J39" s="1532"/>
      <c r="K39" s="1621"/>
      <c r="L39" s="1618" t="s">
        <v>390</v>
      </c>
      <c r="M39" s="2313"/>
      <c r="N39" s="268"/>
      <c r="O39" s="1412"/>
      <c r="P39" s="1412"/>
      <c r="AH39" s="1419">
        <v>0</v>
      </c>
    </row>
    <row r="40" spans="1:34" s="1423" customFormat="1" ht="18.75" hidden="1" customHeight="1">
      <c r="A40" s="1539"/>
      <c r="B40" s="1539"/>
      <c r="C40" s="302" t="s">
        <v>1225</v>
      </c>
      <c r="D40" s="2567"/>
      <c r="E40" s="2352"/>
      <c r="F40" s="2491"/>
      <c r="G40" s="2562"/>
      <c r="H40" s="1288"/>
      <c r="I40" s="582" t="s">
        <v>1226</v>
      </c>
      <c r="J40" s="503"/>
      <c r="K40" s="1288"/>
      <c r="L40" s="148"/>
      <c r="M40" s="2313"/>
      <c r="N40" s="268"/>
      <c r="O40" s="1412"/>
      <c r="P40" s="1412"/>
      <c r="AH40" s="1419">
        <v>0</v>
      </c>
    </row>
    <row r="41" spans="1:34" s="1423" customFormat="1" ht="0.75" hidden="1" customHeight="1">
      <c r="A41" s="1539"/>
      <c r="B41" s="1539"/>
      <c r="C41" s="302" t="s">
        <v>1231</v>
      </c>
      <c r="D41" s="2567"/>
      <c r="E41" s="2352"/>
      <c r="F41" s="2491"/>
      <c r="G41" s="333"/>
      <c r="H41" s="1288"/>
      <c r="I41" s="582"/>
      <c r="J41" s="503"/>
      <c r="K41" s="1288"/>
      <c r="L41" s="148"/>
      <c r="M41" s="2313"/>
      <c r="N41" s="268"/>
      <c r="O41" s="1412"/>
      <c r="P41" s="1412"/>
      <c r="AH41" s="1419">
        <v>0</v>
      </c>
    </row>
    <row r="42" spans="1:34" s="1423" customFormat="1" ht="18.75" hidden="1" customHeight="1">
      <c r="A42" s="1539" t="s">
        <v>277</v>
      </c>
      <c r="B42" s="1539" t="s">
        <v>278</v>
      </c>
      <c r="C42" s="302"/>
      <c r="D42" s="2567"/>
      <c r="E42" s="2352"/>
      <c r="F42" s="2491" t="str">
        <f>INDEX(PT_DIFFERENTIATION_VTAR,MATCH(A42,PT_DIFFERENTIATION_VTAR_ID,0))</f>
        <v>Плата за услуги по поддержанию резервной тепловой мощности при отсутствии потребления тепловой энергии</v>
      </c>
      <c r="G42" s="2562" t="str">
        <f>INDEX(PT_DIFFERENTIATION_NTAR,MATCH(B42,PT_DIFFERENTIATION_NTAR_ID,0))</f>
        <v/>
      </c>
      <c r="H42" s="1618"/>
      <c r="I42" s="1498"/>
      <c r="J42" s="1532"/>
      <c r="K42" s="1621"/>
      <c r="L42" s="1618" t="s">
        <v>390</v>
      </c>
      <c r="M42" s="2313"/>
      <c r="N42" s="268"/>
      <c r="O42" s="1412"/>
      <c r="P42" s="1412"/>
      <c r="AH42" s="1419">
        <v>0</v>
      </c>
    </row>
    <row r="43" spans="1:34" s="1423" customFormat="1" ht="18.75" hidden="1" customHeight="1">
      <c r="A43" s="1539"/>
      <c r="B43" s="1539"/>
      <c r="C43" s="302" t="s">
        <v>1225</v>
      </c>
      <c r="D43" s="2567"/>
      <c r="E43" s="2352"/>
      <c r="F43" s="2491"/>
      <c r="G43" s="2562"/>
      <c r="H43" s="1288"/>
      <c r="I43" s="582" t="s">
        <v>1226</v>
      </c>
      <c r="J43" s="503"/>
      <c r="K43" s="1288"/>
      <c r="L43" s="148"/>
      <c r="M43" s="2313"/>
      <c r="N43" s="268"/>
      <c r="O43" s="1412"/>
      <c r="P43" s="1412"/>
      <c r="AH43" s="1419">
        <v>0</v>
      </c>
    </row>
    <row r="44" spans="1:34" s="1423" customFormat="1" ht="0.75" hidden="1" customHeight="1">
      <c r="A44" s="1539"/>
      <c r="B44" s="1539"/>
      <c r="C44" s="302" t="s">
        <v>1231</v>
      </c>
      <c r="D44" s="2567"/>
      <c r="E44" s="2352"/>
      <c r="F44" s="2491"/>
      <c r="G44" s="333"/>
      <c r="H44" s="1288"/>
      <c r="I44" s="582"/>
      <c r="J44" s="503"/>
      <c r="K44" s="1288"/>
      <c r="L44" s="148"/>
      <c r="M44" s="2313"/>
      <c r="N44" s="268"/>
      <c r="O44" s="1412"/>
      <c r="P44" s="1412"/>
      <c r="AH44" s="1419">
        <v>0</v>
      </c>
    </row>
    <row r="45" spans="1:34" s="1423" customFormat="1" ht="18.75" hidden="1" customHeight="1">
      <c r="A45" s="1539" t="s">
        <v>283</v>
      </c>
      <c r="B45" s="1539" t="s">
        <v>284</v>
      </c>
      <c r="C45" s="302"/>
      <c r="D45" s="2567"/>
      <c r="E45" s="2352"/>
      <c r="F45" s="2491" t="str">
        <f>INDEX(PT_DIFFERENTIATION_VTAR,MATCH(A45,PT_DIFFERENTIATION_VTAR_ID,0))</f>
        <v>Плата за подключение (технологическое присоединение) к системе теплоснабжения</v>
      </c>
      <c r="G45" s="2562" t="str">
        <f>INDEX(PT_DIFFERENTIATION_NTAR,MATCH(B45,PT_DIFFERENTIATION_NTAR_ID,0))</f>
        <v/>
      </c>
      <c r="H45" s="1618"/>
      <c r="I45" s="1498"/>
      <c r="J45" s="1532"/>
      <c r="K45" s="1621"/>
      <c r="L45" s="1618" t="s">
        <v>390</v>
      </c>
      <c r="M45" s="2313"/>
      <c r="N45" s="268"/>
      <c r="O45" s="1412"/>
      <c r="P45" s="1412"/>
      <c r="AH45" s="1419">
        <v>0</v>
      </c>
    </row>
    <row r="46" spans="1:34" s="1423" customFormat="1" ht="18.75" hidden="1" customHeight="1">
      <c r="A46" s="1539"/>
      <c r="B46" s="1539"/>
      <c r="C46" s="302" t="s">
        <v>1225</v>
      </c>
      <c r="D46" s="2567"/>
      <c r="E46" s="2352"/>
      <c r="F46" s="2491"/>
      <c r="G46" s="2562"/>
      <c r="H46" s="1288"/>
      <c r="I46" s="582" t="s">
        <v>1226</v>
      </c>
      <c r="J46" s="503"/>
      <c r="K46" s="1288"/>
      <c r="L46" s="148"/>
      <c r="M46" s="2313"/>
      <c r="N46" s="268"/>
      <c r="O46" s="1412"/>
      <c r="P46" s="1412"/>
      <c r="AH46" s="1419">
        <v>0</v>
      </c>
    </row>
    <row r="47" spans="1:34" s="1423" customFormat="1" ht="0.75" hidden="1" customHeight="1">
      <c r="A47" s="1539"/>
      <c r="B47" s="1539"/>
      <c r="C47" s="302" t="s">
        <v>1231</v>
      </c>
      <c r="D47" s="2567"/>
      <c r="E47" s="2352"/>
      <c r="F47" s="2491"/>
      <c r="G47" s="333"/>
      <c r="H47" s="1288"/>
      <c r="I47" s="582"/>
      <c r="J47" s="503"/>
      <c r="K47" s="1288"/>
      <c r="L47" s="148"/>
      <c r="M47" s="2313"/>
      <c r="N47" s="268"/>
      <c r="O47" s="1412"/>
      <c r="P47" s="1412"/>
      <c r="AH47" s="1419">
        <v>0</v>
      </c>
    </row>
    <row r="48" spans="1:34" s="1423" customFormat="1" ht="18.75" hidden="1" customHeight="1">
      <c r="A48" s="1539" t="s">
        <v>289</v>
      </c>
      <c r="B48" s="1539" t="s">
        <v>290</v>
      </c>
      <c r="C48" s="302"/>
      <c r="D48" s="2567"/>
      <c r="E48" s="2352"/>
      <c r="F48" s="2491" t="str">
        <f>INDEX(PT_DIFFERENTIATION_VTAR,MATCH(A48,PT_DIFFERENTIATION_VTAR_ID,0))</f>
        <v>Плата за подключение (технологическое присоединение) к системе теплоснабжения (индивидуальная)</v>
      </c>
      <c r="G48" s="2562" t="str">
        <f>INDEX(PT_DIFFERENTIATION_NTAR,MATCH(B48,PT_DIFFERENTIATION_NTAR_ID,0))</f>
        <v/>
      </c>
      <c r="H48" s="1739"/>
      <c r="I48" s="1498"/>
      <c r="J48" s="1532"/>
      <c r="K48" s="1621"/>
      <c r="L48" s="1739" t="s">
        <v>390</v>
      </c>
      <c r="M48" s="2313"/>
      <c r="N48" s="268"/>
      <c r="O48" s="1412"/>
      <c r="P48" s="1412"/>
      <c r="AH48" s="1419">
        <v>0</v>
      </c>
    </row>
    <row r="49" spans="1:34" s="1423" customFormat="1" ht="18.75" hidden="1" customHeight="1">
      <c r="A49" s="1539"/>
      <c r="B49" s="1539"/>
      <c r="C49" s="302" t="s">
        <v>1225</v>
      </c>
      <c r="D49" s="2567"/>
      <c r="E49" s="2352"/>
      <c r="F49" s="2491"/>
      <c r="G49" s="2562"/>
      <c r="H49" s="1288"/>
      <c r="I49" s="582" t="s">
        <v>1226</v>
      </c>
      <c r="J49" s="503"/>
      <c r="K49" s="1288"/>
      <c r="L49" s="148"/>
      <c r="M49" s="2313"/>
      <c r="N49" s="268"/>
      <c r="O49" s="1412"/>
      <c r="P49" s="1412"/>
      <c r="AH49" s="1419">
        <v>0</v>
      </c>
    </row>
    <row r="50" spans="1:34" s="1423" customFormat="1" ht="0.75" hidden="1" customHeight="1">
      <c r="A50" s="1539"/>
      <c r="B50" s="1539"/>
      <c r="C50" s="302" t="s">
        <v>1231</v>
      </c>
      <c r="D50" s="2567"/>
      <c r="E50" s="2352"/>
      <c r="F50" s="2491"/>
      <c r="G50" s="333"/>
      <c r="H50" s="1288"/>
      <c r="I50" s="582"/>
      <c r="J50" s="503"/>
      <c r="K50" s="1288"/>
      <c r="L50" s="148"/>
      <c r="M50" s="2313"/>
      <c r="N50" s="268"/>
      <c r="O50" s="1412"/>
      <c r="P50" s="1412"/>
      <c r="AH50" s="1419">
        <v>0</v>
      </c>
    </row>
    <row r="51" spans="1:34" s="1423" customFormat="1" ht="18.75" hidden="1" customHeight="1">
      <c r="A51" s="1539" t="s">
        <v>309</v>
      </c>
      <c r="B51" s="1539" t="s">
        <v>310</v>
      </c>
      <c r="C51" s="302"/>
      <c r="D51" s="2567"/>
      <c r="E51" s="2352"/>
      <c r="F51" s="2491" t="str">
        <f>INDEX(PT_DIFFERENTIATION_VTAR,MATCH(A51,PT_DIFFERENTIATION_VTAR_ID,0))</f>
        <v>Тариф на питьевую воду (питьевое водоснабжение)</v>
      </c>
      <c r="G51" s="2562" t="str">
        <f>INDEX(PT_DIFFERENTIATION_NTAR,MATCH(B51,PT_DIFFERENTIATION_NTAR_ID,0))</f>
        <v/>
      </c>
      <c r="H51" s="1618"/>
      <c r="I51" s="1498"/>
      <c r="J51" s="1532"/>
      <c r="K51" s="1621"/>
      <c r="L51" s="1618" t="s">
        <v>390</v>
      </c>
      <c r="M51" s="2313"/>
      <c r="N51" s="268"/>
      <c r="O51" s="1412"/>
      <c r="P51" s="1412"/>
      <c r="AH51" s="1419">
        <v>0</v>
      </c>
    </row>
    <row r="52" spans="1:34" s="1423" customFormat="1" ht="18.75" hidden="1" customHeight="1">
      <c r="A52" s="1539"/>
      <c r="B52" s="1539"/>
      <c r="C52" s="302" t="s">
        <v>1225</v>
      </c>
      <c r="D52" s="2567"/>
      <c r="E52" s="2352"/>
      <c r="F52" s="2491"/>
      <c r="G52" s="2562"/>
      <c r="H52" s="1288"/>
      <c r="I52" s="582" t="s">
        <v>1226</v>
      </c>
      <c r="J52" s="503"/>
      <c r="K52" s="1288"/>
      <c r="L52" s="148"/>
      <c r="M52" s="2313"/>
      <c r="N52" s="268"/>
      <c r="O52" s="1412"/>
      <c r="P52" s="1412"/>
      <c r="AH52" s="1419">
        <v>0</v>
      </c>
    </row>
    <row r="53" spans="1:34" s="1423" customFormat="1" ht="0.75" hidden="1" customHeight="1">
      <c r="A53" s="1539"/>
      <c r="B53" s="1539"/>
      <c r="C53" s="302" t="s">
        <v>1231</v>
      </c>
      <c r="D53" s="2567"/>
      <c r="E53" s="2352"/>
      <c r="F53" s="2491"/>
      <c r="G53" s="333"/>
      <c r="H53" s="1288"/>
      <c r="I53" s="582"/>
      <c r="J53" s="503"/>
      <c r="K53" s="1288"/>
      <c r="L53" s="148"/>
      <c r="M53" s="2313"/>
      <c r="N53" s="268"/>
      <c r="O53" s="1412"/>
      <c r="P53" s="1412"/>
      <c r="AH53" s="1419">
        <v>0</v>
      </c>
    </row>
    <row r="54" spans="1:34" s="1423" customFormat="1" ht="18.75" hidden="1" customHeight="1">
      <c r="A54" s="1539" t="s">
        <v>314</v>
      </c>
      <c r="B54" s="1539" t="s">
        <v>315</v>
      </c>
      <c r="C54" s="302"/>
      <c r="D54" s="2567"/>
      <c r="E54" s="2352"/>
      <c r="F54" s="2491" t="str">
        <f>INDEX(PT_DIFFERENTIATION_VTAR,MATCH(A54,PT_DIFFERENTIATION_VTAR_ID,0))</f>
        <v>Тариф на техническую воду</v>
      </c>
      <c r="G54" s="2562" t="str">
        <f>INDEX(PT_DIFFERENTIATION_NTAR,MATCH(B54,PT_DIFFERENTIATION_NTAR_ID,0))</f>
        <v/>
      </c>
      <c r="H54" s="1618"/>
      <c r="I54" s="1498"/>
      <c r="J54" s="1532"/>
      <c r="K54" s="1621"/>
      <c r="L54" s="1618" t="s">
        <v>390</v>
      </c>
      <c r="M54" s="2313"/>
      <c r="N54" s="268"/>
      <c r="O54" s="1412"/>
      <c r="P54" s="1412"/>
      <c r="AH54" s="1419">
        <v>0</v>
      </c>
    </row>
    <row r="55" spans="1:34" s="1423" customFormat="1" ht="18.75" hidden="1" customHeight="1">
      <c r="A55" s="1539"/>
      <c r="B55" s="1539"/>
      <c r="C55" s="302" t="s">
        <v>1225</v>
      </c>
      <c r="D55" s="2567"/>
      <c r="E55" s="2352"/>
      <c r="F55" s="2491"/>
      <c r="G55" s="2562"/>
      <c r="H55" s="1288"/>
      <c r="I55" s="582" t="s">
        <v>1226</v>
      </c>
      <c r="J55" s="503"/>
      <c r="K55" s="1288"/>
      <c r="L55" s="148"/>
      <c r="M55" s="2313"/>
      <c r="N55" s="268"/>
      <c r="O55" s="1412"/>
      <c r="P55" s="1412"/>
      <c r="AH55" s="1419">
        <v>0</v>
      </c>
    </row>
    <row r="56" spans="1:34" s="1423" customFormat="1" ht="0.75" hidden="1" customHeight="1">
      <c r="A56" s="1539"/>
      <c r="B56" s="1539"/>
      <c r="C56" s="302" t="s">
        <v>1231</v>
      </c>
      <c r="D56" s="2567"/>
      <c r="E56" s="2352"/>
      <c r="F56" s="2491"/>
      <c r="G56" s="333"/>
      <c r="H56" s="1288"/>
      <c r="I56" s="582"/>
      <c r="J56" s="503"/>
      <c r="K56" s="1288"/>
      <c r="L56" s="148"/>
      <c r="M56" s="2313"/>
      <c r="N56" s="268"/>
      <c r="O56" s="1412"/>
      <c r="P56" s="1412"/>
      <c r="AH56" s="1419">
        <v>0</v>
      </c>
    </row>
    <row r="57" spans="1:34" s="1423" customFormat="1" ht="18.75" hidden="1" customHeight="1">
      <c r="A57" s="1539" t="s">
        <v>319</v>
      </c>
      <c r="B57" s="1539" t="s">
        <v>320</v>
      </c>
      <c r="C57" s="302"/>
      <c r="D57" s="2567"/>
      <c r="E57" s="2352"/>
      <c r="F57" s="2491" t="str">
        <f>INDEX(PT_DIFFERENTIATION_VTAR,MATCH(A57,PT_DIFFERENTIATION_VTAR_ID,0))</f>
        <v>Тариф на транспортировку воды</v>
      </c>
      <c r="G57" s="2562" t="str">
        <f>INDEX(PT_DIFFERENTIATION_NTAR,MATCH(B57,PT_DIFFERENTIATION_NTAR_ID,0))</f>
        <v/>
      </c>
      <c r="H57" s="1618"/>
      <c r="I57" s="1498"/>
      <c r="J57" s="1532"/>
      <c r="K57" s="1621"/>
      <c r="L57" s="1618" t="s">
        <v>390</v>
      </c>
      <c r="M57" s="2313"/>
      <c r="N57" s="268"/>
      <c r="O57" s="1412"/>
      <c r="P57" s="1412"/>
      <c r="AH57" s="1419">
        <v>0</v>
      </c>
    </row>
    <row r="58" spans="1:34" s="1423" customFormat="1" ht="18.75" hidden="1" customHeight="1">
      <c r="A58" s="1539"/>
      <c r="B58" s="1539"/>
      <c r="C58" s="302" t="s">
        <v>1225</v>
      </c>
      <c r="D58" s="2567"/>
      <c r="E58" s="2352"/>
      <c r="F58" s="2491"/>
      <c r="G58" s="2562"/>
      <c r="H58" s="1288"/>
      <c r="I58" s="582" t="s">
        <v>1226</v>
      </c>
      <c r="J58" s="503"/>
      <c r="K58" s="1288"/>
      <c r="L58" s="148"/>
      <c r="M58" s="2313"/>
      <c r="N58" s="268"/>
      <c r="O58" s="1412"/>
      <c r="P58" s="1412"/>
      <c r="AH58" s="1419">
        <v>0</v>
      </c>
    </row>
    <row r="59" spans="1:34" s="1423" customFormat="1" ht="0.75" hidden="1" customHeight="1">
      <c r="A59" s="1539"/>
      <c r="B59" s="1539"/>
      <c r="C59" s="302" t="s">
        <v>1231</v>
      </c>
      <c r="D59" s="2567"/>
      <c r="E59" s="2352"/>
      <c r="F59" s="2491"/>
      <c r="G59" s="333"/>
      <c r="H59" s="1288"/>
      <c r="I59" s="582"/>
      <c r="J59" s="503"/>
      <c r="K59" s="1288"/>
      <c r="L59" s="148"/>
      <c r="M59" s="2313"/>
      <c r="N59" s="268"/>
      <c r="O59" s="1412"/>
      <c r="P59" s="1412"/>
      <c r="AH59" s="1419">
        <v>0</v>
      </c>
    </row>
    <row r="60" spans="1:34" s="1423" customFormat="1" ht="18.75" hidden="1" customHeight="1">
      <c r="A60" s="1539" t="s">
        <v>324</v>
      </c>
      <c r="B60" s="1539" t="s">
        <v>325</v>
      </c>
      <c r="C60" s="302"/>
      <c r="D60" s="2567"/>
      <c r="E60" s="2352"/>
      <c r="F60" s="2491" t="str">
        <f>INDEX(PT_DIFFERENTIATION_VTAR,MATCH(A60,PT_DIFFERENTIATION_VTAR_ID,0))</f>
        <v>Тариф на подвоз воды</v>
      </c>
      <c r="G60" s="2562" t="str">
        <f>INDEX(PT_DIFFERENTIATION_NTAR,MATCH(B60,PT_DIFFERENTIATION_NTAR_ID,0))</f>
        <v/>
      </c>
      <c r="H60" s="1618"/>
      <c r="I60" s="1498"/>
      <c r="J60" s="1532"/>
      <c r="K60" s="1621"/>
      <c r="L60" s="1618" t="s">
        <v>390</v>
      </c>
      <c r="M60" s="2313"/>
      <c r="N60" s="268"/>
      <c r="O60" s="1412"/>
      <c r="P60" s="1412"/>
      <c r="AH60" s="1419">
        <v>0</v>
      </c>
    </row>
    <row r="61" spans="1:34" s="1423" customFormat="1" ht="18.75" hidden="1" customHeight="1">
      <c r="A61" s="1539"/>
      <c r="B61" s="1539"/>
      <c r="C61" s="302" t="s">
        <v>1225</v>
      </c>
      <c r="D61" s="2567"/>
      <c r="E61" s="2352"/>
      <c r="F61" s="2491"/>
      <c r="G61" s="2562"/>
      <c r="H61" s="1288"/>
      <c r="I61" s="582" t="s">
        <v>1226</v>
      </c>
      <c r="J61" s="503"/>
      <c r="K61" s="1288"/>
      <c r="L61" s="148"/>
      <c r="M61" s="2313"/>
      <c r="N61" s="268"/>
      <c r="O61" s="1412"/>
      <c r="P61" s="1412"/>
      <c r="AH61" s="1419">
        <v>0</v>
      </c>
    </row>
    <row r="62" spans="1:34" s="1423" customFormat="1" ht="0.75" hidden="1" customHeight="1">
      <c r="A62" s="1539"/>
      <c r="B62" s="1539"/>
      <c r="C62" s="302" t="s">
        <v>1231</v>
      </c>
      <c r="D62" s="2567"/>
      <c r="E62" s="2352"/>
      <c r="F62" s="2491"/>
      <c r="G62" s="333"/>
      <c r="H62" s="1288"/>
      <c r="I62" s="582"/>
      <c r="J62" s="503"/>
      <c r="K62" s="1288"/>
      <c r="L62" s="148"/>
      <c r="M62" s="2313"/>
      <c r="N62" s="268"/>
      <c r="O62" s="1412"/>
      <c r="P62" s="1412"/>
      <c r="AH62" s="1419">
        <v>0</v>
      </c>
    </row>
    <row r="63" spans="1:34" s="1423" customFormat="1" ht="18.75" hidden="1" customHeight="1">
      <c r="A63" s="1539" t="s">
        <v>329</v>
      </c>
      <c r="B63" s="1539" t="s">
        <v>330</v>
      </c>
      <c r="C63" s="302"/>
      <c r="D63" s="2567"/>
      <c r="E63" s="2352"/>
      <c r="F63" s="249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62" t="str">
        <f>INDEX(PT_DIFFERENTIATION_NTAR,MATCH(B63,PT_DIFFERENTIATION_NTAR_ID,0))</f>
        <v/>
      </c>
      <c r="H63" s="1618"/>
      <c r="I63" s="1498"/>
      <c r="J63" s="1532"/>
      <c r="K63" s="1621"/>
      <c r="L63" s="1618" t="s">
        <v>390</v>
      </c>
      <c r="M63" s="2313"/>
      <c r="N63" s="268"/>
      <c r="O63" s="1412"/>
      <c r="P63" s="1412"/>
      <c r="AH63" s="1419">
        <v>0</v>
      </c>
    </row>
    <row r="64" spans="1:34" s="1423" customFormat="1" ht="18.75" hidden="1" customHeight="1">
      <c r="A64" s="1539"/>
      <c r="B64" s="1539"/>
      <c r="C64" s="302" t="s">
        <v>1225</v>
      </c>
      <c r="D64" s="2567"/>
      <c r="E64" s="2352"/>
      <c r="F64" s="2491"/>
      <c r="G64" s="2562"/>
      <c r="H64" s="1288"/>
      <c r="I64" s="582" t="s">
        <v>1226</v>
      </c>
      <c r="J64" s="503"/>
      <c r="K64" s="1288"/>
      <c r="L64" s="148"/>
      <c r="M64" s="2313"/>
      <c r="N64" s="268"/>
      <c r="O64" s="1412"/>
      <c r="P64" s="1412"/>
      <c r="AH64" s="1419">
        <v>0</v>
      </c>
    </row>
    <row r="65" spans="1:34" s="1423" customFormat="1" ht="0.75" hidden="1" customHeight="1">
      <c r="A65" s="1539"/>
      <c r="B65" s="1539"/>
      <c r="C65" s="302" t="s">
        <v>1231</v>
      </c>
      <c r="D65" s="2567"/>
      <c r="E65" s="2352"/>
      <c r="F65" s="2491"/>
      <c r="G65" s="333"/>
      <c r="H65" s="1288"/>
      <c r="I65" s="582"/>
      <c r="J65" s="503"/>
      <c r="K65" s="1288"/>
      <c r="L65" s="148"/>
      <c r="M65" s="2313"/>
      <c r="N65" s="268"/>
      <c r="O65" s="1412"/>
      <c r="P65" s="1412"/>
      <c r="AH65" s="1419">
        <v>0</v>
      </c>
    </row>
    <row r="66" spans="1:34" s="1423" customFormat="1" ht="18.75" hidden="1" customHeight="1">
      <c r="A66" s="1539" t="s">
        <v>334</v>
      </c>
      <c r="B66" s="1539" t="s">
        <v>335</v>
      </c>
      <c r="C66" s="302"/>
      <c r="D66" s="2567"/>
      <c r="E66" s="2352"/>
      <c r="F66" s="2491" t="str">
        <f>INDEX(PT_DIFFERENTIATION_VTAR,MATCH(A66,PT_DIFFERENTIATION_VTAR_ID,0))</f>
        <v>Тариф на горячую воду (горячее водоснабжение)</v>
      </c>
      <c r="G66" s="2562" t="str">
        <f>INDEX(PT_DIFFERENTIATION_NTAR,MATCH(B66,PT_DIFFERENTIATION_NTAR_ID,0))</f>
        <v/>
      </c>
      <c r="H66" s="1618"/>
      <c r="I66" s="1498"/>
      <c r="J66" s="1532"/>
      <c r="K66" s="1621"/>
      <c r="L66" s="1618" t="s">
        <v>390</v>
      </c>
      <c r="M66" s="2313"/>
      <c r="N66" s="268"/>
      <c r="O66" s="1412"/>
      <c r="P66" s="1412"/>
      <c r="AH66" s="1419">
        <v>0</v>
      </c>
    </row>
    <row r="67" spans="1:34" s="1423" customFormat="1" ht="18.75" hidden="1" customHeight="1">
      <c r="A67" s="1539"/>
      <c r="B67" s="1539"/>
      <c r="C67" s="302" t="s">
        <v>1225</v>
      </c>
      <c r="D67" s="2567"/>
      <c r="E67" s="2352"/>
      <c r="F67" s="2491"/>
      <c r="G67" s="2562"/>
      <c r="H67" s="1288"/>
      <c r="I67" s="582" t="s">
        <v>1226</v>
      </c>
      <c r="J67" s="503"/>
      <c r="K67" s="1288"/>
      <c r="L67" s="148"/>
      <c r="M67" s="2313"/>
      <c r="N67" s="268"/>
      <c r="O67" s="1412"/>
      <c r="P67" s="1412"/>
      <c r="AH67" s="1419">
        <v>0</v>
      </c>
    </row>
    <row r="68" spans="1:34" s="1423" customFormat="1" ht="0.75" hidden="1" customHeight="1">
      <c r="A68" s="1539"/>
      <c r="B68" s="1539"/>
      <c r="C68" s="302" t="s">
        <v>1231</v>
      </c>
      <c r="D68" s="2567"/>
      <c r="E68" s="2352"/>
      <c r="F68" s="2491"/>
      <c r="G68" s="333"/>
      <c r="H68" s="1288"/>
      <c r="I68" s="582"/>
      <c r="J68" s="503"/>
      <c r="K68" s="1288"/>
      <c r="L68" s="148"/>
      <c r="M68" s="2313"/>
      <c r="N68" s="268"/>
      <c r="O68" s="1412"/>
      <c r="P68" s="1412"/>
      <c r="AH68" s="1419">
        <v>0</v>
      </c>
    </row>
    <row r="69" spans="1:34" s="1423" customFormat="1" ht="18.75" hidden="1" customHeight="1">
      <c r="A69" s="1539" t="s">
        <v>339</v>
      </c>
      <c r="B69" s="1539" t="s">
        <v>340</v>
      </c>
      <c r="C69" s="302"/>
      <c r="D69" s="2567"/>
      <c r="E69" s="2352"/>
      <c r="F69" s="2491" t="str">
        <f>INDEX(PT_DIFFERENTIATION_VTAR,MATCH(A69,PT_DIFFERENTIATION_VTAR_ID,0))</f>
        <v>Тариф на транспортировку горячей воды</v>
      </c>
      <c r="G69" s="2562" t="str">
        <f>INDEX(PT_DIFFERENTIATION_NTAR,MATCH(B69,PT_DIFFERENTIATION_NTAR_ID,0))</f>
        <v/>
      </c>
      <c r="H69" s="1618"/>
      <c r="I69" s="1498"/>
      <c r="J69" s="1532"/>
      <c r="K69" s="1621"/>
      <c r="L69" s="1618" t="s">
        <v>390</v>
      </c>
      <c r="M69" s="2313"/>
      <c r="N69" s="268"/>
      <c r="O69" s="1412"/>
      <c r="P69" s="1412"/>
      <c r="AH69" s="1419">
        <v>0</v>
      </c>
    </row>
    <row r="70" spans="1:34" s="1423" customFormat="1" ht="18.75" hidden="1" customHeight="1">
      <c r="A70" s="1539"/>
      <c r="B70" s="1539"/>
      <c r="C70" s="302" t="s">
        <v>1225</v>
      </c>
      <c r="D70" s="2567"/>
      <c r="E70" s="2352"/>
      <c r="F70" s="2491"/>
      <c r="G70" s="2562"/>
      <c r="H70" s="1288"/>
      <c r="I70" s="582" t="s">
        <v>1226</v>
      </c>
      <c r="J70" s="503"/>
      <c r="K70" s="1288"/>
      <c r="L70" s="148"/>
      <c r="M70" s="2313"/>
      <c r="N70" s="268"/>
      <c r="O70" s="1412"/>
      <c r="P70" s="1412"/>
      <c r="AH70" s="1419">
        <v>0</v>
      </c>
    </row>
    <row r="71" spans="1:34" s="1423" customFormat="1" ht="0.75" hidden="1" customHeight="1">
      <c r="A71" s="1539"/>
      <c r="B71" s="1539"/>
      <c r="C71" s="302" t="s">
        <v>1231</v>
      </c>
      <c r="D71" s="2567"/>
      <c r="E71" s="2352"/>
      <c r="F71" s="2491"/>
      <c r="G71" s="333"/>
      <c r="H71" s="1288"/>
      <c r="I71" s="582"/>
      <c r="J71" s="503"/>
      <c r="K71" s="1288"/>
      <c r="L71" s="148"/>
      <c r="M71" s="2313"/>
      <c r="N71" s="268"/>
      <c r="O71" s="1412"/>
      <c r="P71" s="1412"/>
      <c r="AH71" s="1419">
        <v>0</v>
      </c>
    </row>
    <row r="72" spans="1:34" s="1423" customFormat="1" ht="18.75" hidden="1" customHeight="1">
      <c r="A72" s="1539" t="s">
        <v>344</v>
      </c>
      <c r="B72" s="1539" t="s">
        <v>345</v>
      </c>
      <c r="C72" s="302"/>
      <c r="D72" s="2567"/>
      <c r="E72" s="2352"/>
      <c r="F72" s="2491" t="str">
        <f>INDEX(PT_DIFFERENTIATION_VTAR,MATCH(A72,PT_DIFFERENTIATION_VTAR_ID,0))</f>
        <v>Тариф на подключение (технологическое присоединение) к централизованной системе горячего водоснабжения</v>
      </c>
      <c r="G72" s="2562" t="str">
        <f>INDEX(PT_DIFFERENTIATION_NTAR,MATCH(B72,PT_DIFFERENTIATION_NTAR_ID,0))</f>
        <v/>
      </c>
      <c r="H72" s="1618"/>
      <c r="I72" s="1498"/>
      <c r="J72" s="1532"/>
      <c r="K72" s="1621"/>
      <c r="L72" s="1618" t="s">
        <v>390</v>
      </c>
      <c r="M72" s="2313"/>
      <c r="N72" s="268"/>
      <c r="O72" s="1412"/>
      <c r="P72" s="1412"/>
      <c r="AH72" s="1419">
        <v>0</v>
      </c>
    </row>
    <row r="73" spans="1:34" s="1423" customFormat="1" ht="18.75" hidden="1" customHeight="1">
      <c r="A73" s="1539"/>
      <c r="B73" s="1539"/>
      <c r="C73" s="302" t="s">
        <v>1225</v>
      </c>
      <c r="D73" s="2567"/>
      <c r="E73" s="2352"/>
      <c r="F73" s="2491"/>
      <c r="G73" s="2562"/>
      <c r="H73" s="1288"/>
      <c r="I73" s="582" t="s">
        <v>1226</v>
      </c>
      <c r="J73" s="503"/>
      <c r="K73" s="1288"/>
      <c r="L73" s="148"/>
      <c r="M73" s="2313"/>
      <c r="N73" s="268"/>
      <c r="O73" s="1412"/>
      <c r="P73" s="1412"/>
      <c r="AH73" s="1419">
        <v>0</v>
      </c>
    </row>
    <row r="74" spans="1:34" s="1423" customFormat="1" ht="0.75" hidden="1" customHeight="1">
      <c r="A74" s="1539"/>
      <c r="B74" s="1539"/>
      <c r="C74" s="302" t="s">
        <v>1231</v>
      </c>
      <c r="D74" s="2567"/>
      <c r="E74" s="2352"/>
      <c r="F74" s="2491"/>
      <c r="G74" s="333"/>
      <c r="H74" s="1288"/>
      <c r="I74" s="582"/>
      <c r="J74" s="503"/>
      <c r="K74" s="1288"/>
      <c r="L74" s="148"/>
      <c r="M74" s="2313"/>
      <c r="N74" s="268"/>
      <c r="O74" s="1412"/>
      <c r="P74" s="1412"/>
      <c r="AH74" s="1419">
        <v>0</v>
      </c>
    </row>
    <row r="75" spans="1:34" s="1423" customFormat="1" ht="18.75" hidden="1" customHeight="1">
      <c r="A75" s="1539" t="s">
        <v>349</v>
      </c>
      <c r="B75" s="1539" t="s">
        <v>350</v>
      </c>
      <c r="C75" s="302"/>
      <c r="D75" s="2567"/>
      <c r="E75" s="2352"/>
      <c r="F75" s="2491" t="str">
        <f>INDEX(PT_DIFFERENTIATION_VTAR,MATCH(A75,PT_DIFFERENTIATION_VTAR_ID,0))</f>
        <v>Тариф на водоотведение</v>
      </c>
      <c r="G75" s="2562" t="str">
        <f>INDEX(PT_DIFFERENTIATION_NTAR,MATCH(B75,PT_DIFFERENTIATION_NTAR_ID,0))</f>
        <v/>
      </c>
      <c r="H75" s="1618"/>
      <c r="I75" s="1498"/>
      <c r="J75" s="1532"/>
      <c r="K75" s="1621"/>
      <c r="L75" s="1618" t="s">
        <v>390</v>
      </c>
      <c r="M75" s="2313"/>
      <c r="N75" s="268"/>
      <c r="O75" s="1412"/>
      <c r="P75" s="1412"/>
      <c r="AH75" s="1419">
        <v>0</v>
      </c>
    </row>
    <row r="76" spans="1:34" s="1423" customFormat="1" ht="18.75" hidden="1" customHeight="1">
      <c r="A76" s="1539"/>
      <c r="B76" s="1539"/>
      <c r="C76" s="302" t="s">
        <v>1225</v>
      </c>
      <c r="D76" s="2567"/>
      <c r="E76" s="2352"/>
      <c r="F76" s="2491"/>
      <c r="G76" s="2562"/>
      <c r="H76" s="1288"/>
      <c r="I76" s="582" t="s">
        <v>1226</v>
      </c>
      <c r="J76" s="503"/>
      <c r="K76" s="1288"/>
      <c r="L76" s="148"/>
      <c r="M76" s="2313"/>
      <c r="N76" s="268"/>
      <c r="O76" s="1412"/>
      <c r="P76" s="1412"/>
      <c r="AH76" s="1419">
        <v>0</v>
      </c>
    </row>
    <row r="77" spans="1:34" s="1423" customFormat="1" ht="0.75" hidden="1" customHeight="1">
      <c r="A77" s="1539"/>
      <c r="B77" s="1539"/>
      <c r="C77" s="302" t="s">
        <v>1231</v>
      </c>
      <c r="D77" s="2567"/>
      <c r="E77" s="2352"/>
      <c r="F77" s="2491"/>
      <c r="G77" s="333"/>
      <c r="H77" s="1288"/>
      <c r="I77" s="582"/>
      <c r="J77" s="503"/>
      <c r="K77" s="1288"/>
      <c r="L77" s="148"/>
      <c r="M77" s="2313"/>
      <c r="N77" s="268"/>
      <c r="O77" s="1412"/>
      <c r="P77" s="1412"/>
      <c r="AH77" s="1419">
        <v>0</v>
      </c>
    </row>
    <row r="78" spans="1:34" s="1423" customFormat="1" ht="18.75" hidden="1" customHeight="1">
      <c r="A78" s="1539" t="s">
        <v>354</v>
      </c>
      <c r="B78" s="1539" t="s">
        <v>355</v>
      </c>
      <c r="C78" s="302"/>
      <c r="D78" s="2567"/>
      <c r="E78" s="2352"/>
      <c r="F78" s="2491" t="str">
        <f>INDEX(PT_DIFFERENTIATION_VTAR,MATCH(A78,PT_DIFFERENTIATION_VTAR_ID,0))</f>
        <v>Тариф на транспортировку сточных вод</v>
      </c>
      <c r="G78" s="2562" t="str">
        <f>INDEX(PT_DIFFERENTIATION_NTAR,MATCH(B78,PT_DIFFERENTIATION_NTAR_ID,0))</f>
        <v/>
      </c>
      <c r="H78" s="1618"/>
      <c r="I78" s="1498"/>
      <c r="J78" s="1532"/>
      <c r="K78" s="1621"/>
      <c r="L78" s="1618" t="s">
        <v>390</v>
      </c>
      <c r="M78" s="2313"/>
      <c r="N78" s="268"/>
      <c r="O78" s="1412"/>
      <c r="P78" s="1412"/>
      <c r="AH78" s="1419">
        <v>0</v>
      </c>
    </row>
    <row r="79" spans="1:34" s="1423" customFormat="1" ht="18.75" hidden="1" customHeight="1">
      <c r="A79" s="1539"/>
      <c r="B79" s="1539"/>
      <c r="C79" s="302" t="s">
        <v>1225</v>
      </c>
      <c r="D79" s="2567"/>
      <c r="E79" s="2352"/>
      <c r="F79" s="2491"/>
      <c r="G79" s="2562"/>
      <c r="H79" s="1288"/>
      <c r="I79" s="582" t="s">
        <v>1226</v>
      </c>
      <c r="J79" s="503"/>
      <c r="K79" s="1288"/>
      <c r="L79" s="148"/>
      <c r="M79" s="2313"/>
      <c r="N79" s="268"/>
      <c r="O79" s="1412"/>
      <c r="P79" s="1412"/>
      <c r="AH79" s="1419">
        <v>0</v>
      </c>
    </row>
    <row r="80" spans="1:34" s="1423" customFormat="1" ht="0.75" hidden="1" customHeight="1">
      <c r="A80" s="1539"/>
      <c r="B80" s="1539"/>
      <c r="C80" s="302" t="s">
        <v>1231</v>
      </c>
      <c r="D80" s="2567"/>
      <c r="E80" s="2352"/>
      <c r="F80" s="2491"/>
      <c r="G80" s="333"/>
      <c r="H80" s="1288"/>
      <c r="I80" s="582"/>
      <c r="J80" s="503"/>
      <c r="K80" s="1288"/>
      <c r="L80" s="148"/>
      <c r="M80" s="2313"/>
      <c r="N80" s="268"/>
      <c r="O80" s="1412"/>
      <c r="P80" s="1412"/>
      <c r="AH80" s="1419">
        <v>0</v>
      </c>
    </row>
    <row r="81" spans="1:34" s="1423" customFormat="1" ht="18.75" hidden="1" customHeight="1">
      <c r="A81" s="1539" t="s">
        <v>359</v>
      </c>
      <c r="B81" s="1539" t="s">
        <v>360</v>
      </c>
      <c r="C81" s="302"/>
      <c r="D81" s="2567"/>
      <c r="E81" s="2352"/>
      <c r="F81" s="2491" t="str">
        <f>INDEX(PT_DIFFERENTIATION_VTAR,MATCH(A81,PT_DIFFERENTIATION_VTAR_ID,0))</f>
        <v>Тариф на подключение (технологическое присоединение) к централизованной системе водоотведения</v>
      </c>
      <c r="G81" s="2562" t="str">
        <f>INDEX(PT_DIFFERENTIATION_NTAR,MATCH(B81,PT_DIFFERENTIATION_NTAR_ID,0))</f>
        <v/>
      </c>
      <c r="H81" s="1618"/>
      <c r="I81" s="1498"/>
      <c r="J81" s="1532"/>
      <c r="K81" s="1621"/>
      <c r="L81" s="1618" t="s">
        <v>390</v>
      </c>
      <c r="M81" s="2313"/>
      <c r="N81" s="268"/>
      <c r="O81" s="1412"/>
      <c r="P81" s="1412"/>
      <c r="AH81" s="1419">
        <v>0</v>
      </c>
    </row>
    <row r="82" spans="1:34" s="1423" customFormat="1" ht="18.75" hidden="1" customHeight="1">
      <c r="A82" s="1539"/>
      <c r="B82" s="1539"/>
      <c r="C82" s="302" t="s">
        <v>1225</v>
      </c>
      <c r="D82" s="2567"/>
      <c r="E82" s="2352"/>
      <c r="F82" s="2491"/>
      <c r="G82" s="2562"/>
      <c r="H82" s="1288"/>
      <c r="I82" s="582" t="s">
        <v>1226</v>
      </c>
      <c r="J82" s="503"/>
      <c r="K82" s="1288"/>
      <c r="L82" s="148"/>
      <c r="M82" s="2313"/>
      <c r="N82" s="268"/>
      <c r="O82" s="1412"/>
      <c r="P82" s="1412"/>
      <c r="AH82" s="1419">
        <v>0</v>
      </c>
    </row>
    <row r="83" spans="1:34" s="1423" customFormat="1" ht="1.1499999999999999" customHeight="1">
      <c r="A83" s="1539"/>
      <c r="B83" s="1539"/>
      <c r="C83" s="302" t="s">
        <v>1231</v>
      </c>
      <c r="D83" s="2567"/>
      <c r="E83" s="2352"/>
      <c r="F83" s="2491"/>
      <c r="G83" s="333"/>
      <c r="H83" s="1288"/>
      <c r="I83" s="582"/>
      <c r="J83" s="503"/>
      <c r="K83" s="1288"/>
      <c r="L83" s="148"/>
      <c r="M83" s="2313"/>
      <c r="N83" s="268"/>
      <c r="O83" s="1412"/>
      <c r="P83" s="1412"/>
      <c r="AH83" s="1419">
        <v>1</v>
      </c>
    </row>
    <row r="84" spans="1:34" ht="19.899999999999999" customHeight="1">
      <c r="A84" s="1539"/>
      <c r="B84" s="1539"/>
      <c r="D84" s="309"/>
      <c r="E84" s="82" t="s">
        <v>89</v>
      </c>
      <c r="F84" s="256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66"/>
      <c r="H84" s="2566"/>
      <c r="I84" s="2566"/>
      <c r="J84" s="2566"/>
      <c r="K84" s="2566"/>
      <c r="L84" s="2566"/>
      <c r="M84" s="231"/>
      <c r="N84" s="268"/>
      <c r="AH84" s="307">
        <v>19</v>
      </c>
    </row>
    <row r="85" spans="1:34" ht="35.65" customHeight="1">
      <c r="A85" s="1539"/>
      <c r="B85" s="1539"/>
      <c r="D85" s="309"/>
      <c r="E85" s="332"/>
      <c r="F85" s="132" t="s">
        <v>390</v>
      </c>
      <c r="G85" s="132" t="s">
        <v>390</v>
      </c>
      <c r="H85" s="2362" t="s">
        <v>390</v>
      </c>
      <c r="I85" s="2375"/>
      <c r="J85" s="132" t="s">
        <v>390</v>
      </c>
      <c r="K85" s="132" t="s">
        <v>390</v>
      </c>
      <c r="L85" s="334"/>
      <c r="M85" s="279" t="s">
        <v>1232</v>
      </c>
      <c r="N85" s="268"/>
      <c r="AH85" s="307">
        <v>34</v>
      </c>
    </row>
    <row r="86" spans="1:34" ht="19.899999999999999" customHeight="1">
      <c r="A86" s="1539"/>
      <c r="B86" s="1539"/>
      <c r="D86" s="309"/>
      <c r="E86" s="82" t="s">
        <v>77</v>
      </c>
      <c r="F86" s="2566" t="s">
        <v>1233</v>
      </c>
      <c r="G86" s="2566"/>
      <c r="H86" s="2566"/>
      <c r="I86" s="2566"/>
      <c r="J86" s="2566"/>
      <c r="K86" s="2566"/>
      <c r="L86" s="2566"/>
      <c r="M86" s="231"/>
      <c r="N86" s="268"/>
      <c r="AH86" s="307">
        <v>19</v>
      </c>
    </row>
    <row r="87" spans="1:34" s="1423" customFormat="1" ht="60.75" hidden="1" customHeight="1">
      <c r="A87" s="1539" t="s">
        <v>241</v>
      </c>
      <c r="B87" s="1539" t="s">
        <v>242</v>
      </c>
      <c r="C87" s="302"/>
      <c r="D87" s="2567"/>
      <c r="E87" s="2352"/>
      <c r="F87" s="249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62" t="str">
        <f>INDEX(PT_DIFFERENTIATION_NTAR,MATCH(B87,PT_DIFFERENTIATION_NTAR_ID,0))</f>
        <v/>
      </c>
      <c r="H87" s="1618"/>
      <c r="I87" s="1498"/>
      <c r="J87" s="1532"/>
      <c r="K87" s="1537"/>
      <c r="L87" s="1618" t="s">
        <v>390</v>
      </c>
      <c r="M87" s="231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68"/>
      <c r="O87" s="1412"/>
      <c r="P87" s="1412"/>
      <c r="AH87" s="1419">
        <v>0</v>
      </c>
    </row>
    <row r="88" spans="1:34" s="1423" customFormat="1" ht="18.75" hidden="1" customHeight="1">
      <c r="A88" s="1539"/>
      <c r="B88" s="1539"/>
      <c r="C88" s="302" t="s">
        <v>1227</v>
      </c>
      <c r="D88" s="2567"/>
      <c r="E88" s="2352"/>
      <c r="F88" s="2491"/>
      <c r="G88" s="2562"/>
      <c r="H88" s="1288"/>
      <c r="I88" s="582" t="s">
        <v>1226</v>
      </c>
      <c r="J88" s="503"/>
      <c r="K88" s="1288"/>
      <c r="L88" s="148"/>
      <c r="M88" s="2313"/>
      <c r="N88" s="268"/>
      <c r="O88" s="1412"/>
      <c r="P88" s="1412"/>
      <c r="AH88" s="1419">
        <v>0</v>
      </c>
    </row>
    <row r="89" spans="1:34" s="1423" customFormat="1" ht="0.75" hidden="1" customHeight="1">
      <c r="A89" s="1539"/>
      <c r="B89" s="1539"/>
      <c r="C89" s="302" t="s">
        <v>1234</v>
      </c>
      <c r="D89" s="2567"/>
      <c r="E89" s="2352"/>
      <c r="F89" s="2491"/>
      <c r="G89" s="333"/>
      <c r="H89" s="1288"/>
      <c r="I89" s="582"/>
      <c r="J89" s="503"/>
      <c r="K89" s="1288"/>
      <c r="L89" s="148"/>
      <c r="M89" s="2313"/>
      <c r="N89" s="268"/>
      <c r="O89" s="1412"/>
      <c r="P89" s="1412"/>
      <c r="AH89" s="1419">
        <v>0</v>
      </c>
    </row>
    <row r="90" spans="1:34" s="1423" customFormat="1" ht="45" hidden="1" customHeight="1">
      <c r="A90" s="1539" t="s">
        <v>246</v>
      </c>
      <c r="B90" s="1539" t="s">
        <v>247</v>
      </c>
      <c r="C90" s="302"/>
      <c r="D90" s="2567"/>
      <c r="E90" s="2352"/>
      <c r="F90" s="2491" t="str">
        <f>INDEX(PT_DIFFERENTIATION_VTAR,MATCH(A90,PT_DIFFERENTIATION_VTAR_ID,0))</f>
        <v/>
      </c>
      <c r="G90" s="2562" t="str">
        <f>INDEX(PT_DIFFERENTIATION_NTAR,MATCH(B90,PT_DIFFERENTIATION_NTAR_ID,0))</f>
        <v/>
      </c>
      <c r="H90" s="1618"/>
      <c r="I90" s="1498"/>
      <c r="J90" s="1532"/>
      <c r="K90" s="1537"/>
      <c r="L90" s="1618" t="s">
        <v>390</v>
      </c>
      <c r="M90" s="2314"/>
      <c r="N90" s="268"/>
      <c r="O90" s="1412"/>
      <c r="P90" s="1412"/>
      <c r="AH90" s="1419">
        <v>0</v>
      </c>
    </row>
    <row r="91" spans="1:34" s="1423" customFormat="1" ht="18.75" hidden="1" customHeight="1">
      <c r="A91" s="1539"/>
      <c r="B91" s="1539"/>
      <c r="C91" s="302" t="s">
        <v>1227</v>
      </c>
      <c r="D91" s="2567"/>
      <c r="E91" s="2352"/>
      <c r="F91" s="2491"/>
      <c r="G91" s="2562"/>
      <c r="H91" s="1288"/>
      <c r="I91" s="582" t="s">
        <v>1226</v>
      </c>
      <c r="J91" s="503"/>
      <c r="K91" s="1288"/>
      <c r="L91" s="148"/>
      <c r="M91" s="1617"/>
      <c r="N91" s="268"/>
      <c r="O91" s="1412"/>
      <c r="P91" s="1412"/>
      <c r="AH91" s="1419">
        <v>0</v>
      </c>
    </row>
    <row r="92" spans="1:34" s="1423" customFormat="1" ht="0.75" hidden="1" customHeight="1">
      <c r="A92" s="1539"/>
      <c r="B92" s="1539"/>
      <c r="C92" s="302" t="s">
        <v>1234</v>
      </c>
      <c r="D92" s="2567"/>
      <c r="E92" s="2352"/>
      <c r="F92" s="2491"/>
      <c r="G92" s="333"/>
      <c r="H92" s="1288"/>
      <c r="I92" s="582"/>
      <c r="J92" s="503"/>
      <c r="K92" s="1288"/>
      <c r="L92" s="148"/>
      <c r="M92" s="275"/>
      <c r="N92" s="268"/>
      <c r="O92" s="1412"/>
      <c r="P92" s="1412"/>
      <c r="AH92" s="1419">
        <v>0</v>
      </c>
    </row>
    <row r="93" spans="1:34" s="1423" customFormat="1" ht="45" hidden="1" customHeight="1">
      <c r="A93" s="1539" t="s">
        <v>253</v>
      </c>
      <c r="B93" s="1539" t="s">
        <v>254</v>
      </c>
      <c r="C93" s="302"/>
      <c r="D93" s="2567"/>
      <c r="E93" s="2352"/>
      <c r="F93" s="249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62" t="str">
        <f>INDEX(PT_DIFFERENTIATION_NTAR,MATCH(B93,PT_DIFFERENTIATION_NTAR_ID,0))</f>
        <v/>
      </c>
      <c r="H93" s="1618"/>
      <c r="I93" s="1498"/>
      <c r="J93" s="1532"/>
      <c r="K93" s="1537"/>
      <c r="L93" s="1618" t="s">
        <v>390</v>
      </c>
      <c r="M93" s="275"/>
      <c r="N93" s="268"/>
      <c r="O93" s="1412"/>
      <c r="P93" s="1412"/>
      <c r="AH93" s="1419">
        <v>0</v>
      </c>
    </row>
    <row r="94" spans="1:34" s="1423" customFormat="1" ht="18.75" hidden="1" customHeight="1">
      <c r="A94" s="1539"/>
      <c r="B94" s="1539"/>
      <c r="C94" s="302" t="s">
        <v>1227</v>
      </c>
      <c r="D94" s="2567"/>
      <c r="E94" s="2352"/>
      <c r="F94" s="2491"/>
      <c r="G94" s="2562"/>
      <c r="H94" s="1288"/>
      <c r="I94" s="582" t="s">
        <v>1226</v>
      </c>
      <c r="J94" s="503"/>
      <c r="K94" s="1288"/>
      <c r="L94" s="148"/>
      <c r="M94" s="275"/>
      <c r="N94" s="268"/>
      <c r="O94" s="1412"/>
      <c r="P94" s="1412"/>
      <c r="AH94" s="1419">
        <v>0</v>
      </c>
    </row>
    <row r="95" spans="1:34" s="1423" customFormat="1" ht="0.75" hidden="1" customHeight="1">
      <c r="A95" s="1539"/>
      <c r="B95" s="1539"/>
      <c r="C95" s="302" t="s">
        <v>1234</v>
      </c>
      <c r="D95" s="2567"/>
      <c r="E95" s="2352"/>
      <c r="F95" s="2491"/>
      <c r="G95" s="333"/>
      <c r="H95" s="1288"/>
      <c r="I95" s="582"/>
      <c r="J95" s="503"/>
      <c r="K95" s="1288"/>
      <c r="L95" s="148"/>
      <c r="M95" s="275"/>
      <c r="N95" s="268"/>
      <c r="O95" s="1412"/>
      <c r="P95" s="1412"/>
      <c r="AH95" s="1419">
        <v>0</v>
      </c>
    </row>
    <row r="96" spans="1:34" s="1423" customFormat="1" ht="45" hidden="1" customHeight="1">
      <c r="A96" s="1539" t="s">
        <v>259</v>
      </c>
      <c r="B96" s="1539" t="s">
        <v>260</v>
      </c>
      <c r="C96" s="302"/>
      <c r="D96" s="2567"/>
      <c r="E96" s="2352"/>
      <c r="F96" s="249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62" t="str">
        <f>INDEX(PT_DIFFERENTIATION_NTAR,MATCH(B96,PT_DIFFERENTIATION_NTAR_ID,0))</f>
        <v/>
      </c>
      <c r="H96" s="1618"/>
      <c r="I96" s="1498"/>
      <c r="J96" s="1532"/>
      <c r="K96" s="1537"/>
      <c r="L96" s="1618" t="s">
        <v>390</v>
      </c>
      <c r="M96" s="275"/>
      <c r="N96" s="268"/>
      <c r="O96" s="1412"/>
      <c r="P96" s="1412"/>
      <c r="AH96" s="1419">
        <v>0</v>
      </c>
    </row>
    <row r="97" spans="1:34" s="1423" customFormat="1" ht="18.75" hidden="1" customHeight="1">
      <c r="A97" s="1539"/>
      <c r="B97" s="1539"/>
      <c r="C97" s="302" t="s">
        <v>1227</v>
      </c>
      <c r="D97" s="2567"/>
      <c r="E97" s="2352"/>
      <c r="F97" s="2491"/>
      <c r="G97" s="2562"/>
      <c r="H97" s="1288"/>
      <c r="I97" s="582" t="s">
        <v>1226</v>
      </c>
      <c r="J97" s="503"/>
      <c r="K97" s="1288"/>
      <c r="L97" s="148"/>
      <c r="M97" s="275"/>
      <c r="N97" s="268"/>
      <c r="O97" s="1412"/>
      <c r="P97" s="1412"/>
      <c r="AH97" s="1419">
        <v>0</v>
      </c>
    </row>
    <row r="98" spans="1:34" s="1423" customFormat="1" ht="0.75" hidden="1" customHeight="1">
      <c r="A98" s="1539"/>
      <c r="B98" s="1539"/>
      <c r="C98" s="302" t="s">
        <v>1234</v>
      </c>
      <c r="D98" s="2567"/>
      <c r="E98" s="2352"/>
      <c r="F98" s="2491"/>
      <c r="G98" s="333"/>
      <c r="H98" s="1288"/>
      <c r="I98" s="582"/>
      <c r="J98" s="503"/>
      <c r="K98" s="1288"/>
      <c r="L98" s="148"/>
      <c r="M98" s="275"/>
      <c r="N98" s="268"/>
      <c r="O98" s="1412"/>
      <c r="P98" s="1412"/>
      <c r="AH98" s="1419">
        <v>0</v>
      </c>
    </row>
    <row r="99" spans="1:34" s="1423" customFormat="1" ht="18.75" hidden="1" customHeight="1">
      <c r="A99" s="1539" t="s">
        <v>265</v>
      </c>
      <c r="B99" s="1539" t="s">
        <v>266</v>
      </c>
      <c r="C99" s="302"/>
      <c r="D99" s="2567"/>
      <c r="E99" s="2352"/>
      <c r="F99" s="2491" t="str">
        <f>INDEX(PT_DIFFERENTIATION_VTAR,MATCH(A99,PT_DIFFERENTIATION_VTAR_ID,0))</f>
        <v>Тарифы на услуги по передаче тепловой энергии</v>
      </c>
      <c r="G99" s="2562" t="str">
        <f>INDEX(PT_DIFFERENTIATION_NTAR,MATCH(B99,PT_DIFFERENTIATION_NTAR_ID,0))</f>
        <v/>
      </c>
      <c r="H99" s="1618"/>
      <c r="I99" s="1498"/>
      <c r="J99" s="1532"/>
      <c r="K99" s="1537"/>
      <c r="L99" s="1618" t="s">
        <v>390</v>
      </c>
      <c r="M99" s="275"/>
      <c r="N99" s="268"/>
      <c r="O99" s="1412"/>
      <c r="P99" s="1412"/>
      <c r="AH99" s="1419">
        <v>0</v>
      </c>
    </row>
    <row r="100" spans="1:34" s="1423" customFormat="1" ht="18.75" hidden="1" customHeight="1">
      <c r="A100" s="1539"/>
      <c r="B100" s="1539"/>
      <c r="C100" s="302" t="s">
        <v>1227</v>
      </c>
      <c r="D100" s="2567"/>
      <c r="E100" s="2352"/>
      <c r="F100" s="2491"/>
      <c r="G100" s="2562"/>
      <c r="H100" s="1288"/>
      <c r="I100" s="582" t="s">
        <v>1226</v>
      </c>
      <c r="J100" s="503"/>
      <c r="K100" s="1288"/>
      <c r="L100" s="148"/>
      <c r="M100" s="275"/>
      <c r="N100" s="268"/>
      <c r="O100" s="1412"/>
      <c r="P100" s="1412"/>
      <c r="AH100" s="1419">
        <v>0</v>
      </c>
    </row>
    <row r="101" spans="1:34" s="1423" customFormat="1" ht="0.75" hidden="1" customHeight="1">
      <c r="A101" s="1539"/>
      <c r="B101" s="1539"/>
      <c r="C101" s="302" t="s">
        <v>1234</v>
      </c>
      <c r="D101" s="2567"/>
      <c r="E101" s="2352"/>
      <c r="F101" s="2491"/>
      <c r="G101" s="333"/>
      <c r="H101" s="1288"/>
      <c r="I101" s="582"/>
      <c r="J101" s="503"/>
      <c r="K101" s="1288"/>
      <c r="L101" s="148"/>
      <c r="M101" s="275"/>
      <c r="N101" s="268"/>
      <c r="O101" s="1412"/>
      <c r="P101" s="1412"/>
      <c r="AH101" s="1419">
        <v>0</v>
      </c>
    </row>
    <row r="102" spans="1:34" s="1423" customFormat="1" ht="18.75" hidden="1" customHeight="1">
      <c r="A102" s="1539" t="s">
        <v>271</v>
      </c>
      <c r="B102" s="1539" t="s">
        <v>272</v>
      </c>
      <c r="C102" s="302"/>
      <c r="D102" s="2567"/>
      <c r="E102" s="2352"/>
      <c r="F102" s="2491" t="str">
        <f>INDEX(PT_DIFFERENTIATION_VTAR,MATCH(A102,PT_DIFFERENTIATION_VTAR_ID,0))</f>
        <v>Тарифы на услуги по передаче теплоносителя</v>
      </c>
      <c r="G102" s="2562" t="str">
        <f>INDEX(PT_DIFFERENTIATION_NTAR,MATCH(B102,PT_DIFFERENTIATION_NTAR_ID,0))</f>
        <v/>
      </c>
      <c r="H102" s="1618"/>
      <c r="I102" s="1498"/>
      <c r="J102" s="1532"/>
      <c r="K102" s="1537"/>
      <c r="L102" s="1618" t="s">
        <v>390</v>
      </c>
      <c r="M102" s="275"/>
      <c r="N102" s="268"/>
      <c r="O102" s="1412"/>
      <c r="P102" s="1412"/>
      <c r="AH102" s="1419">
        <v>0</v>
      </c>
    </row>
    <row r="103" spans="1:34" s="1423" customFormat="1" ht="18.75" hidden="1" customHeight="1">
      <c r="A103" s="1539"/>
      <c r="B103" s="1539"/>
      <c r="C103" s="302" t="s">
        <v>1227</v>
      </c>
      <c r="D103" s="2567"/>
      <c r="E103" s="2352"/>
      <c r="F103" s="2491"/>
      <c r="G103" s="2562"/>
      <c r="H103" s="1288"/>
      <c r="I103" s="582" t="s">
        <v>1226</v>
      </c>
      <c r="J103" s="503"/>
      <c r="K103" s="1288"/>
      <c r="L103" s="148"/>
      <c r="M103" s="275"/>
      <c r="N103" s="268"/>
      <c r="O103" s="1412"/>
      <c r="P103" s="1412"/>
      <c r="AH103" s="1419">
        <v>0</v>
      </c>
    </row>
    <row r="104" spans="1:34" s="1423" customFormat="1" ht="0.75" hidden="1" customHeight="1">
      <c r="A104" s="1539"/>
      <c r="B104" s="1539"/>
      <c r="C104" s="302" t="s">
        <v>1234</v>
      </c>
      <c r="D104" s="2567"/>
      <c r="E104" s="2352"/>
      <c r="F104" s="2491"/>
      <c r="G104" s="333"/>
      <c r="H104" s="1288"/>
      <c r="I104" s="582"/>
      <c r="J104" s="503"/>
      <c r="K104" s="1288"/>
      <c r="L104" s="148"/>
      <c r="M104" s="275"/>
      <c r="N104" s="268"/>
      <c r="O104" s="1412"/>
      <c r="P104" s="1412"/>
      <c r="AH104" s="1419">
        <v>0</v>
      </c>
    </row>
    <row r="105" spans="1:34" s="1423" customFormat="1" ht="18.75" hidden="1" customHeight="1">
      <c r="A105" s="1539" t="s">
        <v>277</v>
      </c>
      <c r="B105" s="1539" t="s">
        <v>278</v>
      </c>
      <c r="C105" s="302"/>
      <c r="D105" s="2567"/>
      <c r="E105" s="2352"/>
      <c r="F105" s="249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62" t="str">
        <f>INDEX(PT_DIFFERENTIATION_NTAR,MATCH(B105,PT_DIFFERENTIATION_NTAR_ID,0))</f>
        <v/>
      </c>
      <c r="H105" s="1618"/>
      <c r="I105" s="1498"/>
      <c r="J105" s="1532"/>
      <c r="K105" s="1537"/>
      <c r="L105" s="1618" t="s">
        <v>390</v>
      </c>
      <c r="M105" s="275"/>
      <c r="N105" s="268"/>
      <c r="O105" s="1412"/>
      <c r="P105" s="1412"/>
      <c r="AH105" s="1419">
        <v>0</v>
      </c>
    </row>
    <row r="106" spans="1:34" s="1423" customFormat="1" ht="18.75" hidden="1" customHeight="1">
      <c r="A106" s="1539"/>
      <c r="B106" s="1539"/>
      <c r="C106" s="302" t="s">
        <v>1227</v>
      </c>
      <c r="D106" s="2567"/>
      <c r="E106" s="2352"/>
      <c r="F106" s="2491"/>
      <c r="G106" s="2562"/>
      <c r="H106" s="1288"/>
      <c r="I106" s="582" t="s">
        <v>1226</v>
      </c>
      <c r="J106" s="503"/>
      <c r="K106" s="1288"/>
      <c r="L106" s="148"/>
      <c r="M106" s="275"/>
      <c r="N106" s="268"/>
      <c r="O106" s="1412"/>
      <c r="P106" s="1412"/>
      <c r="AH106" s="1419">
        <v>0</v>
      </c>
    </row>
    <row r="107" spans="1:34" s="1423" customFormat="1" ht="0.75" hidden="1" customHeight="1">
      <c r="A107" s="1539"/>
      <c r="B107" s="1539"/>
      <c r="C107" s="302" t="s">
        <v>1234</v>
      </c>
      <c r="D107" s="2567"/>
      <c r="E107" s="2352"/>
      <c r="F107" s="2491"/>
      <c r="G107" s="333"/>
      <c r="H107" s="1288"/>
      <c r="I107" s="582"/>
      <c r="J107" s="503"/>
      <c r="K107" s="1288"/>
      <c r="L107" s="148"/>
      <c r="M107" s="275"/>
      <c r="N107" s="268"/>
      <c r="O107" s="1412"/>
      <c r="P107" s="1412"/>
      <c r="AH107" s="1419">
        <v>0</v>
      </c>
    </row>
    <row r="108" spans="1:34" s="1423" customFormat="1" ht="18.75" hidden="1" customHeight="1">
      <c r="A108" s="1539" t="s">
        <v>283</v>
      </c>
      <c r="B108" s="1539" t="s">
        <v>284</v>
      </c>
      <c r="C108" s="302"/>
      <c r="D108" s="2567"/>
      <c r="E108" s="2352"/>
      <c r="F108" s="2491" t="str">
        <f>INDEX(PT_DIFFERENTIATION_VTAR,MATCH(A108,PT_DIFFERENTIATION_VTAR_ID,0))</f>
        <v>Плата за подключение (технологическое присоединение) к системе теплоснабжения</v>
      </c>
      <c r="G108" s="2562" t="str">
        <f>INDEX(PT_DIFFERENTIATION_NTAR,MATCH(B108,PT_DIFFERENTIATION_NTAR_ID,0))</f>
        <v/>
      </c>
      <c r="H108" s="1618"/>
      <c r="I108" s="1498"/>
      <c r="J108" s="1532"/>
      <c r="K108" s="1537"/>
      <c r="L108" s="1618" t="s">
        <v>390</v>
      </c>
      <c r="M108" s="275"/>
      <c r="N108" s="268"/>
      <c r="O108" s="1412"/>
      <c r="P108" s="1412"/>
      <c r="AH108" s="1419">
        <v>0</v>
      </c>
    </row>
    <row r="109" spans="1:34" s="1423" customFormat="1" ht="18.75" hidden="1" customHeight="1">
      <c r="A109" s="1539"/>
      <c r="B109" s="1539"/>
      <c r="C109" s="302" t="s">
        <v>1227</v>
      </c>
      <c r="D109" s="2567"/>
      <c r="E109" s="2352"/>
      <c r="F109" s="2491"/>
      <c r="G109" s="2562"/>
      <c r="H109" s="1288"/>
      <c r="I109" s="582" t="s">
        <v>1226</v>
      </c>
      <c r="J109" s="503"/>
      <c r="K109" s="1288"/>
      <c r="L109" s="148"/>
      <c r="M109" s="275"/>
      <c r="N109" s="268"/>
      <c r="O109" s="1412"/>
      <c r="P109" s="1412"/>
      <c r="AH109" s="1419">
        <v>0</v>
      </c>
    </row>
    <row r="110" spans="1:34" s="1423" customFormat="1" ht="0.75" hidden="1" customHeight="1">
      <c r="A110" s="1539"/>
      <c r="B110" s="1539"/>
      <c r="C110" s="302" t="s">
        <v>1234</v>
      </c>
      <c r="D110" s="2567"/>
      <c r="E110" s="2352"/>
      <c r="F110" s="2491"/>
      <c r="G110" s="333"/>
      <c r="H110" s="1288"/>
      <c r="I110" s="582"/>
      <c r="J110" s="503"/>
      <c r="K110" s="1288"/>
      <c r="L110" s="148"/>
      <c r="M110" s="275"/>
      <c r="N110" s="268"/>
      <c r="O110" s="1412"/>
      <c r="P110" s="1412"/>
      <c r="AH110" s="1419">
        <v>0</v>
      </c>
    </row>
    <row r="111" spans="1:34" s="1423" customFormat="1" ht="18.75" hidden="1" customHeight="1">
      <c r="A111" s="1539" t="s">
        <v>289</v>
      </c>
      <c r="B111" s="1539" t="s">
        <v>290</v>
      </c>
      <c r="C111" s="302"/>
      <c r="D111" s="2567"/>
      <c r="E111" s="2352"/>
      <c r="F111" s="2491" t="str">
        <f>INDEX(PT_DIFFERENTIATION_VTAR,MATCH(A111,PT_DIFFERENTIATION_VTAR_ID,0))</f>
        <v>Плата за подключение (технологическое присоединение) к системе теплоснабжения (индивидуальная)</v>
      </c>
      <c r="G111" s="2562" t="str">
        <f>INDEX(PT_DIFFERENTIATION_NTAR,MATCH(B111,PT_DIFFERENTIATION_NTAR_ID,0))</f>
        <v/>
      </c>
      <c r="H111" s="1739"/>
      <c r="I111" s="1498"/>
      <c r="J111" s="1532"/>
      <c r="K111" s="1537"/>
      <c r="L111" s="1739" t="s">
        <v>390</v>
      </c>
      <c r="M111" s="275"/>
      <c r="N111" s="268"/>
      <c r="O111" s="1412"/>
      <c r="P111" s="1412"/>
      <c r="AH111" s="1419">
        <v>0</v>
      </c>
    </row>
    <row r="112" spans="1:34" s="1423" customFormat="1" ht="18.75" hidden="1" customHeight="1">
      <c r="A112" s="1539"/>
      <c r="B112" s="1539"/>
      <c r="C112" s="302" t="s">
        <v>1227</v>
      </c>
      <c r="D112" s="2567"/>
      <c r="E112" s="2352"/>
      <c r="F112" s="2491"/>
      <c r="G112" s="2562"/>
      <c r="H112" s="1288"/>
      <c r="I112" s="582" t="s">
        <v>1226</v>
      </c>
      <c r="J112" s="503"/>
      <c r="K112" s="1288"/>
      <c r="L112" s="148"/>
      <c r="M112" s="275"/>
      <c r="N112" s="268"/>
      <c r="O112" s="1412"/>
      <c r="P112" s="1412"/>
      <c r="AH112" s="1419">
        <v>0</v>
      </c>
    </row>
    <row r="113" spans="1:34" s="1423" customFormat="1" ht="0.75" hidden="1" customHeight="1">
      <c r="A113" s="1539"/>
      <c r="B113" s="1539"/>
      <c r="C113" s="302" t="s">
        <v>1234</v>
      </c>
      <c r="D113" s="2567"/>
      <c r="E113" s="2352"/>
      <c r="F113" s="2491"/>
      <c r="G113" s="333"/>
      <c r="H113" s="1288"/>
      <c r="I113" s="582"/>
      <c r="J113" s="503"/>
      <c r="K113" s="1288"/>
      <c r="L113" s="148"/>
      <c r="M113" s="275"/>
      <c r="N113" s="268"/>
      <c r="O113" s="1412"/>
      <c r="P113" s="1412"/>
      <c r="AH113" s="1419">
        <v>0</v>
      </c>
    </row>
    <row r="114" spans="1:34" s="1423" customFormat="1" ht="18.75" hidden="1" customHeight="1">
      <c r="A114" s="1539" t="s">
        <v>309</v>
      </c>
      <c r="B114" s="1539" t="s">
        <v>310</v>
      </c>
      <c r="C114" s="302"/>
      <c r="D114" s="2567"/>
      <c r="E114" s="2352"/>
      <c r="F114" s="2491" t="str">
        <f>INDEX(PT_DIFFERENTIATION_VTAR,MATCH(A114,PT_DIFFERENTIATION_VTAR_ID,0))</f>
        <v>Тариф на питьевую воду (питьевое водоснабжение)</v>
      </c>
      <c r="G114" s="2562" t="str">
        <f>INDEX(PT_DIFFERENTIATION_NTAR,MATCH(B114,PT_DIFFERENTIATION_NTAR_ID,0))</f>
        <v/>
      </c>
      <c r="H114" s="1618"/>
      <c r="I114" s="1498"/>
      <c r="J114" s="1532"/>
      <c r="K114" s="1537"/>
      <c r="L114" s="1618" t="s">
        <v>390</v>
      </c>
      <c r="M114" s="275"/>
      <c r="N114" s="268"/>
      <c r="O114" s="1412"/>
      <c r="P114" s="1412"/>
      <c r="AH114" s="1419">
        <v>0</v>
      </c>
    </row>
    <row r="115" spans="1:34" s="1423" customFormat="1" ht="18.75" hidden="1" customHeight="1">
      <c r="A115" s="1539"/>
      <c r="B115" s="1539"/>
      <c r="C115" s="302" t="s">
        <v>1227</v>
      </c>
      <c r="D115" s="2567"/>
      <c r="E115" s="2352"/>
      <c r="F115" s="2491"/>
      <c r="G115" s="2562"/>
      <c r="H115" s="1288"/>
      <c r="I115" s="582" t="s">
        <v>1226</v>
      </c>
      <c r="J115" s="503"/>
      <c r="K115" s="1288"/>
      <c r="L115" s="148"/>
      <c r="M115" s="275"/>
      <c r="N115" s="268"/>
      <c r="O115" s="1412"/>
      <c r="P115" s="1412"/>
      <c r="AH115" s="1419">
        <v>0</v>
      </c>
    </row>
    <row r="116" spans="1:34" s="1423" customFormat="1" ht="0.75" hidden="1" customHeight="1">
      <c r="A116" s="1539"/>
      <c r="B116" s="1539"/>
      <c r="C116" s="302" t="s">
        <v>1234</v>
      </c>
      <c r="D116" s="2567"/>
      <c r="E116" s="2352"/>
      <c r="F116" s="2491"/>
      <c r="G116" s="333"/>
      <c r="H116" s="1288"/>
      <c r="I116" s="582"/>
      <c r="J116" s="503"/>
      <c r="K116" s="1288"/>
      <c r="L116" s="148"/>
      <c r="M116" s="275"/>
      <c r="N116" s="268"/>
      <c r="O116" s="1412"/>
      <c r="P116" s="1412"/>
      <c r="AH116" s="1419">
        <v>0</v>
      </c>
    </row>
    <row r="117" spans="1:34" s="1423" customFormat="1" ht="18.75" hidden="1" customHeight="1">
      <c r="A117" s="1539" t="s">
        <v>314</v>
      </c>
      <c r="B117" s="1539" t="s">
        <v>315</v>
      </c>
      <c r="C117" s="302"/>
      <c r="D117" s="2567"/>
      <c r="E117" s="2352"/>
      <c r="F117" s="2491" t="str">
        <f>INDEX(PT_DIFFERENTIATION_VTAR,MATCH(A117,PT_DIFFERENTIATION_VTAR_ID,0))</f>
        <v>Тариф на техническую воду</v>
      </c>
      <c r="G117" s="2562" t="str">
        <f>INDEX(PT_DIFFERENTIATION_NTAR,MATCH(B117,PT_DIFFERENTIATION_NTAR_ID,0))</f>
        <v/>
      </c>
      <c r="H117" s="1618"/>
      <c r="I117" s="1498"/>
      <c r="J117" s="1532"/>
      <c r="K117" s="1537"/>
      <c r="L117" s="1618" t="s">
        <v>390</v>
      </c>
      <c r="M117" s="275"/>
      <c r="N117" s="268"/>
      <c r="O117" s="1412"/>
      <c r="P117" s="1412"/>
      <c r="AH117" s="1419">
        <v>0</v>
      </c>
    </row>
    <row r="118" spans="1:34" s="1423" customFormat="1" ht="18.75" hidden="1" customHeight="1">
      <c r="A118" s="1539"/>
      <c r="B118" s="1539"/>
      <c r="C118" s="302" t="s">
        <v>1227</v>
      </c>
      <c r="D118" s="2567"/>
      <c r="E118" s="2352"/>
      <c r="F118" s="2491"/>
      <c r="G118" s="2562"/>
      <c r="H118" s="1288"/>
      <c r="I118" s="582" t="s">
        <v>1226</v>
      </c>
      <c r="J118" s="503"/>
      <c r="K118" s="1288"/>
      <c r="L118" s="148"/>
      <c r="M118" s="275"/>
      <c r="N118" s="268"/>
      <c r="O118" s="1412"/>
      <c r="P118" s="1412"/>
      <c r="AH118" s="1419">
        <v>0</v>
      </c>
    </row>
    <row r="119" spans="1:34" s="1423" customFormat="1" ht="0.75" hidden="1" customHeight="1">
      <c r="A119" s="1539"/>
      <c r="B119" s="1539"/>
      <c r="C119" s="302" t="s">
        <v>1234</v>
      </c>
      <c r="D119" s="2567"/>
      <c r="E119" s="2352"/>
      <c r="F119" s="2491"/>
      <c r="G119" s="333"/>
      <c r="H119" s="1288"/>
      <c r="I119" s="582"/>
      <c r="J119" s="503"/>
      <c r="K119" s="1288"/>
      <c r="L119" s="148"/>
      <c r="M119" s="275"/>
      <c r="N119" s="268"/>
      <c r="O119" s="1412"/>
      <c r="P119" s="1412"/>
      <c r="AH119" s="1419">
        <v>0</v>
      </c>
    </row>
    <row r="120" spans="1:34" s="1423" customFormat="1" ht="18.75" hidden="1" customHeight="1">
      <c r="A120" s="1539" t="s">
        <v>319</v>
      </c>
      <c r="B120" s="1539" t="s">
        <v>320</v>
      </c>
      <c r="C120" s="302"/>
      <c r="D120" s="2567"/>
      <c r="E120" s="2352"/>
      <c r="F120" s="2491" t="str">
        <f>INDEX(PT_DIFFERENTIATION_VTAR,MATCH(A120,PT_DIFFERENTIATION_VTAR_ID,0))</f>
        <v>Тариф на транспортировку воды</v>
      </c>
      <c r="G120" s="2562" t="str">
        <f>INDEX(PT_DIFFERENTIATION_NTAR,MATCH(B120,PT_DIFFERENTIATION_NTAR_ID,0))</f>
        <v/>
      </c>
      <c r="H120" s="1618"/>
      <c r="I120" s="1498"/>
      <c r="J120" s="1532"/>
      <c r="K120" s="1537"/>
      <c r="L120" s="1618" t="s">
        <v>390</v>
      </c>
      <c r="M120" s="275"/>
      <c r="N120" s="268"/>
      <c r="O120" s="1412"/>
      <c r="P120" s="1412"/>
      <c r="AH120" s="1419">
        <v>0</v>
      </c>
    </row>
    <row r="121" spans="1:34" s="1423" customFormat="1" ht="18.75" hidden="1" customHeight="1">
      <c r="A121" s="1539"/>
      <c r="B121" s="1539"/>
      <c r="C121" s="302" t="s">
        <v>1227</v>
      </c>
      <c r="D121" s="2567"/>
      <c r="E121" s="2352"/>
      <c r="F121" s="2491"/>
      <c r="G121" s="2562"/>
      <c r="H121" s="1288"/>
      <c r="I121" s="582" t="s">
        <v>1226</v>
      </c>
      <c r="J121" s="503"/>
      <c r="K121" s="1288"/>
      <c r="L121" s="148"/>
      <c r="M121" s="275"/>
      <c r="N121" s="268"/>
      <c r="O121" s="1412"/>
      <c r="P121" s="1412"/>
      <c r="AH121" s="1419">
        <v>0</v>
      </c>
    </row>
    <row r="122" spans="1:34" s="1423" customFormat="1" ht="0.75" hidden="1" customHeight="1">
      <c r="A122" s="1539"/>
      <c r="B122" s="1539"/>
      <c r="C122" s="302" t="s">
        <v>1234</v>
      </c>
      <c r="D122" s="2567"/>
      <c r="E122" s="2352"/>
      <c r="F122" s="2491"/>
      <c r="G122" s="333"/>
      <c r="H122" s="1288"/>
      <c r="I122" s="582"/>
      <c r="J122" s="503"/>
      <c r="K122" s="1288"/>
      <c r="L122" s="148"/>
      <c r="M122" s="275"/>
      <c r="N122" s="268"/>
      <c r="O122" s="1412"/>
      <c r="P122" s="1412"/>
      <c r="AH122" s="1419">
        <v>0</v>
      </c>
    </row>
    <row r="123" spans="1:34" s="1423" customFormat="1" ht="18.75" hidden="1" customHeight="1">
      <c r="A123" s="1539" t="s">
        <v>324</v>
      </c>
      <c r="B123" s="1539" t="s">
        <v>325</v>
      </c>
      <c r="C123" s="302"/>
      <c r="D123" s="2567"/>
      <c r="E123" s="2352"/>
      <c r="F123" s="2491" t="str">
        <f>INDEX(PT_DIFFERENTIATION_VTAR,MATCH(A123,PT_DIFFERENTIATION_VTAR_ID,0))</f>
        <v>Тариф на подвоз воды</v>
      </c>
      <c r="G123" s="2562" t="str">
        <f>INDEX(PT_DIFFERENTIATION_NTAR,MATCH(B123,PT_DIFFERENTIATION_NTAR_ID,0))</f>
        <v/>
      </c>
      <c r="H123" s="1618"/>
      <c r="I123" s="1498"/>
      <c r="J123" s="1532"/>
      <c r="K123" s="1537"/>
      <c r="L123" s="1618" t="s">
        <v>390</v>
      </c>
      <c r="M123" s="275"/>
      <c r="N123" s="268"/>
      <c r="O123" s="1412"/>
      <c r="P123" s="1412"/>
      <c r="AH123" s="1419">
        <v>0</v>
      </c>
    </row>
    <row r="124" spans="1:34" s="1423" customFormat="1" ht="18.75" hidden="1" customHeight="1">
      <c r="A124" s="1539"/>
      <c r="B124" s="1539"/>
      <c r="C124" s="302" t="s">
        <v>1227</v>
      </c>
      <c r="D124" s="2567"/>
      <c r="E124" s="2352"/>
      <c r="F124" s="2491"/>
      <c r="G124" s="2562"/>
      <c r="H124" s="1288"/>
      <c r="I124" s="582" t="s">
        <v>1226</v>
      </c>
      <c r="J124" s="503"/>
      <c r="K124" s="1288"/>
      <c r="L124" s="148"/>
      <c r="M124" s="275"/>
      <c r="N124" s="268"/>
      <c r="O124" s="1412"/>
      <c r="P124" s="1412"/>
      <c r="AH124" s="1419">
        <v>0</v>
      </c>
    </row>
    <row r="125" spans="1:34" s="1423" customFormat="1" ht="0.75" hidden="1" customHeight="1">
      <c r="A125" s="1539"/>
      <c r="B125" s="1539"/>
      <c r="C125" s="302" t="s">
        <v>1234</v>
      </c>
      <c r="D125" s="2567"/>
      <c r="E125" s="2352"/>
      <c r="F125" s="2491"/>
      <c r="G125" s="333"/>
      <c r="H125" s="1288"/>
      <c r="I125" s="582"/>
      <c r="J125" s="503"/>
      <c r="K125" s="1288"/>
      <c r="L125" s="148"/>
      <c r="M125" s="275"/>
      <c r="N125" s="268"/>
      <c r="O125" s="1412"/>
      <c r="P125" s="1412"/>
      <c r="AH125" s="1419">
        <v>0</v>
      </c>
    </row>
    <row r="126" spans="1:34" s="1423" customFormat="1" ht="18.75" hidden="1" customHeight="1">
      <c r="A126" s="1539" t="s">
        <v>329</v>
      </c>
      <c r="B126" s="1539" t="s">
        <v>330</v>
      </c>
      <c r="C126" s="302"/>
      <c r="D126" s="2567"/>
      <c r="E126" s="2352"/>
      <c r="F126" s="249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62" t="str">
        <f>INDEX(PT_DIFFERENTIATION_NTAR,MATCH(B126,PT_DIFFERENTIATION_NTAR_ID,0))</f>
        <v/>
      </c>
      <c r="H126" s="1618"/>
      <c r="I126" s="1498"/>
      <c r="J126" s="1532"/>
      <c r="K126" s="1537"/>
      <c r="L126" s="1618" t="s">
        <v>390</v>
      </c>
      <c r="M126" s="275"/>
      <c r="N126" s="268"/>
      <c r="O126" s="1412"/>
      <c r="P126" s="1412"/>
      <c r="AH126" s="1419">
        <v>0</v>
      </c>
    </row>
    <row r="127" spans="1:34" s="1423" customFormat="1" ht="18.75" hidden="1" customHeight="1">
      <c r="A127" s="1539"/>
      <c r="B127" s="1539"/>
      <c r="C127" s="302" t="s">
        <v>1227</v>
      </c>
      <c r="D127" s="2567"/>
      <c r="E127" s="2352"/>
      <c r="F127" s="2491"/>
      <c r="G127" s="2562"/>
      <c r="H127" s="1288"/>
      <c r="I127" s="582" t="s">
        <v>1226</v>
      </c>
      <c r="J127" s="503"/>
      <c r="K127" s="1288"/>
      <c r="L127" s="148"/>
      <c r="M127" s="275"/>
      <c r="N127" s="268"/>
      <c r="O127" s="1412"/>
      <c r="P127" s="1412"/>
      <c r="AH127" s="1419">
        <v>0</v>
      </c>
    </row>
    <row r="128" spans="1:34" s="1423" customFormat="1" ht="0.75" hidden="1" customHeight="1">
      <c r="A128" s="1539"/>
      <c r="B128" s="1539"/>
      <c r="C128" s="302" t="s">
        <v>1234</v>
      </c>
      <c r="D128" s="2567"/>
      <c r="E128" s="2352"/>
      <c r="F128" s="2491"/>
      <c r="G128" s="333"/>
      <c r="H128" s="1288"/>
      <c r="I128" s="582"/>
      <c r="J128" s="503"/>
      <c r="K128" s="1288"/>
      <c r="L128" s="148"/>
      <c r="M128" s="275"/>
      <c r="N128" s="268"/>
      <c r="O128" s="1412"/>
      <c r="P128" s="1412"/>
      <c r="AH128" s="1419">
        <v>0</v>
      </c>
    </row>
    <row r="129" spans="1:34" s="1423" customFormat="1" ht="18.75" hidden="1" customHeight="1">
      <c r="A129" s="1539" t="s">
        <v>334</v>
      </c>
      <c r="B129" s="1539" t="s">
        <v>335</v>
      </c>
      <c r="C129" s="302"/>
      <c r="D129" s="2567"/>
      <c r="E129" s="2352"/>
      <c r="F129" s="2491" t="str">
        <f>INDEX(PT_DIFFERENTIATION_VTAR,MATCH(A129,PT_DIFFERENTIATION_VTAR_ID,0))</f>
        <v>Тариф на горячую воду (горячее водоснабжение)</v>
      </c>
      <c r="G129" s="2562" t="str">
        <f>INDEX(PT_DIFFERENTIATION_NTAR,MATCH(B129,PT_DIFFERENTIATION_NTAR_ID,0))</f>
        <v/>
      </c>
      <c r="H129" s="1618"/>
      <c r="I129" s="1498"/>
      <c r="J129" s="1532"/>
      <c r="K129" s="1537"/>
      <c r="L129" s="1618" t="s">
        <v>390</v>
      </c>
      <c r="M129" s="275"/>
      <c r="N129" s="268"/>
      <c r="O129" s="1412"/>
      <c r="P129" s="1412"/>
      <c r="AH129" s="1419">
        <v>0</v>
      </c>
    </row>
    <row r="130" spans="1:34" s="1423" customFormat="1" ht="18.75" hidden="1" customHeight="1">
      <c r="A130" s="1539"/>
      <c r="B130" s="1539"/>
      <c r="C130" s="302" t="s">
        <v>1227</v>
      </c>
      <c r="D130" s="2567"/>
      <c r="E130" s="2352"/>
      <c r="F130" s="2491"/>
      <c r="G130" s="2562"/>
      <c r="H130" s="1288"/>
      <c r="I130" s="582" t="s">
        <v>1226</v>
      </c>
      <c r="J130" s="503"/>
      <c r="K130" s="1288"/>
      <c r="L130" s="148"/>
      <c r="M130" s="275"/>
      <c r="N130" s="268"/>
      <c r="O130" s="1412"/>
      <c r="P130" s="1412"/>
      <c r="AH130" s="1419">
        <v>0</v>
      </c>
    </row>
    <row r="131" spans="1:34" s="1423" customFormat="1" ht="0.75" hidden="1" customHeight="1">
      <c r="A131" s="1539"/>
      <c r="B131" s="1539"/>
      <c r="C131" s="302" t="s">
        <v>1234</v>
      </c>
      <c r="D131" s="2567"/>
      <c r="E131" s="2352"/>
      <c r="F131" s="2491"/>
      <c r="G131" s="333"/>
      <c r="H131" s="1288"/>
      <c r="I131" s="582"/>
      <c r="J131" s="503"/>
      <c r="K131" s="1288"/>
      <c r="L131" s="148"/>
      <c r="M131" s="275"/>
      <c r="N131" s="268"/>
      <c r="O131" s="1412"/>
      <c r="P131" s="1412"/>
      <c r="AH131" s="1419">
        <v>0</v>
      </c>
    </row>
    <row r="132" spans="1:34" s="1423" customFormat="1" ht="18.75" hidden="1" customHeight="1">
      <c r="A132" s="1539" t="s">
        <v>339</v>
      </c>
      <c r="B132" s="1539" t="s">
        <v>340</v>
      </c>
      <c r="C132" s="302"/>
      <c r="D132" s="2567"/>
      <c r="E132" s="2352"/>
      <c r="F132" s="2491" t="str">
        <f>INDEX(PT_DIFFERENTIATION_VTAR,MATCH(A132,PT_DIFFERENTIATION_VTAR_ID,0))</f>
        <v>Тариф на транспортировку горячей воды</v>
      </c>
      <c r="G132" s="2562" t="str">
        <f>INDEX(PT_DIFFERENTIATION_NTAR,MATCH(B132,PT_DIFFERENTIATION_NTAR_ID,0))</f>
        <v/>
      </c>
      <c r="H132" s="1618"/>
      <c r="I132" s="1498"/>
      <c r="J132" s="1532"/>
      <c r="K132" s="1537"/>
      <c r="L132" s="1618" t="s">
        <v>390</v>
      </c>
      <c r="M132" s="275"/>
      <c r="N132" s="268"/>
      <c r="O132" s="1412"/>
      <c r="P132" s="1412"/>
      <c r="AH132" s="1419">
        <v>0</v>
      </c>
    </row>
    <row r="133" spans="1:34" s="1423" customFormat="1" ht="18.75" hidden="1" customHeight="1">
      <c r="A133" s="1539"/>
      <c r="B133" s="1539"/>
      <c r="C133" s="302" t="s">
        <v>1227</v>
      </c>
      <c r="D133" s="2567"/>
      <c r="E133" s="2352"/>
      <c r="F133" s="2491"/>
      <c r="G133" s="2562"/>
      <c r="H133" s="1288"/>
      <c r="I133" s="582" t="s">
        <v>1226</v>
      </c>
      <c r="J133" s="503"/>
      <c r="K133" s="1288"/>
      <c r="L133" s="148"/>
      <c r="M133" s="275"/>
      <c r="N133" s="268"/>
      <c r="O133" s="1412"/>
      <c r="P133" s="1412"/>
      <c r="AH133" s="1419">
        <v>0</v>
      </c>
    </row>
    <row r="134" spans="1:34" s="1423" customFormat="1" ht="0.75" hidden="1" customHeight="1">
      <c r="A134" s="1539"/>
      <c r="B134" s="1539"/>
      <c r="C134" s="302" t="s">
        <v>1234</v>
      </c>
      <c r="D134" s="2567"/>
      <c r="E134" s="2352"/>
      <c r="F134" s="2491"/>
      <c r="G134" s="333"/>
      <c r="H134" s="1288"/>
      <c r="I134" s="582"/>
      <c r="J134" s="503"/>
      <c r="K134" s="1288"/>
      <c r="L134" s="148"/>
      <c r="M134" s="275"/>
      <c r="N134" s="268"/>
      <c r="O134" s="1412"/>
      <c r="P134" s="1412"/>
      <c r="AH134" s="1419">
        <v>0</v>
      </c>
    </row>
    <row r="135" spans="1:34" s="1423" customFormat="1" ht="18.75" hidden="1" customHeight="1">
      <c r="A135" s="1539" t="s">
        <v>344</v>
      </c>
      <c r="B135" s="1539" t="s">
        <v>345</v>
      </c>
      <c r="C135" s="302"/>
      <c r="D135" s="2567"/>
      <c r="E135" s="2352"/>
      <c r="F135" s="249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62" t="str">
        <f>INDEX(PT_DIFFERENTIATION_NTAR,MATCH(B135,PT_DIFFERENTIATION_NTAR_ID,0))</f>
        <v/>
      </c>
      <c r="H135" s="1618"/>
      <c r="I135" s="1498"/>
      <c r="J135" s="1532"/>
      <c r="K135" s="1537"/>
      <c r="L135" s="1618" t="s">
        <v>390</v>
      </c>
      <c r="M135" s="275"/>
      <c r="N135" s="268"/>
      <c r="O135" s="1412"/>
      <c r="P135" s="1412"/>
      <c r="AH135" s="1419">
        <v>0</v>
      </c>
    </row>
    <row r="136" spans="1:34" s="1423" customFormat="1" ht="18.75" hidden="1" customHeight="1">
      <c r="A136" s="1539"/>
      <c r="B136" s="1539"/>
      <c r="C136" s="302" t="s">
        <v>1227</v>
      </c>
      <c r="D136" s="2567"/>
      <c r="E136" s="2352"/>
      <c r="F136" s="2491"/>
      <c r="G136" s="2562"/>
      <c r="H136" s="1288"/>
      <c r="I136" s="582" t="s">
        <v>1226</v>
      </c>
      <c r="J136" s="503"/>
      <c r="K136" s="1288"/>
      <c r="L136" s="148"/>
      <c r="M136" s="275"/>
      <c r="N136" s="268"/>
      <c r="O136" s="1412"/>
      <c r="P136" s="1412"/>
      <c r="AH136" s="1419">
        <v>0</v>
      </c>
    </row>
    <row r="137" spans="1:34" s="1423" customFormat="1" ht="0.75" hidden="1" customHeight="1">
      <c r="A137" s="1539"/>
      <c r="B137" s="1539"/>
      <c r="C137" s="302" t="s">
        <v>1234</v>
      </c>
      <c r="D137" s="2567"/>
      <c r="E137" s="2352"/>
      <c r="F137" s="2491"/>
      <c r="G137" s="333"/>
      <c r="H137" s="1288"/>
      <c r="I137" s="582"/>
      <c r="J137" s="503"/>
      <c r="K137" s="1288"/>
      <c r="L137" s="148"/>
      <c r="M137" s="275"/>
      <c r="N137" s="268"/>
      <c r="O137" s="1412"/>
      <c r="P137" s="1412"/>
      <c r="AH137" s="1419">
        <v>0</v>
      </c>
    </row>
    <row r="138" spans="1:34" s="1423" customFormat="1" ht="18.75" hidden="1" customHeight="1">
      <c r="A138" s="1539" t="s">
        <v>349</v>
      </c>
      <c r="B138" s="1539" t="s">
        <v>350</v>
      </c>
      <c r="C138" s="302"/>
      <c r="D138" s="2567"/>
      <c r="E138" s="2352"/>
      <c r="F138" s="2491" t="str">
        <f>INDEX(PT_DIFFERENTIATION_VTAR,MATCH(A138,PT_DIFFERENTIATION_VTAR_ID,0))</f>
        <v>Тариф на водоотведение</v>
      </c>
      <c r="G138" s="2562" t="str">
        <f>INDEX(PT_DIFFERENTIATION_NTAR,MATCH(B138,PT_DIFFERENTIATION_NTAR_ID,0))</f>
        <v/>
      </c>
      <c r="H138" s="1618"/>
      <c r="I138" s="1498"/>
      <c r="J138" s="1532"/>
      <c r="K138" s="1537"/>
      <c r="L138" s="1618" t="s">
        <v>390</v>
      </c>
      <c r="M138" s="275"/>
      <c r="N138" s="268"/>
      <c r="O138" s="1412"/>
      <c r="P138" s="1412"/>
      <c r="AH138" s="1419">
        <v>0</v>
      </c>
    </row>
    <row r="139" spans="1:34" s="1423" customFormat="1" ht="18.75" hidden="1" customHeight="1">
      <c r="A139" s="1539"/>
      <c r="B139" s="1539"/>
      <c r="C139" s="302" t="s">
        <v>1227</v>
      </c>
      <c r="D139" s="2567"/>
      <c r="E139" s="2352"/>
      <c r="F139" s="2491"/>
      <c r="G139" s="2562"/>
      <c r="H139" s="1288"/>
      <c r="I139" s="582" t="s">
        <v>1226</v>
      </c>
      <c r="J139" s="503"/>
      <c r="K139" s="1288"/>
      <c r="L139" s="148"/>
      <c r="M139" s="275"/>
      <c r="N139" s="268"/>
      <c r="O139" s="1412"/>
      <c r="P139" s="1412"/>
      <c r="AH139" s="1419">
        <v>0</v>
      </c>
    </row>
    <row r="140" spans="1:34" s="1423" customFormat="1" ht="0.75" hidden="1" customHeight="1">
      <c r="A140" s="1539"/>
      <c r="B140" s="1539"/>
      <c r="C140" s="302" t="s">
        <v>1234</v>
      </c>
      <c r="D140" s="2567"/>
      <c r="E140" s="2352"/>
      <c r="F140" s="2491"/>
      <c r="G140" s="333"/>
      <c r="H140" s="1288"/>
      <c r="I140" s="582"/>
      <c r="J140" s="503"/>
      <c r="K140" s="1288"/>
      <c r="L140" s="148"/>
      <c r="M140" s="275"/>
      <c r="N140" s="268"/>
      <c r="O140" s="1412"/>
      <c r="P140" s="1412"/>
      <c r="AH140" s="1419">
        <v>0</v>
      </c>
    </row>
    <row r="141" spans="1:34" s="1423" customFormat="1" ht="18.75" hidden="1" customHeight="1">
      <c r="A141" s="1539" t="s">
        <v>354</v>
      </c>
      <c r="B141" s="1539" t="s">
        <v>355</v>
      </c>
      <c r="C141" s="302"/>
      <c r="D141" s="2567"/>
      <c r="E141" s="2352"/>
      <c r="F141" s="2491" t="str">
        <f>INDEX(PT_DIFFERENTIATION_VTAR,MATCH(A141,PT_DIFFERENTIATION_VTAR_ID,0))</f>
        <v>Тариф на транспортировку сточных вод</v>
      </c>
      <c r="G141" s="2562" t="str">
        <f>INDEX(PT_DIFFERENTIATION_NTAR,MATCH(B141,PT_DIFFERENTIATION_NTAR_ID,0))</f>
        <v/>
      </c>
      <c r="H141" s="1618"/>
      <c r="I141" s="1498"/>
      <c r="J141" s="1532"/>
      <c r="K141" s="1537"/>
      <c r="L141" s="1618" t="s">
        <v>390</v>
      </c>
      <c r="M141" s="275"/>
      <c r="N141" s="268"/>
      <c r="O141" s="1412"/>
      <c r="P141" s="1412"/>
      <c r="AH141" s="1419">
        <v>0</v>
      </c>
    </row>
    <row r="142" spans="1:34" s="1423" customFormat="1" ht="18.75" hidden="1" customHeight="1">
      <c r="A142" s="1539"/>
      <c r="B142" s="1539"/>
      <c r="C142" s="302" t="s">
        <v>1227</v>
      </c>
      <c r="D142" s="2567"/>
      <c r="E142" s="2352"/>
      <c r="F142" s="2491"/>
      <c r="G142" s="2562"/>
      <c r="H142" s="1288"/>
      <c r="I142" s="582" t="s">
        <v>1226</v>
      </c>
      <c r="J142" s="503"/>
      <c r="K142" s="1288"/>
      <c r="L142" s="148"/>
      <c r="M142" s="275"/>
      <c r="N142" s="268"/>
      <c r="O142" s="1412"/>
      <c r="P142" s="1412"/>
      <c r="AH142" s="1419">
        <v>0</v>
      </c>
    </row>
    <row r="143" spans="1:34" s="1423" customFormat="1" ht="0.75" hidden="1" customHeight="1">
      <c r="A143" s="1539"/>
      <c r="B143" s="1539"/>
      <c r="C143" s="302" t="s">
        <v>1234</v>
      </c>
      <c r="D143" s="2567"/>
      <c r="E143" s="2352"/>
      <c r="F143" s="2491"/>
      <c r="G143" s="333"/>
      <c r="H143" s="1288"/>
      <c r="I143" s="582"/>
      <c r="J143" s="503"/>
      <c r="K143" s="1288"/>
      <c r="L143" s="148"/>
      <c r="M143" s="275"/>
      <c r="N143" s="268"/>
      <c r="O143" s="1412"/>
      <c r="P143" s="1412"/>
      <c r="AH143" s="1419">
        <v>0</v>
      </c>
    </row>
    <row r="144" spans="1:34" s="1423" customFormat="1" ht="18.75" hidden="1" customHeight="1">
      <c r="A144" s="1539" t="s">
        <v>359</v>
      </c>
      <c r="B144" s="1539" t="s">
        <v>360</v>
      </c>
      <c r="C144" s="302"/>
      <c r="D144" s="2567"/>
      <c r="E144" s="2352"/>
      <c r="F144" s="2491" t="str">
        <f>INDEX(PT_DIFFERENTIATION_VTAR,MATCH(A144,PT_DIFFERENTIATION_VTAR_ID,0))</f>
        <v>Тариф на подключение (технологическое присоединение) к централизованной системе водоотведения</v>
      </c>
      <c r="G144" s="2562" t="str">
        <f>INDEX(PT_DIFFERENTIATION_NTAR,MATCH(B144,PT_DIFFERENTIATION_NTAR_ID,0))</f>
        <v/>
      </c>
      <c r="H144" s="1618"/>
      <c r="I144" s="1498"/>
      <c r="J144" s="1532"/>
      <c r="K144" s="1537"/>
      <c r="L144" s="1618" t="s">
        <v>390</v>
      </c>
      <c r="M144" s="275"/>
      <c r="N144" s="268"/>
      <c r="O144" s="1412"/>
      <c r="P144" s="1412"/>
      <c r="AH144" s="1419">
        <v>0</v>
      </c>
    </row>
    <row r="145" spans="1:34" s="1423" customFormat="1" ht="18.75" hidden="1" customHeight="1">
      <c r="A145" s="1539"/>
      <c r="B145" s="1539"/>
      <c r="C145" s="302" t="s">
        <v>1227</v>
      </c>
      <c r="D145" s="2567"/>
      <c r="E145" s="2352"/>
      <c r="F145" s="2491"/>
      <c r="G145" s="2562"/>
      <c r="H145" s="1288"/>
      <c r="I145" s="582" t="s">
        <v>1226</v>
      </c>
      <c r="J145" s="503"/>
      <c r="K145" s="1288"/>
      <c r="L145" s="148"/>
      <c r="M145" s="275"/>
      <c r="N145" s="268"/>
      <c r="O145" s="1412"/>
      <c r="P145" s="1412"/>
      <c r="AH145" s="1419">
        <v>0</v>
      </c>
    </row>
    <row r="146" spans="1:34" s="1423" customFormat="1" ht="1.1499999999999999" customHeight="1">
      <c r="A146" s="1539"/>
      <c r="B146" s="1539"/>
      <c r="C146" s="302" t="s">
        <v>1234</v>
      </c>
      <c r="D146" s="2567"/>
      <c r="E146" s="2352"/>
      <c r="F146" s="2491"/>
      <c r="G146" s="333"/>
      <c r="H146" s="1288"/>
      <c r="I146" s="582"/>
      <c r="J146" s="503"/>
      <c r="K146" s="1288"/>
      <c r="L146" s="148"/>
      <c r="M146" s="275"/>
      <c r="N146" s="268"/>
      <c r="O146" s="1412"/>
      <c r="P146" s="1412"/>
      <c r="AH146" s="1419">
        <v>1</v>
      </c>
    </row>
    <row r="147" spans="1:34" ht="19.899999999999999" customHeight="1">
      <c r="A147" s="1539"/>
      <c r="B147" s="1539"/>
      <c r="D147" s="309"/>
      <c r="E147" s="82" t="s">
        <v>78</v>
      </c>
      <c r="F147" s="256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66"/>
      <c r="H147" s="2566"/>
      <c r="I147" s="2566"/>
      <c r="J147" s="2566"/>
      <c r="K147" s="2566"/>
      <c r="L147" s="2566"/>
      <c r="M147" s="231"/>
      <c r="N147" s="268"/>
      <c r="AH147" s="307">
        <v>19</v>
      </c>
    </row>
    <row r="148" spans="1:34" s="1423" customFormat="1" ht="60.75" hidden="1" customHeight="1">
      <c r="A148" s="1539" t="s">
        <v>241</v>
      </c>
      <c r="B148" s="1539" t="s">
        <v>242</v>
      </c>
      <c r="C148" s="302"/>
      <c r="D148" s="2567"/>
      <c r="E148" s="2352"/>
      <c r="F148" s="249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62" t="str">
        <f>INDEX(PT_DIFFERENTIATION_NTAR,MATCH(B148,PT_DIFFERENTIATION_NTAR_ID,0))</f>
        <v/>
      </c>
      <c r="H148" s="1618"/>
      <c r="I148" s="1498"/>
      <c r="J148" s="1532"/>
      <c r="K148" s="1537"/>
      <c r="L148" s="1618" t="s">
        <v>390</v>
      </c>
      <c r="M148" s="231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68"/>
      <c r="O148" s="1412"/>
      <c r="P148" s="1412"/>
      <c r="AH148" s="1419">
        <v>0</v>
      </c>
    </row>
    <row r="149" spans="1:34" s="1423" customFormat="1" ht="18.75" hidden="1" customHeight="1">
      <c r="A149" s="1539"/>
      <c r="B149" s="1539"/>
      <c r="C149" s="302" t="s">
        <v>1227</v>
      </c>
      <c r="D149" s="2567"/>
      <c r="E149" s="2352"/>
      <c r="F149" s="2491"/>
      <c r="G149" s="2562"/>
      <c r="H149" s="1288"/>
      <c r="I149" s="582" t="s">
        <v>1226</v>
      </c>
      <c r="J149" s="503"/>
      <c r="K149" s="1288"/>
      <c r="L149" s="148"/>
      <c r="M149" s="2313"/>
      <c r="N149" s="268"/>
      <c r="O149" s="1412"/>
      <c r="P149" s="1412"/>
      <c r="AH149" s="1419">
        <v>0</v>
      </c>
    </row>
    <row r="150" spans="1:34" s="1423" customFormat="1" ht="0.75" hidden="1" customHeight="1">
      <c r="A150" s="1539"/>
      <c r="B150" s="1539"/>
      <c r="C150" s="302" t="s">
        <v>1234</v>
      </c>
      <c r="D150" s="2567"/>
      <c r="E150" s="2352"/>
      <c r="F150" s="2491"/>
      <c r="G150" s="333"/>
      <c r="H150" s="1288"/>
      <c r="I150" s="582"/>
      <c r="J150" s="503"/>
      <c r="K150" s="1288"/>
      <c r="L150" s="148"/>
      <c r="M150" s="2313"/>
      <c r="N150" s="268"/>
      <c r="O150" s="1412"/>
      <c r="P150" s="1412"/>
      <c r="AH150" s="1419">
        <v>0</v>
      </c>
    </row>
    <row r="151" spans="1:34" s="1423" customFormat="1" ht="45" hidden="1" customHeight="1">
      <c r="A151" s="1539" t="s">
        <v>246</v>
      </c>
      <c r="B151" s="1539" t="s">
        <v>247</v>
      </c>
      <c r="C151" s="302"/>
      <c r="D151" s="2567"/>
      <c r="E151" s="2352"/>
      <c r="F151" s="2491" t="str">
        <f>INDEX(PT_DIFFERENTIATION_VTAR,MATCH(A151,PT_DIFFERENTIATION_VTAR_ID,0))</f>
        <v/>
      </c>
      <c r="G151" s="2562" t="str">
        <f>INDEX(PT_DIFFERENTIATION_NTAR,MATCH(B151,PT_DIFFERENTIATION_NTAR_ID,0))</f>
        <v/>
      </c>
      <c r="H151" s="1618"/>
      <c r="I151" s="1498"/>
      <c r="J151" s="1532"/>
      <c r="K151" s="1537"/>
      <c r="L151" s="1618" t="s">
        <v>390</v>
      </c>
      <c r="M151" s="2314"/>
      <c r="N151" s="268"/>
      <c r="O151" s="1412"/>
      <c r="P151" s="1412"/>
      <c r="AH151" s="1419">
        <v>0</v>
      </c>
    </row>
    <row r="152" spans="1:34" s="1423" customFormat="1" ht="18.75" hidden="1" customHeight="1">
      <c r="A152" s="1539"/>
      <c r="B152" s="1539"/>
      <c r="C152" s="302" t="s">
        <v>1227</v>
      </c>
      <c r="D152" s="2567"/>
      <c r="E152" s="2352"/>
      <c r="F152" s="2491"/>
      <c r="G152" s="2562"/>
      <c r="H152" s="1288"/>
      <c r="I152" s="582" t="s">
        <v>1226</v>
      </c>
      <c r="J152" s="503"/>
      <c r="K152" s="1288"/>
      <c r="L152" s="148"/>
      <c r="M152" s="1617"/>
      <c r="N152" s="268"/>
      <c r="O152" s="1412"/>
      <c r="P152" s="1412"/>
      <c r="AH152" s="1419">
        <v>0</v>
      </c>
    </row>
    <row r="153" spans="1:34" s="1423" customFormat="1" ht="0.75" hidden="1" customHeight="1">
      <c r="A153" s="1539"/>
      <c r="B153" s="1539"/>
      <c r="C153" s="302" t="s">
        <v>1234</v>
      </c>
      <c r="D153" s="2567"/>
      <c r="E153" s="2352"/>
      <c r="F153" s="2491"/>
      <c r="G153" s="333"/>
      <c r="H153" s="1288"/>
      <c r="I153" s="582"/>
      <c r="J153" s="503"/>
      <c r="K153" s="1288"/>
      <c r="L153" s="148"/>
      <c r="M153" s="275"/>
      <c r="N153" s="268"/>
      <c r="O153" s="1412"/>
      <c r="P153" s="1412"/>
      <c r="AH153" s="1419">
        <v>0</v>
      </c>
    </row>
    <row r="154" spans="1:34" s="1423" customFormat="1" ht="45" hidden="1" customHeight="1">
      <c r="A154" s="1539" t="s">
        <v>253</v>
      </c>
      <c r="B154" s="1539" t="s">
        <v>254</v>
      </c>
      <c r="C154" s="302"/>
      <c r="D154" s="2567"/>
      <c r="E154" s="2352"/>
      <c r="F154" s="249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62" t="str">
        <f>INDEX(PT_DIFFERENTIATION_NTAR,MATCH(B154,PT_DIFFERENTIATION_NTAR_ID,0))</f>
        <v/>
      </c>
      <c r="H154" s="1618"/>
      <c r="I154" s="1498"/>
      <c r="J154" s="1532"/>
      <c r="K154" s="1537"/>
      <c r="L154" s="1618" t="s">
        <v>390</v>
      </c>
      <c r="M154" s="275"/>
      <c r="N154" s="268"/>
      <c r="O154" s="1412"/>
      <c r="P154" s="1412"/>
      <c r="AH154" s="1419">
        <v>0</v>
      </c>
    </row>
    <row r="155" spans="1:34" s="1423" customFormat="1" ht="18.75" hidden="1" customHeight="1">
      <c r="A155" s="1539"/>
      <c r="B155" s="1539"/>
      <c r="C155" s="302" t="s">
        <v>1227</v>
      </c>
      <c r="D155" s="2567"/>
      <c r="E155" s="2352"/>
      <c r="F155" s="2491"/>
      <c r="G155" s="2562"/>
      <c r="H155" s="1288"/>
      <c r="I155" s="582" t="s">
        <v>1226</v>
      </c>
      <c r="J155" s="503"/>
      <c r="K155" s="1288"/>
      <c r="L155" s="148"/>
      <c r="M155" s="275"/>
      <c r="N155" s="268"/>
      <c r="O155" s="1412"/>
      <c r="P155" s="1412"/>
      <c r="AH155" s="1419">
        <v>0</v>
      </c>
    </row>
    <row r="156" spans="1:34" s="1423" customFormat="1" ht="0.75" hidden="1" customHeight="1">
      <c r="A156" s="1539"/>
      <c r="B156" s="1539"/>
      <c r="C156" s="302" t="s">
        <v>1234</v>
      </c>
      <c r="D156" s="2567"/>
      <c r="E156" s="2352"/>
      <c r="F156" s="2491"/>
      <c r="G156" s="333"/>
      <c r="H156" s="1288"/>
      <c r="I156" s="582"/>
      <c r="J156" s="503"/>
      <c r="K156" s="1288"/>
      <c r="L156" s="148"/>
      <c r="M156" s="275"/>
      <c r="N156" s="268"/>
      <c r="O156" s="1412"/>
      <c r="P156" s="1412"/>
      <c r="AH156" s="1419">
        <v>0</v>
      </c>
    </row>
    <row r="157" spans="1:34" s="1423" customFormat="1" ht="45" hidden="1" customHeight="1">
      <c r="A157" s="1539" t="s">
        <v>259</v>
      </c>
      <c r="B157" s="1539" t="s">
        <v>260</v>
      </c>
      <c r="C157" s="302"/>
      <c r="D157" s="2567"/>
      <c r="E157" s="2352"/>
      <c r="F157" s="249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62" t="str">
        <f>INDEX(PT_DIFFERENTIATION_NTAR,MATCH(B157,PT_DIFFERENTIATION_NTAR_ID,0))</f>
        <v/>
      </c>
      <c r="H157" s="1618"/>
      <c r="I157" s="1498"/>
      <c r="J157" s="1532"/>
      <c r="K157" s="1537"/>
      <c r="L157" s="1618" t="s">
        <v>390</v>
      </c>
      <c r="M157" s="275"/>
      <c r="N157" s="268"/>
      <c r="O157" s="1412"/>
      <c r="P157" s="1412"/>
      <c r="AH157" s="1419">
        <v>0</v>
      </c>
    </row>
    <row r="158" spans="1:34" s="1423" customFormat="1" ht="18.75" hidden="1" customHeight="1">
      <c r="A158" s="1539"/>
      <c r="B158" s="1539"/>
      <c r="C158" s="302" t="s">
        <v>1227</v>
      </c>
      <c r="D158" s="2567"/>
      <c r="E158" s="2352"/>
      <c r="F158" s="2491"/>
      <c r="G158" s="2562"/>
      <c r="H158" s="1288"/>
      <c r="I158" s="582" t="s">
        <v>1226</v>
      </c>
      <c r="J158" s="503"/>
      <c r="K158" s="1288"/>
      <c r="L158" s="148"/>
      <c r="M158" s="275"/>
      <c r="N158" s="268"/>
      <c r="O158" s="1412"/>
      <c r="P158" s="1412"/>
      <c r="AH158" s="1419">
        <v>0</v>
      </c>
    </row>
    <row r="159" spans="1:34" s="1423" customFormat="1" ht="0.75" hidden="1" customHeight="1">
      <c r="A159" s="1539"/>
      <c r="B159" s="1539"/>
      <c r="C159" s="302" t="s">
        <v>1234</v>
      </c>
      <c r="D159" s="2567"/>
      <c r="E159" s="2352"/>
      <c r="F159" s="2491"/>
      <c r="G159" s="333"/>
      <c r="H159" s="1288"/>
      <c r="I159" s="582"/>
      <c r="J159" s="503"/>
      <c r="K159" s="1288"/>
      <c r="L159" s="148"/>
      <c r="M159" s="275"/>
      <c r="N159" s="268"/>
      <c r="O159" s="1412"/>
      <c r="P159" s="1412"/>
      <c r="AH159" s="1419">
        <v>0</v>
      </c>
    </row>
    <row r="160" spans="1:34" s="1423" customFormat="1" ht="18.75" hidden="1" customHeight="1">
      <c r="A160" s="1539" t="s">
        <v>265</v>
      </c>
      <c r="B160" s="1539" t="s">
        <v>266</v>
      </c>
      <c r="C160" s="302"/>
      <c r="D160" s="2567"/>
      <c r="E160" s="2352"/>
      <c r="F160" s="2491" t="str">
        <f>INDEX(PT_DIFFERENTIATION_VTAR,MATCH(A160,PT_DIFFERENTIATION_VTAR_ID,0))</f>
        <v>Тарифы на услуги по передаче тепловой энергии</v>
      </c>
      <c r="G160" s="2562" t="str">
        <f>INDEX(PT_DIFFERENTIATION_NTAR,MATCH(B160,PT_DIFFERENTIATION_NTAR_ID,0))</f>
        <v/>
      </c>
      <c r="H160" s="1618"/>
      <c r="I160" s="1498"/>
      <c r="J160" s="1532"/>
      <c r="K160" s="1537"/>
      <c r="L160" s="1618" t="s">
        <v>390</v>
      </c>
      <c r="M160" s="275"/>
      <c r="N160" s="268"/>
      <c r="O160" s="1412"/>
      <c r="P160" s="1412"/>
      <c r="AH160" s="1419">
        <v>0</v>
      </c>
    </row>
    <row r="161" spans="1:34" s="1423" customFormat="1" ht="18.75" hidden="1" customHeight="1">
      <c r="A161" s="1539"/>
      <c r="B161" s="1539"/>
      <c r="C161" s="302" t="s">
        <v>1227</v>
      </c>
      <c r="D161" s="2567"/>
      <c r="E161" s="2352"/>
      <c r="F161" s="2491"/>
      <c r="G161" s="2562"/>
      <c r="H161" s="1288"/>
      <c r="I161" s="582" t="s">
        <v>1226</v>
      </c>
      <c r="J161" s="503"/>
      <c r="K161" s="1288"/>
      <c r="L161" s="148"/>
      <c r="M161" s="275"/>
      <c r="N161" s="268"/>
      <c r="O161" s="1412"/>
      <c r="P161" s="1412"/>
      <c r="AH161" s="1419">
        <v>0</v>
      </c>
    </row>
    <row r="162" spans="1:34" s="1423" customFormat="1" ht="0.75" hidden="1" customHeight="1">
      <c r="A162" s="1539"/>
      <c r="B162" s="1539"/>
      <c r="C162" s="302" t="s">
        <v>1234</v>
      </c>
      <c r="D162" s="2567"/>
      <c r="E162" s="2352"/>
      <c r="F162" s="2491"/>
      <c r="G162" s="333"/>
      <c r="H162" s="1288"/>
      <c r="I162" s="582"/>
      <c r="J162" s="503"/>
      <c r="K162" s="1288"/>
      <c r="L162" s="148"/>
      <c r="M162" s="275"/>
      <c r="N162" s="268"/>
      <c r="O162" s="1412"/>
      <c r="P162" s="1412"/>
      <c r="AH162" s="1419">
        <v>0</v>
      </c>
    </row>
    <row r="163" spans="1:34" s="1423" customFormat="1" ht="18.75" hidden="1" customHeight="1">
      <c r="A163" s="1539" t="s">
        <v>271</v>
      </c>
      <c r="B163" s="1539" t="s">
        <v>272</v>
      </c>
      <c r="C163" s="302"/>
      <c r="D163" s="2567"/>
      <c r="E163" s="2352"/>
      <c r="F163" s="2491" t="str">
        <f>INDEX(PT_DIFFERENTIATION_VTAR,MATCH(A163,PT_DIFFERENTIATION_VTAR_ID,0))</f>
        <v>Тарифы на услуги по передаче теплоносителя</v>
      </c>
      <c r="G163" s="2562" t="str">
        <f>INDEX(PT_DIFFERENTIATION_NTAR,MATCH(B163,PT_DIFFERENTIATION_NTAR_ID,0))</f>
        <v/>
      </c>
      <c r="H163" s="1618"/>
      <c r="I163" s="1498"/>
      <c r="J163" s="1532"/>
      <c r="K163" s="1537"/>
      <c r="L163" s="1618" t="s">
        <v>390</v>
      </c>
      <c r="M163" s="275"/>
      <c r="N163" s="268"/>
      <c r="O163" s="1412"/>
      <c r="P163" s="1412"/>
      <c r="AH163" s="1419">
        <v>0</v>
      </c>
    </row>
    <row r="164" spans="1:34" s="1423" customFormat="1" ht="18.75" hidden="1" customHeight="1">
      <c r="A164" s="1539"/>
      <c r="B164" s="1539"/>
      <c r="C164" s="302" t="s">
        <v>1227</v>
      </c>
      <c r="D164" s="2567"/>
      <c r="E164" s="2352"/>
      <c r="F164" s="2491"/>
      <c r="G164" s="2562"/>
      <c r="H164" s="1288"/>
      <c r="I164" s="582" t="s">
        <v>1226</v>
      </c>
      <c r="J164" s="503"/>
      <c r="K164" s="1288"/>
      <c r="L164" s="148"/>
      <c r="M164" s="275"/>
      <c r="N164" s="268"/>
      <c r="O164" s="1412"/>
      <c r="P164" s="1412"/>
      <c r="AH164" s="1419">
        <v>0</v>
      </c>
    </row>
    <row r="165" spans="1:34" s="1423" customFormat="1" ht="0.75" hidden="1" customHeight="1">
      <c r="A165" s="1539"/>
      <c r="B165" s="1539"/>
      <c r="C165" s="302" t="s">
        <v>1234</v>
      </c>
      <c r="D165" s="2567"/>
      <c r="E165" s="2352"/>
      <c r="F165" s="2491"/>
      <c r="G165" s="333"/>
      <c r="H165" s="1288"/>
      <c r="I165" s="582"/>
      <c r="J165" s="503"/>
      <c r="K165" s="1288"/>
      <c r="L165" s="148"/>
      <c r="M165" s="275"/>
      <c r="N165" s="268"/>
      <c r="O165" s="1412"/>
      <c r="P165" s="1412"/>
      <c r="AH165" s="1419">
        <v>0</v>
      </c>
    </row>
    <row r="166" spans="1:34" s="1423" customFormat="1" ht="18.75" hidden="1" customHeight="1">
      <c r="A166" s="1539" t="s">
        <v>277</v>
      </c>
      <c r="B166" s="1539" t="s">
        <v>278</v>
      </c>
      <c r="C166" s="302"/>
      <c r="D166" s="2567"/>
      <c r="E166" s="2352"/>
      <c r="F166" s="249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62" t="str">
        <f>INDEX(PT_DIFFERENTIATION_NTAR,MATCH(B166,PT_DIFFERENTIATION_NTAR_ID,0))</f>
        <v/>
      </c>
      <c r="H166" s="1618"/>
      <c r="I166" s="1498"/>
      <c r="J166" s="1532"/>
      <c r="K166" s="1537"/>
      <c r="L166" s="1618" t="s">
        <v>390</v>
      </c>
      <c r="M166" s="275"/>
      <c r="N166" s="268"/>
      <c r="O166" s="1412"/>
      <c r="P166" s="1412"/>
      <c r="AH166" s="1419">
        <v>0</v>
      </c>
    </row>
    <row r="167" spans="1:34" s="1423" customFormat="1" ht="18.75" hidden="1" customHeight="1">
      <c r="A167" s="1539"/>
      <c r="B167" s="1539"/>
      <c r="C167" s="302" t="s">
        <v>1227</v>
      </c>
      <c r="D167" s="2567"/>
      <c r="E167" s="2352"/>
      <c r="F167" s="2491"/>
      <c r="G167" s="2562"/>
      <c r="H167" s="1288"/>
      <c r="I167" s="582" t="s">
        <v>1226</v>
      </c>
      <c r="J167" s="503"/>
      <c r="K167" s="1288"/>
      <c r="L167" s="148"/>
      <c r="M167" s="275"/>
      <c r="N167" s="268"/>
      <c r="O167" s="1412"/>
      <c r="P167" s="1412"/>
      <c r="AH167" s="1419">
        <v>0</v>
      </c>
    </row>
    <row r="168" spans="1:34" s="1423" customFormat="1" ht="0.75" hidden="1" customHeight="1">
      <c r="A168" s="1539"/>
      <c r="B168" s="1539"/>
      <c r="C168" s="302" t="s">
        <v>1234</v>
      </c>
      <c r="D168" s="2567"/>
      <c r="E168" s="2352"/>
      <c r="F168" s="2491"/>
      <c r="G168" s="333"/>
      <c r="H168" s="1288"/>
      <c r="I168" s="582"/>
      <c r="J168" s="503"/>
      <c r="K168" s="1288"/>
      <c r="L168" s="148"/>
      <c r="M168" s="275"/>
      <c r="N168" s="268"/>
      <c r="O168" s="1412"/>
      <c r="P168" s="1412"/>
      <c r="AH168" s="1419">
        <v>0</v>
      </c>
    </row>
    <row r="169" spans="1:34" s="1423" customFormat="1" ht="18.75" hidden="1" customHeight="1">
      <c r="A169" s="1539" t="s">
        <v>283</v>
      </c>
      <c r="B169" s="1539" t="s">
        <v>284</v>
      </c>
      <c r="C169" s="302"/>
      <c r="D169" s="2567"/>
      <c r="E169" s="2352"/>
      <c r="F169" s="2491" t="str">
        <f>INDEX(PT_DIFFERENTIATION_VTAR,MATCH(A169,PT_DIFFERENTIATION_VTAR_ID,0))</f>
        <v>Плата за подключение (технологическое присоединение) к системе теплоснабжения</v>
      </c>
      <c r="G169" s="2562" t="str">
        <f>INDEX(PT_DIFFERENTIATION_NTAR,MATCH(B169,PT_DIFFERENTIATION_NTAR_ID,0))</f>
        <v/>
      </c>
      <c r="H169" s="1618"/>
      <c r="I169" s="1498"/>
      <c r="J169" s="1532"/>
      <c r="K169" s="1537"/>
      <c r="L169" s="1618" t="s">
        <v>390</v>
      </c>
      <c r="M169" s="275"/>
      <c r="N169" s="268"/>
      <c r="O169" s="1412"/>
      <c r="P169" s="1412"/>
      <c r="AH169" s="1419">
        <v>0</v>
      </c>
    </row>
    <row r="170" spans="1:34" s="1423" customFormat="1" ht="18.75" hidden="1" customHeight="1">
      <c r="A170" s="1539"/>
      <c r="B170" s="1539"/>
      <c r="C170" s="302" t="s">
        <v>1227</v>
      </c>
      <c r="D170" s="2567"/>
      <c r="E170" s="2352"/>
      <c r="F170" s="2491"/>
      <c r="G170" s="2562"/>
      <c r="H170" s="1288"/>
      <c r="I170" s="582" t="s">
        <v>1226</v>
      </c>
      <c r="J170" s="503"/>
      <c r="K170" s="1288"/>
      <c r="L170" s="148"/>
      <c r="M170" s="275"/>
      <c r="N170" s="268"/>
      <c r="O170" s="1412"/>
      <c r="P170" s="1412"/>
      <c r="AH170" s="1419">
        <v>0</v>
      </c>
    </row>
    <row r="171" spans="1:34" s="1423" customFormat="1" ht="0.75" hidden="1" customHeight="1">
      <c r="A171" s="1539"/>
      <c r="B171" s="1539"/>
      <c r="C171" s="302" t="s">
        <v>1234</v>
      </c>
      <c r="D171" s="2567"/>
      <c r="E171" s="2352"/>
      <c r="F171" s="2491"/>
      <c r="G171" s="333"/>
      <c r="H171" s="1288"/>
      <c r="I171" s="582"/>
      <c r="J171" s="503"/>
      <c r="K171" s="1288"/>
      <c r="L171" s="148"/>
      <c r="M171" s="275"/>
      <c r="N171" s="268"/>
      <c r="O171" s="1412"/>
      <c r="P171" s="1412"/>
      <c r="AH171" s="1419">
        <v>0</v>
      </c>
    </row>
    <row r="172" spans="1:34" s="1423" customFormat="1" ht="18.75" hidden="1" customHeight="1">
      <c r="A172" s="1539" t="s">
        <v>289</v>
      </c>
      <c r="B172" s="1539" t="s">
        <v>290</v>
      </c>
      <c r="C172" s="302"/>
      <c r="D172" s="2567"/>
      <c r="E172" s="2352"/>
      <c r="F172" s="2491" t="str">
        <f>INDEX(PT_DIFFERENTIATION_VTAR,MATCH(A172,PT_DIFFERENTIATION_VTAR_ID,0))</f>
        <v>Плата за подключение (технологическое присоединение) к системе теплоснабжения (индивидуальная)</v>
      </c>
      <c r="G172" s="2562" t="str">
        <f>INDEX(PT_DIFFERENTIATION_NTAR,MATCH(B172,PT_DIFFERENTIATION_NTAR_ID,0))</f>
        <v/>
      </c>
      <c r="H172" s="1739"/>
      <c r="I172" s="1498"/>
      <c r="J172" s="1532"/>
      <c r="K172" s="1537"/>
      <c r="L172" s="1739" t="s">
        <v>390</v>
      </c>
      <c r="M172" s="275"/>
      <c r="N172" s="268"/>
      <c r="O172" s="1412"/>
      <c r="P172" s="1412"/>
      <c r="AH172" s="1419">
        <v>0</v>
      </c>
    </row>
    <row r="173" spans="1:34" s="1423" customFormat="1" ht="18.75" hidden="1" customHeight="1">
      <c r="A173" s="1539"/>
      <c r="B173" s="1539"/>
      <c r="C173" s="302" t="s">
        <v>1227</v>
      </c>
      <c r="D173" s="2567"/>
      <c r="E173" s="2352"/>
      <c r="F173" s="2491"/>
      <c r="G173" s="2562"/>
      <c r="H173" s="1288"/>
      <c r="I173" s="582" t="s">
        <v>1226</v>
      </c>
      <c r="J173" s="503"/>
      <c r="K173" s="1288"/>
      <c r="L173" s="148"/>
      <c r="M173" s="275"/>
      <c r="N173" s="268"/>
      <c r="O173" s="1412"/>
      <c r="P173" s="1412"/>
      <c r="AH173" s="1419">
        <v>0</v>
      </c>
    </row>
    <row r="174" spans="1:34" s="1423" customFormat="1" ht="0.75" hidden="1" customHeight="1">
      <c r="A174" s="1539"/>
      <c r="B174" s="1539"/>
      <c r="C174" s="302" t="s">
        <v>1234</v>
      </c>
      <c r="D174" s="2567"/>
      <c r="E174" s="2352"/>
      <c r="F174" s="2491"/>
      <c r="G174" s="333"/>
      <c r="H174" s="1288"/>
      <c r="I174" s="582"/>
      <c r="J174" s="503"/>
      <c r="K174" s="1288"/>
      <c r="L174" s="148"/>
      <c r="M174" s="275"/>
      <c r="N174" s="268"/>
      <c r="O174" s="1412"/>
      <c r="P174" s="1412"/>
      <c r="AH174" s="1419">
        <v>0</v>
      </c>
    </row>
    <row r="175" spans="1:34" s="1423" customFormat="1" ht="18.75" hidden="1" customHeight="1">
      <c r="A175" s="1539" t="s">
        <v>309</v>
      </c>
      <c r="B175" s="1539" t="s">
        <v>310</v>
      </c>
      <c r="C175" s="302"/>
      <c r="D175" s="2567"/>
      <c r="E175" s="2352"/>
      <c r="F175" s="2491" t="str">
        <f>INDEX(PT_DIFFERENTIATION_VTAR,MATCH(A175,PT_DIFFERENTIATION_VTAR_ID,0))</f>
        <v>Тариф на питьевую воду (питьевое водоснабжение)</v>
      </c>
      <c r="G175" s="2562" t="str">
        <f>INDEX(PT_DIFFERENTIATION_NTAR,MATCH(B175,PT_DIFFERENTIATION_NTAR_ID,0))</f>
        <v/>
      </c>
      <c r="H175" s="1618"/>
      <c r="I175" s="1498"/>
      <c r="J175" s="1532"/>
      <c r="K175" s="1537"/>
      <c r="L175" s="1618" t="s">
        <v>390</v>
      </c>
      <c r="M175" s="275"/>
      <c r="N175" s="268"/>
      <c r="O175" s="1412"/>
      <c r="P175" s="1412"/>
      <c r="AH175" s="1419">
        <v>0</v>
      </c>
    </row>
    <row r="176" spans="1:34" s="1423" customFormat="1" ht="18.75" hidden="1" customHeight="1">
      <c r="A176" s="1539"/>
      <c r="B176" s="1539"/>
      <c r="C176" s="302" t="s">
        <v>1227</v>
      </c>
      <c r="D176" s="2567"/>
      <c r="E176" s="2352"/>
      <c r="F176" s="2491"/>
      <c r="G176" s="2562"/>
      <c r="H176" s="1288"/>
      <c r="I176" s="582" t="s">
        <v>1226</v>
      </c>
      <c r="J176" s="503"/>
      <c r="K176" s="1288"/>
      <c r="L176" s="148"/>
      <c r="M176" s="275"/>
      <c r="N176" s="268"/>
      <c r="O176" s="1412"/>
      <c r="P176" s="1412"/>
      <c r="AH176" s="1419">
        <v>0</v>
      </c>
    </row>
    <row r="177" spans="1:34" s="1423" customFormat="1" ht="0.75" hidden="1" customHeight="1">
      <c r="A177" s="1539"/>
      <c r="B177" s="1539"/>
      <c r="C177" s="302" t="s">
        <v>1234</v>
      </c>
      <c r="D177" s="2567"/>
      <c r="E177" s="2352"/>
      <c r="F177" s="2491"/>
      <c r="G177" s="333"/>
      <c r="H177" s="1288"/>
      <c r="I177" s="582"/>
      <c r="J177" s="503"/>
      <c r="K177" s="1288"/>
      <c r="L177" s="148"/>
      <c r="M177" s="275"/>
      <c r="N177" s="268"/>
      <c r="O177" s="1412"/>
      <c r="P177" s="1412"/>
      <c r="AH177" s="1419">
        <v>0</v>
      </c>
    </row>
    <row r="178" spans="1:34" s="1423" customFormat="1" ht="18.75" hidden="1" customHeight="1">
      <c r="A178" s="1539" t="s">
        <v>314</v>
      </c>
      <c r="B178" s="1539" t="s">
        <v>315</v>
      </c>
      <c r="C178" s="302"/>
      <c r="D178" s="2567"/>
      <c r="E178" s="2352"/>
      <c r="F178" s="2491" t="str">
        <f>INDEX(PT_DIFFERENTIATION_VTAR,MATCH(A178,PT_DIFFERENTIATION_VTAR_ID,0))</f>
        <v>Тариф на техническую воду</v>
      </c>
      <c r="G178" s="2562" t="str">
        <f>INDEX(PT_DIFFERENTIATION_NTAR,MATCH(B178,PT_DIFFERENTIATION_NTAR_ID,0))</f>
        <v/>
      </c>
      <c r="H178" s="1618"/>
      <c r="I178" s="1498"/>
      <c r="J178" s="1532"/>
      <c r="K178" s="1537"/>
      <c r="L178" s="1618" t="s">
        <v>390</v>
      </c>
      <c r="M178" s="275"/>
      <c r="N178" s="268"/>
      <c r="O178" s="1412"/>
      <c r="P178" s="1412"/>
      <c r="AH178" s="1419">
        <v>0</v>
      </c>
    </row>
    <row r="179" spans="1:34" s="1423" customFormat="1" ht="18.75" hidden="1" customHeight="1">
      <c r="A179" s="1539"/>
      <c r="B179" s="1539"/>
      <c r="C179" s="302" t="s">
        <v>1227</v>
      </c>
      <c r="D179" s="2567"/>
      <c r="E179" s="2352"/>
      <c r="F179" s="2491"/>
      <c r="G179" s="2562"/>
      <c r="H179" s="1288"/>
      <c r="I179" s="582" t="s">
        <v>1226</v>
      </c>
      <c r="J179" s="503"/>
      <c r="K179" s="1288"/>
      <c r="L179" s="148"/>
      <c r="M179" s="275"/>
      <c r="N179" s="268"/>
      <c r="O179" s="1412"/>
      <c r="P179" s="1412"/>
      <c r="AH179" s="1419">
        <v>0</v>
      </c>
    </row>
    <row r="180" spans="1:34" s="1423" customFormat="1" ht="0.75" hidden="1" customHeight="1">
      <c r="A180" s="1539"/>
      <c r="B180" s="1539"/>
      <c r="C180" s="302" t="s">
        <v>1234</v>
      </c>
      <c r="D180" s="2567"/>
      <c r="E180" s="2352"/>
      <c r="F180" s="2491"/>
      <c r="G180" s="333"/>
      <c r="H180" s="1288"/>
      <c r="I180" s="582"/>
      <c r="J180" s="503"/>
      <c r="K180" s="1288"/>
      <c r="L180" s="148"/>
      <c r="M180" s="275"/>
      <c r="N180" s="268"/>
      <c r="O180" s="1412"/>
      <c r="P180" s="1412"/>
      <c r="AH180" s="1419">
        <v>0</v>
      </c>
    </row>
    <row r="181" spans="1:34" s="1423" customFormat="1" ht="18.75" hidden="1" customHeight="1">
      <c r="A181" s="1539" t="s">
        <v>319</v>
      </c>
      <c r="B181" s="1539" t="s">
        <v>320</v>
      </c>
      <c r="C181" s="302"/>
      <c r="D181" s="2567"/>
      <c r="E181" s="2352"/>
      <c r="F181" s="2491" t="str">
        <f>INDEX(PT_DIFFERENTIATION_VTAR,MATCH(A181,PT_DIFFERENTIATION_VTAR_ID,0))</f>
        <v>Тариф на транспортировку воды</v>
      </c>
      <c r="G181" s="2562" t="str">
        <f>INDEX(PT_DIFFERENTIATION_NTAR,MATCH(B181,PT_DIFFERENTIATION_NTAR_ID,0))</f>
        <v/>
      </c>
      <c r="H181" s="1618"/>
      <c r="I181" s="1498"/>
      <c r="J181" s="1532"/>
      <c r="K181" s="1537"/>
      <c r="L181" s="1618" t="s">
        <v>390</v>
      </c>
      <c r="M181" s="275"/>
      <c r="N181" s="268"/>
      <c r="O181" s="1412"/>
      <c r="P181" s="1412"/>
      <c r="AH181" s="1419">
        <v>0</v>
      </c>
    </row>
    <row r="182" spans="1:34" s="1423" customFormat="1" ht="18.75" hidden="1" customHeight="1">
      <c r="A182" s="1539"/>
      <c r="B182" s="1539"/>
      <c r="C182" s="302" t="s">
        <v>1227</v>
      </c>
      <c r="D182" s="2567"/>
      <c r="E182" s="2352"/>
      <c r="F182" s="2491"/>
      <c r="G182" s="2562"/>
      <c r="H182" s="1288"/>
      <c r="I182" s="582" t="s">
        <v>1226</v>
      </c>
      <c r="J182" s="503"/>
      <c r="K182" s="1288"/>
      <c r="L182" s="148"/>
      <c r="M182" s="275"/>
      <c r="N182" s="268"/>
      <c r="O182" s="1412"/>
      <c r="P182" s="1412"/>
      <c r="AH182" s="1419">
        <v>0</v>
      </c>
    </row>
    <row r="183" spans="1:34" s="1423" customFormat="1" ht="0.75" hidden="1" customHeight="1">
      <c r="A183" s="1539"/>
      <c r="B183" s="1539"/>
      <c r="C183" s="302" t="s">
        <v>1234</v>
      </c>
      <c r="D183" s="2567"/>
      <c r="E183" s="2352"/>
      <c r="F183" s="2491"/>
      <c r="G183" s="333"/>
      <c r="H183" s="1288"/>
      <c r="I183" s="582"/>
      <c r="J183" s="503"/>
      <c r="K183" s="1288"/>
      <c r="L183" s="148"/>
      <c r="M183" s="275"/>
      <c r="N183" s="268"/>
      <c r="O183" s="1412"/>
      <c r="P183" s="1412"/>
      <c r="AH183" s="1419">
        <v>0</v>
      </c>
    </row>
    <row r="184" spans="1:34" s="1423" customFormat="1" ht="18.75" hidden="1" customHeight="1">
      <c r="A184" s="1539" t="s">
        <v>324</v>
      </c>
      <c r="B184" s="1539" t="s">
        <v>325</v>
      </c>
      <c r="C184" s="302"/>
      <c r="D184" s="2567"/>
      <c r="E184" s="2352"/>
      <c r="F184" s="2491" t="str">
        <f>INDEX(PT_DIFFERENTIATION_VTAR,MATCH(A184,PT_DIFFERENTIATION_VTAR_ID,0))</f>
        <v>Тариф на подвоз воды</v>
      </c>
      <c r="G184" s="2562" t="str">
        <f>INDEX(PT_DIFFERENTIATION_NTAR,MATCH(B184,PT_DIFFERENTIATION_NTAR_ID,0))</f>
        <v/>
      </c>
      <c r="H184" s="1618"/>
      <c r="I184" s="1498"/>
      <c r="J184" s="1532"/>
      <c r="K184" s="1537"/>
      <c r="L184" s="1618" t="s">
        <v>390</v>
      </c>
      <c r="M184" s="275"/>
      <c r="N184" s="268"/>
      <c r="O184" s="1412"/>
      <c r="P184" s="1412"/>
      <c r="AH184" s="1419">
        <v>0</v>
      </c>
    </row>
    <row r="185" spans="1:34" s="1423" customFormat="1" ht="18.75" hidden="1" customHeight="1">
      <c r="A185" s="1539"/>
      <c r="B185" s="1539"/>
      <c r="C185" s="302" t="s">
        <v>1227</v>
      </c>
      <c r="D185" s="2567"/>
      <c r="E185" s="2352"/>
      <c r="F185" s="2491"/>
      <c r="G185" s="2562"/>
      <c r="H185" s="1288"/>
      <c r="I185" s="582" t="s">
        <v>1226</v>
      </c>
      <c r="J185" s="503"/>
      <c r="K185" s="1288"/>
      <c r="L185" s="148"/>
      <c r="M185" s="275"/>
      <c r="N185" s="268"/>
      <c r="O185" s="1412"/>
      <c r="P185" s="1412"/>
      <c r="AH185" s="1419">
        <v>0</v>
      </c>
    </row>
    <row r="186" spans="1:34" s="1423" customFormat="1" ht="0.75" hidden="1" customHeight="1">
      <c r="A186" s="1539"/>
      <c r="B186" s="1539"/>
      <c r="C186" s="302" t="s">
        <v>1234</v>
      </c>
      <c r="D186" s="2567"/>
      <c r="E186" s="2352"/>
      <c r="F186" s="2491"/>
      <c r="G186" s="333"/>
      <c r="H186" s="1288"/>
      <c r="I186" s="582"/>
      <c r="J186" s="503"/>
      <c r="K186" s="1288"/>
      <c r="L186" s="148"/>
      <c r="M186" s="275"/>
      <c r="N186" s="268"/>
      <c r="O186" s="1412"/>
      <c r="P186" s="1412"/>
      <c r="AH186" s="1419">
        <v>0</v>
      </c>
    </row>
    <row r="187" spans="1:34" s="1423" customFormat="1" ht="18.75" hidden="1" customHeight="1">
      <c r="A187" s="1539" t="s">
        <v>329</v>
      </c>
      <c r="B187" s="1539" t="s">
        <v>330</v>
      </c>
      <c r="C187" s="302"/>
      <c r="D187" s="2567"/>
      <c r="E187" s="2352"/>
      <c r="F187" s="249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62" t="str">
        <f>INDEX(PT_DIFFERENTIATION_NTAR,MATCH(B187,PT_DIFFERENTIATION_NTAR_ID,0))</f>
        <v/>
      </c>
      <c r="H187" s="1618"/>
      <c r="I187" s="1498"/>
      <c r="J187" s="1532"/>
      <c r="K187" s="1537"/>
      <c r="L187" s="1618" t="s">
        <v>390</v>
      </c>
      <c r="M187" s="275"/>
      <c r="N187" s="268"/>
      <c r="O187" s="1412"/>
      <c r="P187" s="1412"/>
      <c r="AH187" s="1419">
        <v>0</v>
      </c>
    </row>
    <row r="188" spans="1:34" s="1423" customFormat="1" ht="18.75" hidden="1" customHeight="1">
      <c r="A188" s="1539"/>
      <c r="B188" s="1539"/>
      <c r="C188" s="302" t="s">
        <v>1227</v>
      </c>
      <c r="D188" s="2567"/>
      <c r="E188" s="2352"/>
      <c r="F188" s="2491"/>
      <c r="G188" s="2562"/>
      <c r="H188" s="1288"/>
      <c r="I188" s="582" t="s">
        <v>1226</v>
      </c>
      <c r="J188" s="503"/>
      <c r="K188" s="1288"/>
      <c r="L188" s="148"/>
      <c r="M188" s="275"/>
      <c r="N188" s="268"/>
      <c r="O188" s="1412"/>
      <c r="P188" s="1412"/>
      <c r="AH188" s="1419">
        <v>0</v>
      </c>
    </row>
    <row r="189" spans="1:34" s="1423" customFormat="1" ht="0.75" hidden="1" customHeight="1">
      <c r="A189" s="1539"/>
      <c r="B189" s="1539"/>
      <c r="C189" s="302" t="s">
        <v>1234</v>
      </c>
      <c r="D189" s="2567"/>
      <c r="E189" s="2352"/>
      <c r="F189" s="2491"/>
      <c r="G189" s="333"/>
      <c r="H189" s="1288"/>
      <c r="I189" s="582"/>
      <c r="J189" s="503"/>
      <c r="K189" s="1288"/>
      <c r="L189" s="148"/>
      <c r="M189" s="275"/>
      <c r="N189" s="268"/>
      <c r="O189" s="1412"/>
      <c r="P189" s="1412"/>
      <c r="AH189" s="1419">
        <v>0</v>
      </c>
    </row>
    <row r="190" spans="1:34" s="1423" customFormat="1" ht="18.75" hidden="1" customHeight="1">
      <c r="A190" s="1539" t="s">
        <v>334</v>
      </c>
      <c r="B190" s="1539" t="s">
        <v>335</v>
      </c>
      <c r="C190" s="302"/>
      <c r="D190" s="2567"/>
      <c r="E190" s="2352"/>
      <c r="F190" s="2491" t="str">
        <f>INDEX(PT_DIFFERENTIATION_VTAR,MATCH(A190,PT_DIFFERENTIATION_VTAR_ID,0))</f>
        <v>Тариф на горячую воду (горячее водоснабжение)</v>
      </c>
      <c r="G190" s="2562" t="str">
        <f>INDEX(PT_DIFFERENTIATION_NTAR,MATCH(B190,PT_DIFFERENTIATION_NTAR_ID,0))</f>
        <v/>
      </c>
      <c r="H190" s="1618"/>
      <c r="I190" s="1498"/>
      <c r="J190" s="1532"/>
      <c r="K190" s="1537"/>
      <c r="L190" s="1618" t="s">
        <v>390</v>
      </c>
      <c r="M190" s="275"/>
      <c r="N190" s="268"/>
      <c r="O190" s="1412"/>
      <c r="P190" s="1412"/>
      <c r="AH190" s="1419">
        <v>0</v>
      </c>
    </row>
    <row r="191" spans="1:34" s="1423" customFormat="1" ht="18.75" hidden="1" customHeight="1">
      <c r="A191" s="1539"/>
      <c r="B191" s="1539"/>
      <c r="C191" s="302" t="s">
        <v>1227</v>
      </c>
      <c r="D191" s="2567"/>
      <c r="E191" s="2352"/>
      <c r="F191" s="2491"/>
      <c r="G191" s="2562"/>
      <c r="H191" s="1288"/>
      <c r="I191" s="582" t="s">
        <v>1226</v>
      </c>
      <c r="J191" s="503"/>
      <c r="K191" s="1288"/>
      <c r="L191" s="148"/>
      <c r="M191" s="275"/>
      <c r="N191" s="268"/>
      <c r="O191" s="1412"/>
      <c r="P191" s="1412"/>
      <c r="AH191" s="1419">
        <v>0</v>
      </c>
    </row>
    <row r="192" spans="1:34" s="1423" customFormat="1" ht="0.75" hidden="1" customHeight="1">
      <c r="A192" s="1539"/>
      <c r="B192" s="1539"/>
      <c r="C192" s="302" t="s">
        <v>1234</v>
      </c>
      <c r="D192" s="2567"/>
      <c r="E192" s="2352"/>
      <c r="F192" s="2491"/>
      <c r="G192" s="333"/>
      <c r="H192" s="1288"/>
      <c r="I192" s="582"/>
      <c r="J192" s="503"/>
      <c r="K192" s="1288"/>
      <c r="L192" s="148"/>
      <c r="M192" s="275"/>
      <c r="N192" s="268"/>
      <c r="O192" s="1412"/>
      <c r="P192" s="1412"/>
      <c r="AH192" s="1419">
        <v>0</v>
      </c>
    </row>
    <row r="193" spans="1:34" s="1423" customFormat="1" ht="18.75" hidden="1" customHeight="1">
      <c r="A193" s="1539" t="s">
        <v>339</v>
      </c>
      <c r="B193" s="1539" t="s">
        <v>340</v>
      </c>
      <c r="C193" s="302"/>
      <c r="D193" s="2567"/>
      <c r="E193" s="2352"/>
      <c r="F193" s="2491" t="str">
        <f>INDEX(PT_DIFFERENTIATION_VTAR,MATCH(A193,PT_DIFFERENTIATION_VTAR_ID,0))</f>
        <v>Тариф на транспортировку горячей воды</v>
      </c>
      <c r="G193" s="2562" t="str">
        <f>INDEX(PT_DIFFERENTIATION_NTAR,MATCH(B193,PT_DIFFERENTIATION_NTAR_ID,0))</f>
        <v/>
      </c>
      <c r="H193" s="1618"/>
      <c r="I193" s="1498"/>
      <c r="J193" s="1532"/>
      <c r="K193" s="1537"/>
      <c r="L193" s="1618" t="s">
        <v>390</v>
      </c>
      <c r="M193" s="275"/>
      <c r="N193" s="268"/>
      <c r="O193" s="1412"/>
      <c r="P193" s="1412"/>
      <c r="AH193" s="1419">
        <v>0</v>
      </c>
    </row>
    <row r="194" spans="1:34" s="1423" customFormat="1" ht="18.75" hidden="1" customHeight="1">
      <c r="A194" s="1539"/>
      <c r="B194" s="1539"/>
      <c r="C194" s="302" t="s">
        <v>1227</v>
      </c>
      <c r="D194" s="2567"/>
      <c r="E194" s="2352"/>
      <c r="F194" s="2491"/>
      <c r="G194" s="2562"/>
      <c r="H194" s="1288"/>
      <c r="I194" s="582" t="s">
        <v>1226</v>
      </c>
      <c r="J194" s="503"/>
      <c r="K194" s="1288"/>
      <c r="L194" s="148"/>
      <c r="M194" s="275"/>
      <c r="N194" s="268"/>
      <c r="O194" s="1412"/>
      <c r="P194" s="1412"/>
      <c r="AH194" s="1419">
        <v>0</v>
      </c>
    </row>
    <row r="195" spans="1:34" s="1423" customFormat="1" ht="0.75" hidden="1" customHeight="1">
      <c r="A195" s="1539"/>
      <c r="B195" s="1539"/>
      <c r="C195" s="302" t="s">
        <v>1234</v>
      </c>
      <c r="D195" s="2567"/>
      <c r="E195" s="2352"/>
      <c r="F195" s="2491"/>
      <c r="G195" s="333"/>
      <c r="H195" s="1288"/>
      <c r="I195" s="582"/>
      <c r="J195" s="503"/>
      <c r="K195" s="1288"/>
      <c r="L195" s="148"/>
      <c r="M195" s="275"/>
      <c r="N195" s="268"/>
      <c r="O195" s="1412"/>
      <c r="P195" s="1412"/>
      <c r="AH195" s="1419">
        <v>0</v>
      </c>
    </row>
    <row r="196" spans="1:34" s="1423" customFormat="1" ht="18.75" hidden="1" customHeight="1">
      <c r="A196" s="1539" t="s">
        <v>344</v>
      </c>
      <c r="B196" s="1539" t="s">
        <v>345</v>
      </c>
      <c r="C196" s="302"/>
      <c r="D196" s="2567"/>
      <c r="E196" s="2352"/>
      <c r="F196" s="249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62" t="str">
        <f>INDEX(PT_DIFFERENTIATION_NTAR,MATCH(B196,PT_DIFFERENTIATION_NTAR_ID,0))</f>
        <v/>
      </c>
      <c r="H196" s="1618"/>
      <c r="I196" s="1498"/>
      <c r="J196" s="1532"/>
      <c r="K196" s="1537"/>
      <c r="L196" s="1618" t="s">
        <v>390</v>
      </c>
      <c r="M196" s="275"/>
      <c r="N196" s="268"/>
      <c r="O196" s="1412"/>
      <c r="P196" s="1412"/>
      <c r="AH196" s="1419">
        <v>0</v>
      </c>
    </row>
    <row r="197" spans="1:34" s="1423" customFormat="1" ht="18.75" hidden="1" customHeight="1">
      <c r="A197" s="1539"/>
      <c r="B197" s="1539"/>
      <c r="C197" s="302" t="s">
        <v>1227</v>
      </c>
      <c r="D197" s="2567"/>
      <c r="E197" s="2352"/>
      <c r="F197" s="2491"/>
      <c r="G197" s="2562"/>
      <c r="H197" s="1288"/>
      <c r="I197" s="582" t="s">
        <v>1226</v>
      </c>
      <c r="J197" s="503"/>
      <c r="K197" s="1288"/>
      <c r="L197" s="148"/>
      <c r="M197" s="275"/>
      <c r="N197" s="268"/>
      <c r="O197" s="1412"/>
      <c r="P197" s="1412"/>
      <c r="AH197" s="1419">
        <v>0</v>
      </c>
    </row>
    <row r="198" spans="1:34" s="1423" customFormat="1" ht="0.75" hidden="1" customHeight="1">
      <c r="A198" s="1539"/>
      <c r="B198" s="1539"/>
      <c r="C198" s="302" t="s">
        <v>1234</v>
      </c>
      <c r="D198" s="2567"/>
      <c r="E198" s="2352"/>
      <c r="F198" s="2491"/>
      <c r="G198" s="333"/>
      <c r="H198" s="1288"/>
      <c r="I198" s="582"/>
      <c r="J198" s="503"/>
      <c r="K198" s="1288"/>
      <c r="L198" s="148"/>
      <c r="M198" s="275"/>
      <c r="N198" s="268"/>
      <c r="O198" s="1412"/>
      <c r="P198" s="1412"/>
      <c r="AH198" s="1419">
        <v>0</v>
      </c>
    </row>
    <row r="199" spans="1:34" s="1423" customFormat="1" ht="18.75" hidden="1" customHeight="1">
      <c r="A199" s="1539" t="s">
        <v>349</v>
      </c>
      <c r="B199" s="1539" t="s">
        <v>350</v>
      </c>
      <c r="C199" s="302"/>
      <c r="D199" s="2567"/>
      <c r="E199" s="2352"/>
      <c r="F199" s="2491" t="str">
        <f>INDEX(PT_DIFFERENTIATION_VTAR,MATCH(A199,PT_DIFFERENTIATION_VTAR_ID,0))</f>
        <v>Тариф на водоотведение</v>
      </c>
      <c r="G199" s="2562" t="str">
        <f>INDEX(PT_DIFFERENTIATION_NTAR,MATCH(B199,PT_DIFFERENTIATION_NTAR_ID,0))</f>
        <v/>
      </c>
      <c r="H199" s="1618"/>
      <c r="I199" s="1498"/>
      <c r="J199" s="1532"/>
      <c r="K199" s="1537"/>
      <c r="L199" s="1618" t="s">
        <v>390</v>
      </c>
      <c r="M199" s="275"/>
      <c r="N199" s="268"/>
      <c r="O199" s="1412"/>
      <c r="P199" s="1412"/>
      <c r="AH199" s="1419">
        <v>0</v>
      </c>
    </row>
    <row r="200" spans="1:34" s="1423" customFormat="1" ht="18.75" hidden="1" customHeight="1">
      <c r="A200" s="1539"/>
      <c r="B200" s="1539"/>
      <c r="C200" s="302" t="s">
        <v>1227</v>
      </c>
      <c r="D200" s="2567"/>
      <c r="E200" s="2352"/>
      <c r="F200" s="2491"/>
      <c r="G200" s="2562"/>
      <c r="H200" s="1288"/>
      <c r="I200" s="582" t="s">
        <v>1226</v>
      </c>
      <c r="J200" s="503"/>
      <c r="K200" s="1288"/>
      <c r="L200" s="148"/>
      <c r="M200" s="275"/>
      <c r="N200" s="268"/>
      <c r="O200" s="1412"/>
      <c r="P200" s="1412"/>
      <c r="AH200" s="1419">
        <v>0</v>
      </c>
    </row>
    <row r="201" spans="1:34" s="1423" customFormat="1" ht="0.75" hidden="1" customHeight="1">
      <c r="A201" s="1539"/>
      <c r="B201" s="1539"/>
      <c r="C201" s="302" t="s">
        <v>1234</v>
      </c>
      <c r="D201" s="2567"/>
      <c r="E201" s="2352"/>
      <c r="F201" s="2491"/>
      <c r="G201" s="333"/>
      <c r="H201" s="1288"/>
      <c r="I201" s="582"/>
      <c r="J201" s="503"/>
      <c r="K201" s="1288"/>
      <c r="L201" s="148"/>
      <c r="M201" s="275"/>
      <c r="N201" s="268"/>
      <c r="O201" s="1412"/>
      <c r="P201" s="1412"/>
      <c r="AH201" s="1419">
        <v>0</v>
      </c>
    </row>
    <row r="202" spans="1:34" s="1423" customFormat="1" ht="18.75" hidden="1" customHeight="1">
      <c r="A202" s="1539" t="s">
        <v>354</v>
      </c>
      <c r="B202" s="1539" t="s">
        <v>355</v>
      </c>
      <c r="C202" s="302"/>
      <c r="D202" s="2567"/>
      <c r="E202" s="2352"/>
      <c r="F202" s="2491" t="str">
        <f>INDEX(PT_DIFFERENTIATION_VTAR,MATCH(A202,PT_DIFFERENTIATION_VTAR_ID,0))</f>
        <v>Тариф на транспортировку сточных вод</v>
      </c>
      <c r="G202" s="2562" t="str">
        <f>INDEX(PT_DIFFERENTIATION_NTAR,MATCH(B202,PT_DIFFERENTIATION_NTAR_ID,0))</f>
        <v/>
      </c>
      <c r="H202" s="1618"/>
      <c r="I202" s="1498"/>
      <c r="J202" s="1532"/>
      <c r="K202" s="1537"/>
      <c r="L202" s="1618" t="s">
        <v>390</v>
      </c>
      <c r="M202" s="275"/>
      <c r="N202" s="268"/>
      <c r="O202" s="1412"/>
      <c r="P202" s="1412"/>
      <c r="AH202" s="1419">
        <v>0</v>
      </c>
    </row>
    <row r="203" spans="1:34" s="1423" customFormat="1" ht="18.75" hidden="1" customHeight="1">
      <c r="A203" s="1539"/>
      <c r="B203" s="1539"/>
      <c r="C203" s="302" t="s">
        <v>1227</v>
      </c>
      <c r="D203" s="2567"/>
      <c r="E203" s="2352"/>
      <c r="F203" s="2491"/>
      <c r="G203" s="2562"/>
      <c r="H203" s="1288"/>
      <c r="I203" s="582" t="s">
        <v>1226</v>
      </c>
      <c r="J203" s="503"/>
      <c r="K203" s="1288"/>
      <c r="L203" s="148"/>
      <c r="M203" s="275"/>
      <c r="N203" s="268"/>
      <c r="O203" s="1412"/>
      <c r="P203" s="1412"/>
      <c r="AH203" s="1419">
        <v>0</v>
      </c>
    </row>
    <row r="204" spans="1:34" s="1423" customFormat="1" ht="0.75" hidden="1" customHeight="1">
      <c r="A204" s="1539"/>
      <c r="B204" s="1539"/>
      <c r="C204" s="302" t="s">
        <v>1234</v>
      </c>
      <c r="D204" s="2567"/>
      <c r="E204" s="2352"/>
      <c r="F204" s="2491"/>
      <c r="G204" s="333"/>
      <c r="H204" s="1288"/>
      <c r="I204" s="582"/>
      <c r="J204" s="503"/>
      <c r="K204" s="1288"/>
      <c r="L204" s="148"/>
      <c r="M204" s="275"/>
      <c r="N204" s="268"/>
      <c r="O204" s="1412"/>
      <c r="P204" s="1412"/>
      <c r="AH204" s="1419">
        <v>0</v>
      </c>
    </row>
    <row r="205" spans="1:34" s="1423" customFormat="1" ht="18.75" hidden="1" customHeight="1">
      <c r="A205" s="1539" t="s">
        <v>359</v>
      </c>
      <c r="B205" s="1539" t="s">
        <v>360</v>
      </c>
      <c r="C205" s="302"/>
      <c r="D205" s="2567"/>
      <c r="E205" s="2352"/>
      <c r="F205" s="2491" t="str">
        <f>INDEX(PT_DIFFERENTIATION_VTAR,MATCH(A205,PT_DIFFERENTIATION_VTAR_ID,0))</f>
        <v>Тариф на подключение (технологическое присоединение) к централизованной системе водоотведения</v>
      </c>
      <c r="G205" s="2562" t="str">
        <f>INDEX(PT_DIFFERENTIATION_NTAR,MATCH(B205,PT_DIFFERENTIATION_NTAR_ID,0))</f>
        <v/>
      </c>
      <c r="H205" s="1618"/>
      <c r="I205" s="1498"/>
      <c r="J205" s="1532"/>
      <c r="K205" s="1537"/>
      <c r="L205" s="1618" t="s">
        <v>390</v>
      </c>
      <c r="M205" s="275"/>
      <c r="N205" s="268"/>
      <c r="O205" s="1412"/>
      <c r="P205" s="1412"/>
      <c r="AH205" s="1419">
        <v>0</v>
      </c>
    </row>
    <row r="206" spans="1:34" s="1423" customFormat="1" ht="18.75" hidden="1" customHeight="1">
      <c r="A206" s="1539"/>
      <c r="B206" s="1539"/>
      <c r="C206" s="302" t="s">
        <v>1227</v>
      </c>
      <c r="D206" s="2567"/>
      <c r="E206" s="2352"/>
      <c r="F206" s="2491"/>
      <c r="G206" s="2562"/>
      <c r="H206" s="1288"/>
      <c r="I206" s="582" t="s">
        <v>1226</v>
      </c>
      <c r="J206" s="503"/>
      <c r="K206" s="1288"/>
      <c r="L206" s="148"/>
      <c r="M206" s="275"/>
      <c r="N206" s="268"/>
      <c r="O206" s="1412"/>
      <c r="P206" s="1412"/>
      <c r="AH206" s="1419">
        <v>0</v>
      </c>
    </row>
    <row r="207" spans="1:34" s="1423" customFormat="1" ht="1.1499999999999999" customHeight="1">
      <c r="A207" s="1539"/>
      <c r="B207" s="1539"/>
      <c r="C207" s="302" t="s">
        <v>1234</v>
      </c>
      <c r="D207" s="2567"/>
      <c r="E207" s="2352"/>
      <c r="F207" s="2491"/>
      <c r="G207" s="333"/>
      <c r="H207" s="1288"/>
      <c r="I207" s="582"/>
      <c r="J207" s="503"/>
      <c r="K207" s="1288"/>
      <c r="L207" s="148"/>
      <c r="M207" s="275"/>
      <c r="N207" s="268"/>
      <c r="O207" s="1412"/>
      <c r="P207" s="1412"/>
      <c r="AH207" s="1419">
        <v>1</v>
      </c>
    </row>
    <row r="208" spans="1:34" ht="27.4" customHeight="1">
      <c r="A208" s="1539"/>
      <c r="B208" s="1539"/>
      <c r="D208" s="309"/>
      <c r="E208" s="82" t="s">
        <v>115</v>
      </c>
      <c r="F208" s="256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66"/>
      <c r="H208" s="2566"/>
      <c r="I208" s="2566"/>
      <c r="J208" s="2566"/>
      <c r="K208" s="2566"/>
      <c r="L208" s="2566"/>
      <c r="M208" s="231"/>
      <c r="N208" s="268"/>
      <c r="AH208" s="307">
        <v>26</v>
      </c>
    </row>
    <row r="209" spans="1:34" s="1423" customFormat="1" ht="60.75" hidden="1" customHeight="1">
      <c r="A209" s="1539" t="s">
        <v>241</v>
      </c>
      <c r="B209" s="1539" t="s">
        <v>242</v>
      </c>
      <c r="C209" s="302"/>
      <c r="D209" s="2567"/>
      <c r="E209" s="2352"/>
      <c r="F209" s="249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62" t="str">
        <f>INDEX(PT_DIFFERENTIATION_NTAR,MATCH(B209,PT_DIFFERENTIATION_NTAR_ID,0))</f>
        <v/>
      </c>
      <c r="H209" s="1618"/>
      <c r="I209" s="1498"/>
      <c r="J209" s="1532"/>
      <c r="K209" s="1537"/>
      <c r="L209" s="1618" t="s">
        <v>390</v>
      </c>
      <c r="M209" s="231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68"/>
      <c r="O209" s="1412"/>
      <c r="P209" s="1412"/>
      <c r="AH209" s="1419">
        <v>0</v>
      </c>
    </row>
    <row r="210" spans="1:34" s="1423" customFormat="1" ht="18.75" hidden="1" customHeight="1">
      <c r="A210" s="1539"/>
      <c r="B210" s="1539"/>
      <c r="C210" s="302" t="s">
        <v>1227</v>
      </c>
      <c r="D210" s="2567"/>
      <c r="E210" s="2352"/>
      <c r="F210" s="2491"/>
      <c r="G210" s="2562"/>
      <c r="H210" s="1288"/>
      <c r="I210" s="582" t="s">
        <v>1226</v>
      </c>
      <c r="J210" s="503"/>
      <c r="K210" s="1288"/>
      <c r="L210" s="148"/>
      <c r="M210" s="2313"/>
      <c r="N210" s="268"/>
      <c r="O210" s="1412"/>
      <c r="P210" s="1412"/>
      <c r="AH210" s="1419">
        <v>0</v>
      </c>
    </row>
    <row r="211" spans="1:34" s="1423" customFormat="1" ht="0.75" hidden="1" customHeight="1">
      <c r="A211" s="1539"/>
      <c r="B211" s="1539"/>
      <c r="C211" s="302" t="s">
        <v>1234</v>
      </c>
      <c r="D211" s="2567"/>
      <c r="E211" s="2352"/>
      <c r="F211" s="2491"/>
      <c r="G211" s="333"/>
      <c r="H211" s="1288"/>
      <c r="I211" s="582"/>
      <c r="J211" s="503"/>
      <c r="K211" s="1288"/>
      <c r="L211" s="148"/>
      <c r="M211" s="2313"/>
      <c r="N211" s="268"/>
      <c r="O211" s="1412"/>
      <c r="P211" s="1412"/>
      <c r="AH211" s="1419">
        <v>0</v>
      </c>
    </row>
    <row r="212" spans="1:34" s="1423" customFormat="1" ht="45" hidden="1" customHeight="1">
      <c r="A212" s="1539" t="s">
        <v>246</v>
      </c>
      <c r="B212" s="1539" t="s">
        <v>247</v>
      </c>
      <c r="C212" s="302"/>
      <c r="D212" s="2567"/>
      <c r="E212" s="2352"/>
      <c r="F212" s="2491" t="str">
        <f>INDEX(PT_DIFFERENTIATION_VTAR,MATCH(A212,PT_DIFFERENTIATION_VTAR_ID,0))</f>
        <v/>
      </c>
      <c r="G212" s="2562" t="str">
        <f>INDEX(PT_DIFFERENTIATION_NTAR,MATCH(B212,PT_DIFFERENTIATION_NTAR_ID,0))</f>
        <v/>
      </c>
      <c r="H212" s="1618"/>
      <c r="I212" s="1498"/>
      <c r="J212" s="1532"/>
      <c r="K212" s="1537"/>
      <c r="L212" s="1618" t="s">
        <v>390</v>
      </c>
      <c r="M212" s="2314"/>
      <c r="N212" s="268"/>
      <c r="O212" s="1412"/>
      <c r="P212" s="1412"/>
      <c r="AH212" s="1419">
        <v>0</v>
      </c>
    </row>
    <row r="213" spans="1:34" s="1423" customFormat="1" ht="18.75" hidden="1" customHeight="1">
      <c r="A213" s="1539"/>
      <c r="B213" s="1539"/>
      <c r="C213" s="302" t="s">
        <v>1227</v>
      </c>
      <c r="D213" s="2567"/>
      <c r="E213" s="2352"/>
      <c r="F213" s="2491"/>
      <c r="G213" s="2562"/>
      <c r="H213" s="1288"/>
      <c r="I213" s="582" t="s">
        <v>1226</v>
      </c>
      <c r="J213" s="503"/>
      <c r="K213" s="1288"/>
      <c r="L213" s="148"/>
      <c r="M213" s="1617"/>
      <c r="N213" s="268"/>
      <c r="O213" s="1412"/>
      <c r="P213" s="1412"/>
      <c r="AH213" s="1419">
        <v>0</v>
      </c>
    </row>
    <row r="214" spans="1:34" s="1423" customFormat="1" ht="0.75" hidden="1" customHeight="1">
      <c r="A214" s="1539"/>
      <c r="B214" s="1539"/>
      <c r="C214" s="302" t="s">
        <v>1234</v>
      </c>
      <c r="D214" s="2567"/>
      <c r="E214" s="2352"/>
      <c r="F214" s="2491"/>
      <c r="G214" s="333"/>
      <c r="H214" s="1288"/>
      <c r="I214" s="582"/>
      <c r="J214" s="503"/>
      <c r="K214" s="1288"/>
      <c r="L214" s="148"/>
      <c r="M214" s="275"/>
      <c r="N214" s="268"/>
      <c r="O214" s="1412"/>
      <c r="P214" s="1412"/>
      <c r="AH214" s="1419">
        <v>0</v>
      </c>
    </row>
    <row r="215" spans="1:34" s="1423" customFormat="1" ht="45" hidden="1" customHeight="1">
      <c r="A215" s="1539" t="s">
        <v>253</v>
      </c>
      <c r="B215" s="1539" t="s">
        <v>254</v>
      </c>
      <c r="C215" s="302"/>
      <c r="D215" s="2567"/>
      <c r="E215" s="2352"/>
      <c r="F215" s="249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62" t="str">
        <f>INDEX(PT_DIFFERENTIATION_NTAR,MATCH(B215,PT_DIFFERENTIATION_NTAR_ID,0))</f>
        <v/>
      </c>
      <c r="H215" s="1618"/>
      <c r="I215" s="1498"/>
      <c r="J215" s="1532"/>
      <c r="K215" s="1537"/>
      <c r="L215" s="1618" t="s">
        <v>390</v>
      </c>
      <c r="M215" s="275"/>
      <c r="N215" s="268"/>
      <c r="O215" s="1412"/>
      <c r="P215" s="1412"/>
      <c r="AH215" s="1419">
        <v>0</v>
      </c>
    </row>
    <row r="216" spans="1:34" s="1423" customFormat="1" ht="18.75" hidden="1" customHeight="1">
      <c r="A216" s="1539"/>
      <c r="B216" s="1539"/>
      <c r="C216" s="302" t="s">
        <v>1227</v>
      </c>
      <c r="D216" s="2567"/>
      <c r="E216" s="2352"/>
      <c r="F216" s="2491"/>
      <c r="G216" s="2562"/>
      <c r="H216" s="1288"/>
      <c r="I216" s="582" t="s">
        <v>1226</v>
      </c>
      <c r="J216" s="503"/>
      <c r="K216" s="1288"/>
      <c r="L216" s="148"/>
      <c r="M216" s="275"/>
      <c r="N216" s="268"/>
      <c r="O216" s="1412"/>
      <c r="P216" s="1412"/>
      <c r="AH216" s="1419">
        <v>0</v>
      </c>
    </row>
    <row r="217" spans="1:34" s="1423" customFormat="1" ht="0.75" hidden="1" customHeight="1">
      <c r="A217" s="1539"/>
      <c r="B217" s="1539"/>
      <c r="C217" s="302" t="s">
        <v>1234</v>
      </c>
      <c r="D217" s="2567"/>
      <c r="E217" s="2352"/>
      <c r="F217" s="2491"/>
      <c r="G217" s="333"/>
      <c r="H217" s="1288"/>
      <c r="I217" s="582"/>
      <c r="J217" s="503"/>
      <c r="K217" s="1288"/>
      <c r="L217" s="148"/>
      <c r="M217" s="275"/>
      <c r="N217" s="268"/>
      <c r="O217" s="1412"/>
      <c r="P217" s="1412"/>
      <c r="AH217" s="1419">
        <v>0</v>
      </c>
    </row>
    <row r="218" spans="1:34" s="1423" customFormat="1" ht="45" hidden="1" customHeight="1">
      <c r="A218" s="1539" t="s">
        <v>259</v>
      </c>
      <c r="B218" s="1539" t="s">
        <v>260</v>
      </c>
      <c r="C218" s="302"/>
      <c r="D218" s="2567"/>
      <c r="E218" s="2352"/>
      <c r="F218" s="249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62" t="str">
        <f>INDEX(PT_DIFFERENTIATION_NTAR,MATCH(B218,PT_DIFFERENTIATION_NTAR_ID,0))</f>
        <v/>
      </c>
      <c r="H218" s="1618"/>
      <c r="I218" s="1498"/>
      <c r="J218" s="1532"/>
      <c r="K218" s="1537"/>
      <c r="L218" s="1618" t="s">
        <v>390</v>
      </c>
      <c r="M218" s="275"/>
      <c r="N218" s="268"/>
      <c r="O218" s="1412"/>
      <c r="P218" s="1412"/>
      <c r="AH218" s="1419">
        <v>0</v>
      </c>
    </row>
    <row r="219" spans="1:34" s="1423" customFormat="1" ht="18.75" hidden="1" customHeight="1">
      <c r="A219" s="1539"/>
      <c r="B219" s="1539"/>
      <c r="C219" s="302" t="s">
        <v>1227</v>
      </c>
      <c r="D219" s="2567"/>
      <c r="E219" s="2352"/>
      <c r="F219" s="2491"/>
      <c r="G219" s="2562"/>
      <c r="H219" s="1288"/>
      <c r="I219" s="582" t="s">
        <v>1226</v>
      </c>
      <c r="J219" s="503"/>
      <c r="K219" s="1288"/>
      <c r="L219" s="148"/>
      <c r="M219" s="275"/>
      <c r="N219" s="268"/>
      <c r="O219" s="1412"/>
      <c r="P219" s="1412"/>
      <c r="AH219" s="1419">
        <v>0</v>
      </c>
    </row>
    <row r="220" spans="1:34" s="1423" customFormat="1" ht="0.75" hidden="1" customHeight="1">
      <c r="A220" s="1539"/>
      <c r="B220" s="1539"/>
      <c r="C220" s="302" t="s">
        <v>1234</v>
      </c>
      <c r="D220" s="2567"/>
      <c r="E220" s="2352"/>
      <c r="F220" s="2491"/>
      <c r="G220" s="333"/>
      <c r="H220" s="1288"/>
      <c r="I220" s="582"/>
      <c r="J220" s="503"/>
      <c r="K220" s="1288"/>
      <c r="L220" s="148"/>
      <c r="M220" s="275"/>
      <c r="N220" s="268"/>
      <c r="O220" s="1412"/>
      <c r="P220" s="1412"/>
      <c r="AH220" s="1419">
        <v>0</v>
      </c>
    </row>
    <row r="221" spans="1:34" s="1423" customFormat="1" ht="18.75" hidden="1" customHeight="1">
      <c r="A221" s="1539" t="s">
        <v>265</v>
      </c>
      <c r="B221" s="1539" t="s">
        <v>266</v>
      </c>
      <c r="C221" s="302"/>
      <c r="D221" s="2567"/>
      <c r="E221" s="2352"/>
      <c r="F221" s="2491" t="str">
        <f>INDEX(PT_DIFFERENTIATION_VTAR,MATCH(A221,PT_DIFFERENTIATION_VTAR_ID,0))</f>
        <v>Тарифы на услуги по передаче тепловой энергии</v>
      </c>
      <c r="G221" s="2562" t="str">
        <f>INDEX(PT_DIFFERENTIATION_NTAR,MATCH(B221,PT_DIFFERENTIATION_NTAR_ID,0))</f>
        <v/>
      </c>
      <c r="H221" s="1618"/>
      <c r="I221" s="1498"/>
      <c r="J221" s="1532"/>
      <c r="K221" s="1537"/>
      <c r="L221" s="1618" t="s">
        <v>390</v>
      </c>
      <c r="M221" s="275"/>
      <c r="N221" s="268"/>
      <c r="O221" s="1412"/>
      <c r="P221" s="1412"/>
      <c r="AH221" s="1419">
        <v>0</v>
      </c>
    </row>
    <row r="222" spans="1:34" s="1423" customFormat="1" ht="18.75" hidden="1" customHeight="1">
      <c r="A222" s="1539"/>
      <c r="B222" s="1539"/>
      <c r="C222" s="302" t="s">
        <v>1227</v>
      </c>
      <c r="D222" s="2567"/>
      <c r="E222" s="2352"/>
      <c r="F222" s="2491"/>
      <c r="G222" s="2562"/>
      <c r="H222" s="1288"/>
      <c r="I222" s="582" t="s">
        <v>1226</v>
      </c>
      <c r="J222" s="503"/>
      <c r="K222" s="1288"/>
      <c r="L222" s="148"/>
      <c r="M222" s="275"/>
      <c r="N222" s="268"/>
      <c r="O222" s="1412"/>
      <c r="P222" s="1412"/>
      <c r="AH222" s="1419">
        <v>0</v>
      </c>
    </row>
    <row r="223" spans="1:34" s="1423" customFormat="1" ht="0.75" hidden="1" customHeight="1">
      <c r="A223" s="1539"/>
      <c r="B223" s="1539"/>
      <c r="C223" s="302" t="s">
        <v>1234</v>
      </c>
      <c r="D223" s="2567"/>
      <c r="E223" s="2352"/>
      <c r="F223" s="2491"/>
      <c r="G223" s="333"/>
      <c r="H223" s="1288"/>
      <c r="I223" s="582"/>
      <c r="J223" s="503"/>
      <c r="K223" s="1288"/>
      <c r="L223" s="148"/>
      <c r="M223" s="275"/>
      <c r="N223" s="268"/>
      <c r="O223" s="1412"/>
      <c r="P223" s="1412"/>
      <c r="AH223" s="1419">
        <v>0</v>
      </c>
    </row>
    <row r="224" spans="1:34" s="1423" customFormat="1" ht="18.75" hidden="1" customHeight="1">
      <c r="A224" s="1539" t="s">
        <v>271</v>
      </c>
      <c r="B224" s="1539" t="s">
        <v>272</v>
      </c>
      <c r="C224" s="302"/>
      <c r="D224" s="2567"/>
      <c r="E224" s="2352"/>
      <c r="F224" s="2491" t="str">
        <f>INDEX(PT_DIFFERENTIATION_VTAR,MATCH(A224,PT_DIFFERENTIATION_VTAR_ID,0))</f>
        <v>Тарифы на услуги по передаче теплоносителя</v>
      </c>
      <c r="G224" s="2562" t="str">
        <f>INDEX(PT_DIFFERENTIATION_NTAR,MATCH(B224,PT_DIFFERENTIATION_NTAR_ID,0))</f>
        <v/>
      </c>
      <c r="H224" s="1618"/>
      <c r="I224" s="1498"/>
      <c r="J224" s="1532"/>
      <c r="K224" s="1537"/>
      <c r="L224" s="1618" t="s">
        <v>390</v>
      </c>
      <c r="M224" s="275"/>
      <c r="N224" s="268"/>
      <c r="O224" s="1412"/>
      <c r="P224" s="1412"/>
      <c r="AH224" s="1419">
        <v>0</v>
      </c>
    </row>
    <row r="225" spans="1:34" s="1423" customFormat="1" ht="18.75" hidden="1" customHeight="1">
      <c r="A225" s="1539"/>
      <c r="B225" s="1539"/>
      <c r="C225" s="302" t="s">
        <v>1227</v>
      </c>
      <c r="D225" s="2567"/>
      <c r="E225" s="2352"/>
      <c r="F225" s="2491"/>
      <c r="G225" s="2562"/>
      <c r="H225" s="1288"/>
      <c r="I225" s="582" t="s">
        <v>1226</v>
      </c>
      <c r="J225" s="503"/>
      <c r="K225" s="1288"/>
      <c r="L225" s="148"/>
      <c r="M225" s="275"/>
      <c r="N225" s="268"/>
      <c r="O225" s="1412"/>
      <c r="P225" s="1412"/>
      <c r="AH225" s="1419">
        <v>0</v>
      </c>
    </row>
    <row r="226" spans="1:34" s="1423" customFormat="1" ht="0.75" hidden="1" customHeight="1">
      <c r="A226" s="1539"/>
      <c r="B226" s="1539"/>
      <c r="C226" s="302" t="s">
        <v>1234</v>
      </c>
      <c r="D226" s="2567"/>
      <c r="E226" s="2352"/>
      <c r="F226" s="2491"/>
      <c r="G226" s="333"/>
      <c r="H226" s="1288"/>
      <c r="I226" s="582"/>
      <c r="J226" s="503"/>
      <c r="K226" s="1288"/>
      <c r="L226" s="148"/>
      <c r="M226" s="275"/>
      <c r="N226" s="268"/>
      <c r="O226" s="1412"/>
      <c r="P226" s="1412"/>
      <c r="AH226" s="1419">
        <v>0</v>
      </c>
    </row>
    <row r="227" spans="1:34" s="1423" customFormat="1" ht="18.75" hidden="1" customHeight="1">
      <c r="A227" s="1539" t="s">
        <v>277</v>
      </c>
      <c r="B227" s="1539" t="s">
        <v>278</v>
      </c>
      <c r="C227" s="302"/>
      <c r="D227" s="2567"/>
      <c r="E227" s="2352"/>
      <c r="F227" s="249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62" t="str">
        <f>INDEX(PT_DIFFERENTIATION_NTAR,MATCH(B227,PT_DIFFERENTIATION_NTAR_ID,0))</f>
        <v/>
      </c>
      <c r="H227" s="1618"/>
      <c r="I227" s="1498"/>
      <c r="J227" s="1532"/>
      <c r="K227" s="1537"/>
      <c r="L227" s="1618" t="s">
        <v>390</v>
      </c>
      <c r="M227" s="275"/>
      <c r="N227" s="268"/>
      <c r="O227" s="1412"/>
      <c r="P227" s="1412"/>
      <c r="AH227" s="1419">
        <v>0</v>
      </c>
    </row>
    <row r="228" spans="1:34" s="1423" customFormat="1" ht="18.75" hidden="1" customHeight="1">
      <c r="A228" s="1539"/>
      <c r="B228" s="1539"/>
      <c r="C228" s="302" t="s">
        <v>1227</v>
      </c>
      <c r="D228" s="2567"/>
      <c r="E228" s="2352"/>
      <c r="F228" s="2491"/>
      <c r="G228" s="2562"/>
      <c r="H228" s="1288"/>
      <c r="I228" s="582" t="s">
        <v>1226</v>
      </c>
      <c r="J228" s="503"/>
      <c r="K228" s="1288"/>
      <c r="L228" s="148"/>
      <c r="M228" s="275"/>
      <c r="N228" s="268"/>
      <c r="O228" s="1412"/>
      <c r="P228" s="1412"/>
      <c r="AH228" s="1419">
        <v>0</v>
      </c>
    </row>
    <row r="229" spans="1:34" s="1423" customFormat="1" ht="0.75" hidden="1" customHeight="1">
      <c r="A229" s="1539"/>
      <c r="B229" s="1539"/>
      <c r="C229" s="302" t="s">
        <v>1234</v>
      </c>
      <c r="D229" s="2567"/>
      <c r="E229" s="2352"/>
      <c r="F229" s="2491"/>
      <c r="G229" s="333"/>
      <c r="H229" s="1288"/>
      <c r="I229" s="582"/>
      <c r="J229" s="503"/>
      <c r="K229" s="1288"/>
      <c r="L229" s="148"/>
      <c r="M229" s="275"/>
      <c r="N229" s="268"/>
      <c r="O229" s="1412"/>
      <c r="P229" s="1412"/>
      <c r="AH229" s="1419">
        <v>0</v>
      </c>
    </row>
    <row r="230" spans="1:34" s="1423" customFormat="1" ht="18.75" hidden="1" customHeight="1">
      <c r="A230" s="1539" t="s">
        <v>283</v>
      </c>
      <c r="B230" s="1539" t="s">
        <v>284</v>
      </c>
      <c r="C230" s="302"/>
      <c r="D230" s="2567"/>
      <c r="E230" s="2352"/>
      <c r="F230" s="2491" t="str">
        <f>INDEX(PT_DIFFERENTIATION_VTAR,MATCH(A230,PT_DIFFERENTIATION_VTAR_ID,0))</f>
        <v>Плата за подключение (технологическое присоединение) к системе теплоснабжения</v>
      </c>
      <c r="G230" s="2562" t="str">
        <f>INDEX(PT_DIFFERENTIATION_NTAR,MATCH(B230,PT_DIFFERENTIATION_NTAR_ID,0))</f>
        <v/>
      </c>
      <c r="H230" s="1618"/>
      <c r="I230" s="1498"/>
      <c r="J230" s="1532"/>
      <c r="K230" s="1537"/>
      <c r="L230" s="1618" t="s">
        <v>390</v>
      </c>
      <c r="M230" s="275"/>
      <c r="N230" s="268"/>
      <c r="O230" s="1412"/>
      <c r="P230" s="1412"/>
      <c r="AH230" s="1419">
        <v>0</v>
      </c>
    </row>
    <row r="231" spans="1:34" s="1423" customFormat="1" ht="18.75" hidden="1" customHeight="1">
      <c r="A231" s="1539"/>
      <c r="B231" s="1539"/>
      <c r="C231" s="302" t="s">
        <v>1227</v>
      </c>
      <c r="D231" s="2567"/>
      <c r="E231" s="2352"/>
      <c r="F231" s="2491"/>
      <c r="G231" s="2562"/>
      <c r="H231" s="1288"/>
      <c r="I231" s="582" t="s">
        <v>1226</v>
      </c>
      <c r="J231" s="503"/>
      <c r="K231" s="1288"/>
      <c r="L231" s="148"/>
      <c r="M231" s="275"/>
      <c r="N231" s="268"/>
      <c r="O231" s="1412"/>
      <c r="P231" s="1412"/>
      <c r="AH231" s="1419">
        <v>0</v>
      </c>
    </row>
    <row r="232" spans="1:34" s="1423" customFormat="1" ht="0.75" hidden="1" customHeight="1">
      <c r="A232" s="1539"/>
      <c r="B232" s="1539"/>
      <c r="C232" s="302" t="s">
        <v>1234</v>
      </c>
      <c r="D232" s="2567"/>
      <c r="E232" s="2352"/>
      <c r="F232" s="2491"/>
      <c r="G232" s="333"/>
      <c r="H232" s="1288"/>
      <c r="I232" s="582"/>
      <c r="J232" s="503"/>
      <c r="K232" s="1288"/>
      <c r="L232" s="148"/>
      <c r="M232" s="275"/>
      <c r="N232" s="268"/>
      <c r="O232" s="1412"/>
      <c r="P232" s="1412"/>
      <c r="AH232" s="1419">
        <v>0</v>
      </c>
    </row>
    <row r="233" spans="1:34" s="1423" customFormat="1" ht="18.75" hidden="1" customHeight="1">
      <c r="A233" s="1539" t="s">
        <v>289</v>
      </c>
      <c r="B233" s="1539" t="s">
        <v>290</v>
      </c>
      <c r="C233" s="302"/>
      <c r="D233" s="2567"/>
      <c r="E233" s="2352"/>
      <c r="F233" s="2491" t="str">
        <f>INDEX(PT_DIFFERENTIATION_VTAR,MATCH(A233,PT_DIFFERENTIATION_VTAR_ID,0))</f>
        <v>Плата за подключение (технологическое присоединение) к системе теплоснабжения (индивидуальная)</v>
      </c>
      <c r="G233" s="2562" t="str">
        <f>INDEX(PT_DIFFERENTIATION_NTAR,MATCH(B233,PT_DIFFERENTIATION_NTAR_ID,0))</f>
        <v/>
      </c>
      <c r="H233" s="1739"/>
      <c r="I233" s="1498"/>
      <c r="J233" s="1532"/>
      <c r="K233" s="1537"/>
      <c r="L233" s="1739" t="s">
        <v>390</v>
      </c>
      <c r="M233" s="275"/>
      <c r="N233" s="268"/>
      <c r="O233" s="1412"/>
      <c r="P233" s="1412"/>
      <c r="AH233" s="1419">
        <v>0</v>
      </c>
    </row>
    <row r="234" spans="1:34" s="1423" customFormat="1" ht="18.75" hidden="1" customHeight="1">
      <c r="A234" s="1539"/>
      <c r="B234" s="1539"/>
      <c r="C234" s="302" t="s">
        <v>1227</v>
      </c>
      <c r="D234" s="2567"/>
      <c r="E234" s="2352"/>
      <c r="F234" s="2491"/>
      <c r="G234" s="2562"/>
      <c r="H234" s="1288"/>
      <c r="I234" s="582" t="s">
        <v>1226</v>
      </c>
      <c r="J234" s="503"/>
      <c r="K234" s="1288"/>
      <c r="L234" s="148"/>
      <c r="M234" s="275"/>
      <c r="N234" s="268"/>
      <c r="O234" s="1412"/>
      <c r="P234" s="1412"/>
      <c r="AH234" s="1419">
        <v>0</v>
      </c>
    </row>
    <row r="235" spans="1:34" s="1423" customFormat="1" ht="0.75" hidden="1" customHeight="1">
      <c r="A235" s="1539"/>
      <c r="B235" s="1539"/>
      <c r="C235" s="302" t="s">
        <v>1234</v>
      </c>
      <c r="D235" s="2567"/>
      <c r="E235" s="2352"/>
      <c r="F235" s="2491"/>
      <c r="G235" s="333"/>
      <c r="H235" s="1288"/>
      <c r="I235" s="582"/>
      <c r="J235" s="503"/>
      <c r="K235" s="1288"/>
      <c r="L235" s="148"/>
      <c r="M235" s="275"/>
      <c r="N235" s="268"/>
      <c r="O235" s="1412"/>
      <c r="P235" s="1412"/>
      <c r="AH235" s="1419">
        <v>0</v>
      </c>
    </row>
    <row r="236" spans="1:34" s="1423" customFormat="1" ht="18.75" hidden="1" customHeight="1">
      <c r="A236" s="1539" t="s">
        <v>309</v>
      </c>
      <c r="B236" s="1539" t="s">
        <v>310</v>
      </c>
      <c r="C236" s="302"/>
      <c r="D236" s="2567"/>
      <c r="E236" s="2352"/>
      <c r="F236" s="2491" t="str">
        <f>INDEX(PT_DIFFERENTIATION_VTAR,MATCH(A236,PT_DIFFERENTIATION_VTAR_ID,0))</f>
        <v>Тариф на питьевую воду (питьевое водоснабжение)</v>
      </c>
      <c r="G236" s="2562" t="str">
        <f>INDEX(PT_DIFFERENTIATION_NTAR,MATCH(B236,PT_DIFFERENTIATION_NTAR_ID,0))</f>
        <v/>
      </c>
      <c r="H236" s="1618"/>
      <c r="I236" s="1498"/>
      <c r="J236" s="1532"/>
      <c r="K236" s="1537"/>
      <c r="L236" s="1618" t="s">
        <v>390</v>
      </c>
      <c r="M236" s="275"/>
      <c r="N236" s="268"/>
      <c r="O236" s="1412"/>
      <c r="P236" s="1412"/>
      <c r="AH236" s="1419">
        <v>0</v>
      </c>
    </row>
    <row r="237" spans="1:34" s="1423" customFormat="1" ht="18.75" hidden="1" customHeight="1">
      <c r="A237" s="1539"/>
      <c r="B237" s="1539"/>
      <c r="C237" s="302" t="s">
        <v>1227</v>
      </c>
      <c r="D237" s="2567"/>
      <c r="E237" s="2352"/>
      <c r="F237" s="2491"/>
      <c r="G237" s="2562"/>
      <c r="H237" s="1288"/>
      <c r="I237" s="582" t="s">
        <v>1226</v>
      </c>
      <c r="J237" s="503"/>
      <c r="K237" s="1288"/>
      <c r="L237" s="148"/>
      <c r="M237" s="275"/>
      <c r="N237" s="268"/>
      <c r="O237" s="1412"/>
      <c r="P237" s="1412"/>
      <c r="AH237" s="1419">
        <v>0</v>
      </c>
    </row>
    <row r="238" spans="1:34" s="1423" customFormat="1" ht="0.75" hidden="1" customHeight="1">
      <c r="A238" s="1539"/>
      <c r="B238" s="1539"/>
      <c r="C238" s="302" t="s">
        <v>1234</v>
      </c>
      <c r="D238" s="2567"/>
      <c r="E238" s="2352"/>
      <c r="F238" s="2491"/>
      <c r="G238" s="333"/>
      <c r="H238" s="1288"/>
      <c r="I238" s="582"/>
      <c r="J238" s="503"/>
      <c r="K238" s="1288"/>
      <c r="L238" s="148"/>
      <c r="M238" s="275"/>
      <c r="N238" s="268"/>
      <c r="O238" s="1412"/>
      <c r="P238" s="1412"/>
      <c r="AH238" s="1419">
        <v>0</v>
      </c>
    </row>
    <row r="239" spans="1:34" s="1423" customFormat="1" ht="18.75" hidden="1" customHeight="1">
      <c r="A239" s="1539" t="s">
        <v>314</v>
      </c>
      <c r="B239" s="1539" t="s">
        <v>315</v>
      </c>
      <c r="C239" s="302"/>
      <c r="D239" s="2567"/>
      <c r="E239" s="2352"/>
      <c r="F239" s="2491" t="str">
        <f>INDEX(PT_DIFFERENTIATION_VTAR,MATCH(A239,PT_DIFFERENTIATION_VTAR_ID,0))</f>
        <v>Тариф на техническую воду</v>
      </c>
      <c r="G239" s="2562" t="str">
        <f>INDEX(PT_DIFFERENTIATION_NTAR,MATCH(B239,PT_DIFFERENTIATION_NTAR_ID,0))</f>
        <v/>
      </c>
      <c r="H239" s="1618"/>
      <c r="I239" s="1498"/>
      <c r="J239" s="1532"/>
      <c r="K239" s="1537"/>
      <c r="L239" s="1618" t="s">
        <v>390</v>
      </c>
      <c r="M239" s="275"/>
      <c r="N239" s="268"/>
      <c r="O239" s="1412"/>
      <c r="P239" s="1412"/>
      <c r="AH239" s="1419">
        <v>0</v>
      </c>
    </row>
    <row r="240" spans="1:34" s="1423" customFormat="1" ht="18.75" hidden="1" customHeight="1">
      <c r="A240" s="1539"/>
      <c r="B240" s="1539"/>
      <c r="C240" s="302" t="s">
        <v>1227</v>
      </c>
      <c r="D240" s="2567"/>
      <c r="E240" s="2352"/>
      <c r="F240" s="2491"/>
      <c r="G240" s="2562"/>
      <c r="H240" s="1288"/>
      <c r="I240" s="582" t="s">
        <v>1226</v>
      </c>
      <c r="J240" s="503"/>
      <c r="K240" s="1288"/>
      <c r="L240" s="148"/>
      <c r="M240" s="275"/>
      <c r="N240" s="268"/>
      <c r="O240" s="1412"/>
      <c r="P240" s="1412"/>
      <c r="AH240" s="1419">
        <v>0</v>
      </c>
    </row>
    <row r="241" spans="1:34" s="1423" customFormat="1" ht="0.75" hidden="1" customHeight="1">
      <c r="A241" s="1539"/>
      <c r="B241" s="1539"/>
      <c r="C241" s="302" t="s">
        <v>1234</v>
      </c>
      <c r="D241" s="2567"/>
      <c r="E241" s="2352"/>
      <c r="F241" s="2491"/>
      <c r="G241" s="333"/>
      <c r="H241" s="1288"/>
      <c r="I241" s="582"/>
      <c r="J241" s="503"/>
      <c r="K241" s="1288"/>
      <c r="L241" s="148"/>
      <c r="M241" s="275"/>
      <c r="N241" s="268"/>
      <c r="O241" s="1412"/>
      <c r="P241" s="1412"/>
      <c r="AH241" s="1419">
        <v>0</v>
      </c>
    </row>
    <row r="242" spans="1:34" s="1423" customFormat="1" ht="18.75" hidden="1" customHeight="1">
      <c r="A242" s="1539" t="s">
        <v>319</v>
      </c>
      <c r="B242" s="1539" t="s">
        <v>320</v>
      </c>
      <c r="C242" s="302"/>
      <c r="D242" s="2567"/>
      <c r="E242" s="2352"/>
      <c r="F242" s="2491" t="str">
        <f>INDEX(PT_DIFFERENTIATION_VTAR,MATCH(A242,PT_DIFFERENTIATION_VTAR_ID,0))</f>
        <v>Тариф на транспортировку воды</v>
      </c>
      <c r="G242" s="2562" t="str">
        <f>INDEX(PT_DIFFERENTIATION_NTAR,MATCH(B242,PT_DIFFERENTIATION_NTAR_ID,0))</f>
        <v/>
      </c>
      <c r="H242" s="1618"/>
      <c r="I242" s="1498"/>
      <c r="J242" s="1532"/>
      <c r="K242" s="1537"/>
      <c r="L242" s="1618" t="s">
        <v>390</v>
      </c>
      <c r="M242" s="275"/>
      <c r="N242" s="268"/>
      <c r="O242" s="1412"/>
      <c r="P242" s="1412"/>
      <c r="AH242" s="1419">
        <v>0</v>
      </c>
    </row>
    <row r="243" spans="1:34" s="1423" customFormat="1" ht="18.75" hidden="1" customHeight="1">
      <c r="A243" s="1539"/>
      <c r="B243" s="1539"/>
      <c r="C243" s="302" t="s">
        <v>1227</v>
      </c>
      <c r="D243" s="2567"/>
      <c r="E243" s="2352"/>
      <c r="F243" s="2491"/>
      <c r="G243" s="2562"/>
      <c r="H243" s="1288"/>
      <c r="I243" s="582" t="s">
        <v>1226</v>
      </c>
      <c r="J243" s="503"/>
      <c r="K243" s="1288"/>
      <c r="L243" s="148"/>
      <c r="M243" s="275"/>
      <c r="N243" s="268"/>
      <c r="O243" s="1412"/>
      <c r="P243" s="1412"/>
      <c r="AH243" s="1419">
        <v>0</v>
      </c>
    </row>
    <row r="244" spans="1:34" s="1423" customFormat="1" ht="0.75" hidden="1" customHeight="1">
      <c r="A244" s="1539"/>
      <c r="B244" s="1539"/>
      <c r="C244" s="302" t="s">
        <v>1234</v>
      </c>
      <c r="D244" s="2567"/>
      <c r="E244" s="2352"/>
      <c r="F244" s="2491"/>
      <c r="G244" s="333"/>
      <c r="H244" s="1288"/>
      <c r="I244" s="582"/>
      <c r="J244" s="503"/>
      <c r="K244" s="1288"/>
      <c r="L244" s="148"/>
      <c r="M244" s="275"/>
      <c r="N244" s="268"/>
      <c r="O244" s="1412"/>
      <c r="P244" s="1412"/>
      <c r="AH244" s="1419">
        <v>0</v>
      </c>
    </row>
    <row r="245" spans="1:34" s="1423" customFormat="1" ht="18.75" hidden="1" customHeight="1">
      <c r="A245" s="1539" t="s">
        <v>324</v>
      </c>
      <c r="B245" s="1539" t="s">
        <v>325</v>
      </c>
      <c r="C245" s="302"/>
      <c r="D245" s="2567"/>
      <c r="E245" s="2352"/>
      <c r="F245" s="2491" t="str">
        <f>INDEX(PT_DIFFERENTIATION_VTAR,MATCH(A245,PT_DIFFERENTIATION_VTAR_ID,0))</f>
        <v>Тариф на подвоз воды</v>
      </c>
      <c r="G245" s="2562" t="str">
        <f>INDEX(PT_DIFFERENTIATION_NTAR,MATCH(B245,PT_DIFFERENTIATION_NTAR_ID,0))</f>
        <v/>
      </c>
      <c r="H245" s="1618"/>
      <c r="I245" s="1498"/>
      <c r="J245" s="1532"/>
      <c r="K245" s="1537"/>
      <c r="L245" s="1618" t="s">
        <v>390</v>
      </c>
      <c r="M245" s="275"/>
      <c r="N245" s="268"/>
      <c r="O245" s="1412"/>
      <c r="P245" s="1412"/>
      <c r="AH245" s="1419">
        <v>0</v>
      </c>
    </row>
    <row r="246" spans="1:34" s="1423" customFormat="1" ht="18.75" hidden="1" customHeight="1">
      <c r="A246" s="1539"/>
      <c r="B246" s="1539"/>
      <c r="C246" s="302" t="s">
        <v>1227</v>
      </c>
      <c r="D246" s="2567"/>
      <c r="E246" s="2352"/>
      <c r="F246" s="2491"/>
      <c r="G246" s="2562"/>
      <c r="H246" s="1288"/>
      <c r="I246" s="582" t="s">
        <v>1226</v>
      </c>
      <c r="J246" s="503"/>
      <c r="K246" s="1288"/>
      <c r="L246" s="148"/>
      <c r="M246" s="275"/>
      <c r="N246" s="268"/>
      <c r="O246" s="1412"/>
      <c r="P246" s="1412"/>
      <c r="AH246" s="1419">
        <v>0</v>
      </c>
    </row>
    <row r="247" spans="1:34" s="1423" customFormat="1" ht="0.75" hidden="1" customHeight="1">
      <c r="A247" s="1539"/>
      <c r="B247" s="1539"/>
      <c r="C247" s="302" t="s">
        <v>1234</v>
      </c>
      <c r="D247" s="2567"/>
      <c r="E247" s="2352"/>
      <c r="F247" s="2491"/>
      <c r="G247" s="333"/>
      <c r="H247" s="1288"/>
      <c r="I247" s="582"/>
      <c r="J247" s="503"/>
      <c r="K247" s="1288"/>
      <c r="L247" s="148"/>
      <c r="M247" s="275"/>
      <c r="N247" s="268"/>
      <c r="O247" s="1412"/>
      <c r="P247" s="1412"/>
      <c r="AH247" s="1419">
        <v>0</v>
      </c>
    </row>
    <row r="248" spans="1:34" s="1423" customFormat="1" ht="18.75" hidden="1" customHeight="1">
      <c r="A248" s="1539" t="s">
        <v>329</v>
      </c>
      <c r="B248" s="1539" t="s">
        <v>330</v>
      </c>
      <c r="C248" s="302"/>
      <c r="D248" s="2567"/>
      <c r="E248" s="2352"/>
      <c r="F248" s="249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62" t="str">
        <f>INDEX(PT_DIFFERENTIATION_NTAR,MATCH(B248,PT_DIFFERENTIATION_NTAR_ID,0))</f>
        <v/>
      </c>
      <c r="H248" s="1618"/>
      <c r="I248" s="1498"/>
      <c r="J248" s="1532"/>
      <c r="K248" s="1537"/>
      <c r="L248" s="1618" t="s">
        <v>390</v>
      </c>
      <c r="M248" s="275"/>
      <c r="N248" s="268"/>
      <c r="O248" s="1412"/>
      <c r="P248" s="1412"/>
      <c r="AH248" s="1419">
        <v>0</v>
      </c>
    </row>
    <row r="249" spans="1:34" s="1423" customFormat="1" ht="18.75" hidden="1" customHeight="1">
      <c r="A249" s="1539"/>
      <c r="B249" s="1539"/>
      <c r="C249" s="302" t="s">
        <v>1227</v>
      </c>
      <c r="D249" s="2567"/>
      <c r="E249" s="2352"/>
      <c r="F249" s="2491"/>
      <c r="G249" s="2562"/>
      <c r="H249" s="1288"/>
      <c r="I249" s="582" t="s">
        <v>1226</v>
      </c>
      <c r="J249" s="503"/>
      <c r="K249" s="1288"/>
      <c r="L249" s="148"/>
      <c r="M249" s="275"/>
      <c r="N249" s="268"/>
      <c r="O249" s="1412"/>
      <c r="P249" s="1412"/>
      <c r="AH249" s="1419">
        <v>0</v>
      </c>
    </row>
    <row r="250" spans="1:34" s="1423" customFormat="1" ht="0.75" hidden="1" customHeight="1">
      <c r="A250" s="1539"/>
      <c r="B250" s="1539"/>
      <c r="C250" s="302" t="s">
        <v>1234</v>
      </c>
      <c r="D250" s="2567"/>
      <c r="E250" s="2352"/>
      <c r="F250" s="2491"/>
      <c r="G250" s="333"/>
      <c r="H250" s="1288"/>
      <c r="I250" s="582"/>
      <c r="J250" s="503"/>
      <c r="K250" s="1288"/>
      <c r="L250" s="148"/>
      <c r="M250" s="275"/>
      <c r="N250" s="268"/>
      <c r="O250" s="1412"/>
      <c r="P250" s="1412"/>
      <c r="AH250" s="1419">
        <v>0</v>
      </c>
    </row>
    <row r="251" spans="1:34" s="1423" customFormat="1" ht="18.75" hidden="1" customHeight="1">
      <c r="A251" s="1539" t="s">
        <v>334</v>
      </c>
      <c r="B251" s="1539" t="s">
        <v>335</v>
      </c>
      <c r="C251" s="302"/>
      <c r="D251" s="2567"/>
      <c r="E251" s="2352"/>
      <c r="F251" s="2491" t="str">
        <f>INDEX(PT_DIFFERENTIATION_VTAR,MATCH(A251,PT_DIFFERENTIATION_VTAR_ID,0))</f>
        <v>Тариф на горячую воду (горячее водоснабжение)</v>
      </c>
      <c r="G251" s="2562" t="str">
        <f>INDEX(PT_DIFFERENTIATION_NTAR,MATCH(B251,PT_DIFFERENTIATION_NTAR_ID,0))</f>
        <v/>
      </c>
      <c r="H251" s="1618"/>
      <c r="I251" s="1498"/>
      <c r="J251" s="1532"/>
      <c r="K251" s="1537"/>
      <c r="L251" s="1618" t="s">
        <v>390</v>
      </c>
      <c r="M251" s="275"/>
      <c r="N251" s="268"/>
      <c r="O251" s="1412"/>
      <c r="P251" s="1412"/>
      <c r="AH251" s="1419">
        <v>0</v>
      </c>
    </row>
    <row r="252" spans="1:34" s="1423" customFormat="1" ht="18.75" hidden="1" customHeight="1">
      <c r="A252" s="1539"/>
      <c r="B252" s="1539"/>
      <c r="C252" s="302" t="s">
        <v>1227</v>
      </c>
      <c r="D252" s="2567"/>
      <c r="E252" s="2352"/>
      <c r="F252" s="2491"/>
      <c r="G252" s="2562"/>
      <c r="H252" s="1288"/>
      <c r="I252" s="582" t="s">
        <v>1226</v>
      </c>
      <c r="J252" s="503"/>
      <c r="K252" s="1288"/>
      <c r="L252" s="148"/>
      <c r="M252" s="275"/>
      <c r="N252" s="268"/>
      <c r="O252" s="1412"/>
      <c r="P252" s="1412"/>
      <c r="AH252" s="1419">
        <v>0</v>
      </c>
    </row>
    <row r="253" spans="1:34" s="1423" customFormat="1" ht="0.75" hidden="1" customHeight="1">
      <c r="A253" s="1539"/>
      <c r="B253" s="1539"/>
      <c r="C253" s="302" t="s">
        <v>1234</v>
      </c>
      <c r="D253" s="2567"/>
      <c r="E253" s="2352"/>
      <c r="F253" s="2491"/>
      <c r="G253" s="333"/>
      <c r="H253" s="1288"/>
      <c r="I253" s="582"/>
      <c r="J253" s="503"/>
      <c r="K253" s="1288"/>
      <c r="L253" s="148"/>
      <c r="M253" s="275"/>
      <c r="N253" s="268"/>
      <c r="O253" s="1412"/>
      <c r="P253" s="1412"/>
      <c r="AH253" s="1419">
        <v>0</v>
      </c>
    </row>
    <row r="254" spans="1:34" s="1423" customFormat="1" ht="18.75" hidden="1" customHeight="1">
      <c r="A254" s="1539" t="s">
        <v>339</v>
      </c>
      <c r="B254" s="1539" t="s">
        <v>340</v>
      </c>
      <c r="C254" s="302"/>
      <c r="D254" s="2567"/>
      <c r="E254" s="2352"/>
      <c r="F254" s="2491" t="str">
        <f>INDEX(PT_DIFFERENTIATION_VTAR,MATCH(A254,PT_DIFFERENTIATION_VTAR_ID,0))</f>
        <v>Тариф на транспортировку горячей воды</v>
      </c>
      <c r="G254" s="2562" t="str">
        <f>INDEX(PT_DIFFERENTIATION_NTAR,MATCH(B254,PT_DIFFERENTIATION_NTAR_ID,0))</f>
        <v/>
      </c>
      <c r="H254" s="1618"/>
      <c r="I254" s="1498"/>
      <c r="J254" s="1532"/>
      <c r="K254" s="1537"/>
      <c r="L254" s="1618" t="s">
        <v>390</v>
      </c>
      <c r="M254" s="275"/>
      <c r="N254" s="268"/>
      <c r="O254" s="1412"/>
      <c r="P254" s="1412"/>
      <c r="AH254" s="1419">
        <v>0</v>
      </c>
    </row>
    <row r="255" spans="1:34" s="1423" customFormat="1" ht="18.75" hidden="1" customHeight="1">
      <c r="A255" s="1539"/>
      <c r="B255" s="1539"/>
      <c r="C255" s="302" t="s">
        <v>1227</v>
      </c>
      <c r="D255" s="2567"/>
      <c r="E255" s="2352"/>
      <c r="F255" s="2491"/>
      <c r="G255" s="2562"/>
      <c r="H255" s="1288"/>
      <c r="I255" s="582" t="s">
        <v>1226</v>
      </c>
      <c r="J255" s="503"/>
      <c r="K255" s="1288"/>
      <c r="L255" s="148"/>
      <c r="M255" s="275"/>
      <c r="N255" s="268"/>
      <c r="O255" s="1412"/>
      <c r="P255" s="1412"/>
      <c r="AH255" s="1419">
        <v>0</v>
      </c>
    </row>
    <row r="256" spans="1:34" s="1423" customFormat="1" ht="0.75" hidden="1" customHeight="1">
      <c r="A256" s="1539"/>
      <c r="B256" s="1539"/>
      <c r="C256" s="302" t="s">
        <v>1234</v>
      </c>
      <c r="D256" s="2567"/>
      <c r="E256" s="2352"/>
      <c r="F256" s="2491"/>
      <c r="G256" s="333"/>
      <c r="H256" s="1288"/>
      <c r="I256" s="582"/>
      <c r="J256" s="503"/>
      <c r="K256" s="1288"/>
      <c r="L256" s="148"/>
      <c r="M256" s="275"/>
      <c r="N256" s="268"/>
      <c r="O256" s="1412"/>
      <c r="P256" s="1412"/>
      <c r="AH256" s="1419">
        <v>0</v>
      </c>
    </row>
    <row r="257" spans="1:34" s="1423" customFormat="1" ht="18.75" hidden="1" customHeight="1">
      <c r="A257" s="1539" t="s">
        <v>344</v>
      </c>
      <c r="B257" s="1539" t="s">
        <v>345</v>
      </c>
      <c r="C257" s="302"/>
      <c r="D257" s="2567"/>
      <c r="E257" s="2352"/>
      <c r="F257" s="249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62" t="str">
        <f>INDEX(PT_DIFFERENTIATION_NTAR,MATCH(B257,PT_DIFFERENTIATION_NTAR_ID,0))</f>
        <v/>
      </c>
      <c r="H257" s="1618"/>
      <c r="I257" s="1498"/>
      <c r="J257" s="1532"/>
      <c r="K257" s="1537"/>
      <c r="L257" s="1618" t="s">
        <v>390</v>
      </c>
      <c r="M257" s="275"/>
      <c r="N257" s="268"/>
      <c r="O257" s="1412"/>
      <c r="P257" s="1412"/>
      <c r="AH257" s="1419">
        <v>0</v>
      </c>
    </row>
    <row r="258" spans="1:34" s="1423" customFormat="1" ht="18.75" hidden="1" customHeight="1">
      <c r="A258" s="1539"/>
      <c r="B258" s="1539"/>
      <c r="C258" s="302" t="s">
        <v>1227</v>
      </c>
      <c r="D258" s="2567"/>
      <c r="E258" s="2352"/>
      <c r="F258" s="2491"/>
      <c r="G258" s="2562"/>
      <c r="H258" s="1288"/>
      <c r="I258" s="582" t="s">
        <v>1226</v>
      </c>
      <c r="J258" s="503"/>
      <c r="K258" s="1288"/>
      <c r="L258" s="148"/>
      <c r="M258" s="275"/>
      <c r="N258" s="268"/>
      <c r="O258" s="1412"/>
      <c r="P258" s="1412"/>
      <c r="AH258" s="1419">
        <v>0</v>
      </c>
    </row>
    <row r="259" spans="1:34" s="1423" customFormat="1" ht="0.75" hidden="1" customHeight="1">
      <c r="A259" s="1539"/>
      <c r="B259" s="1539"/>
      <c r="C259" s="302" t="s">
        <v>1234</v>
      </c>
      <c r="D259" s="2567"/>
      <c r="E259" s="2352"/>
      <c r="F259" s="2491"/>
      <c r="G259" s="333"/>
      <c r="H259" s="1288"/>
      <c r="I259" s="582"/>
      <c r="J259" s="503"/>
      <c r="K259" s="1288"/>
      <c r="L259" s="148"/>
      <c r="M259" s="275"/>
      <c r="N259" s="268"/>
      <c r="O259" s="1412"/>
      <c r="P259" s="1412"/>
      <c r="AH259" s="1419">
        <v>0</v>
      </c>
    </row>
    <row r="260" spans="1:34" s="1423" customFormat="1" ht="18.75" hidden="1" customHeight="1">
      <c r="A260" s="1539" t="s">
        <v>349</v>
      </c>
      <c r="B260" s="1539" t="s">
        <v>350</v>
      </c>
      <c r="C260" s="302"/>
      <c r="D260" s="2567"/>
      <c r="E260" s="2352"/>
      <c r="F260" s="2491" t="str">
        <f>INDEX(PT_DIFFERENTIATION_VTAR,MATCH(A260,PT_DIFFERENTIATION_VTAR_ID,0))</f>
        <v>Тариф на водоотведение</v>
      </c>
      <c r="G260" s="2562" t="str">
        <f>INDEX(PT_DIFFERENTIATION_NTAR,MATCH(B260,PT_DIFFERENTIATION_NTAR_ID,0))</f>
        <v/>
      </c>
      <c r="H260" s="1618"/>
      <c r="I260" s="1498"/>
      <c r="J260" s="1532"/>
      <c r="K260" s="1537"/>
      <c r="L260" s="1618" t="s">
        <v>390</v>
      </c>
      <c r="M260" s="275"/>
      <c r="N260" s="268"/>
      <c r="O260" s="1412"/>
      <c r="P260" s="1412"/>
      <c r="AH260" s="1419">
        <v>0</v>
      </c>
    </row>
    <row r="261" spans="1:34" s="1423" customFormat="1" ht="18.75" hidden="1" customHeight="1">
      <c r="A261" s="1539"/>
      <c r="B261" s="1539"/>
      <c r="C261" s="302" t="s">
        <v>1227</v>
      </c>
      <c r="D261" s="2567"/>
      <c r="E261" s="2352"/>
      <c r="F261" s="2491"/>
      <c r="G261" s="2562"/>
      <c r="H261" s="1288"/>
      <c r="I261" s="582" t="s">
        <v>1226</v>
      </c>
      <c r="J261" s="503"/>
      <c r="K261" s="1288"/>
      <c r="L261" s="148"/>
      <c r="M261" s="275"/>
      <c r="N261" s="268"/>
      <c r="O261" s="1412"/>
      <c r="P261" s="1412"/>
      <c r="AH261" s="1419">
        <v>0</v>
      </c>
    </row>
    <row r="262" spans="1:34" s="1423" customFormat="1" ht="0.75" hidden="1" customHeight="1">
      <c r="A262" s="1539"/>
      <c r="B262" s="1539"/>
      <c r="C262" s="302" t="s">
        <v>1234</v>
      </c>
      <c r="D262" s="2567"/>
      <c r="E262" s="2352"/>
      <c r="F262" s="2491"/>
      <c r="G262" s="333"/>
      <c r="H262" s="1288"/>
      <c r="I262" s="582"/>
      <c r="J262" s="503"/>
      <c r="K262" s="1288"/>
      <c r="L262" s="148"/>
      <c r="M262" s="275"/>
      <c r="N262" s="268"/>
      <c r="O262" s="1412"/>
      <c r="P262" s="1412"/>
      <c r="AH262" s="1419">
        <v>0</v>
      </c>
    </row>
    <row r="263" spans="1:34" s="1423" customFormat="1" ht="18.75" hidden="1" customHeight="1">
      <c r="A263" s="1539" t="s">
        <v>354</v>
      </c>
      <c r="B263" s="1539" t="s">
        <v>355</v>
      </c>
      <c r="C263" s="302"/>
      <c r="D263" s="2567"/>
      <c r="E263" s="2352"/>
      <c r="F263" s="2491" t="str">
        <f>INDEX(PT_DIFFERENTIATION_VTAR,MATCH(A263,PT_DIFFERENTIATION_VTAR_ID,0))</f>
        <v>Тариф на транспортировку сточных вод</v>
      </c>
      <c r="G263" s="2562" t="str">
        <f>INDEX(PT_DIFFERENTIATION_NTAR,MATCH(B263,PT_DIFFERENTIATION_NTAR_ID,0))</f>
        <v/>
      </c>
      <c r="H263" s="1618"/>
      <c r="I263" s="1498"/>
      <c r="J263" s="1532"/>
      <c r="K263" s="1537"/>
      <c r="L263" s="1618" t="s">
        <v>390</v>
      </c>
      <c r="M263" s="275"/>
      <c r="N263" s="268"/>
      <c r="O263" s="1412"/>
      <c r="P263" s="1412"/>
      <c r="AH263" s="1419">
        <v>0</v>
      </c>
    </row>
    <row r="264" spans="1:34" s="1423" customFormat="1" ht="18.75" hidden="1" customHeight="1">
      <c r="A264" s="1539"/>
      <c r="B264" s="1539"/>
      <c r="C264" s="302" t="s">
        <v>1227</v>
      </c>
      <c r="D264" s="2567"/>
      <c r="E264" s="2352"/>
      <c r="F264" s="2491"/>
      <c r="G264" s="2562"/>
      <c r="H264" s="1288"/>
      <c r="I264" s="582" t="s">
        <v>1226</v>
      </c>
      <c r="J264" s="503"/>
      <c r="K264" s="1288"/>
      <c r="L264" s="148"/>
      <c r="M264" s="275"/>
      <c r="N264" s="268"/>
      <c r="O264" s="1412"/>
      <c r="P264" s="1412"/>
      <c r="AH264" s="1419">
        <v>0</v>
      </c>
    </row>
    <row r="265" spans="1:34" s="1423" customFormat="1" ht="0.75" hidden="1" customHeight="1">
      <c r="A265" s="1539"/>
      <c r="B265" s="1539"/>
      <c r="C265" s="302" t="s">
        <v>1234</v>
      </c>
      <c r="D265" s="2567"/>
      <c r="E265" s="2352"/>
      <c r="F265" s="2491"/>
      <c r="G265" s="333"/>
      <c r="H265" s="1288"/>
      <c r="I265" s="582"/>
      <c r="J265" s="503"/>
      <c r="K265" s="1288"/>
      <c r="L265" s="148"/>
      <c r="M265" s="275"/>
      <c r="N265" s="268"/>
      <c r="O265" s="1412"/>
      <c r="P265" s="1412"/>
      <c r="AH265" s="1419">
        <v>0</v>
      </c>
    </row>
    <row r="266" spans="1:34" s="1423" customFormat="1" ht="18.75" hidden="1" customHeight="1">
      <c r="A266" s="1539" t="s">
        <v>359</v>
      </c>
      <c r="B266" s="1539" t="s">
        <v>360</v>
      </c>
      <c r="C266" s="302"/>
      <c r="D266" s="2567"/>
      <c r="E266" s="2352"/>
      <c r="F266" s="2491" t="str">
        <f>INDEX(PT_DIFFERENTIATION_VTAR,MATCH(A266,PT_DIFFERENTIATION_VTAR_ID,0))</f>
        <v>Тариф на подключение (технологическое присоединение) к централизованной системе водоотведения</v>
      </c>
      <c r="G266" s="2562" t="str">
        <f>INDEX(PT_DIFFERENTIATION_NTAR,MATCH(B266,PT_DIFFERENTIATION_NTAR_ID,0))</f>
        <v/>
      </c>
      <c r="H266" s="1618"/>
      <c r="I266" s="1498"/>
      <c r="J266" s="1532"/>
      <c r="K266" s="1537"/>
      <c r="L266" s="1618" t="s">
        <v>390</v>
      </c>
      <c r="M266" s="275"/>
      <c r="N266" s="268"/>
      <c r="O266" s="1412"/>
      <c r="P266" s="1412"/>
      <c r="AH266" s="1419">
        <v>0</v>
      </c>
    </row>
    <row r="267" spans="1:34" s="1423" customFormat="1" ht="18.75" hidden="1" customHeight="1">
      <c r="A267" s="1539"/>
      <c r="B267" s="1539"/>
      <c r="C267" s="302" t="s">
        <v>1227</v>
      </c>
      <c r="D267" s="2567"/>
      <c r="E267" s="2352"/>
      <c r="F267" s="2491"/>
      <c r="G267" s="2562"/>
      <c r="H267" s="1288"/>
      <c r="I267" s="582" t="s">
        <v>1226</v>
      </c>
      <c r="J267" s="503"/>
      <c r="K267" s="1288"/>
      <c r="L267" s="148"/>
      <c r="M267" s="275"/>
      <c r="N267" s="268"/>
      <c r="O267" s="1412"/>
      <c r="P267" s="1412"/>
      <c r="AH267" s="1419">
        <v>0</v>
      </c>
    </row>
    <row r="268" spans="1:34" s="1423" customFormat="1" ht="1.1499999999999999" customHeight="1">
      <c r="A268" s="1539"/>
      <c r="B268" s="1539"/>
      <c r="C268" s="302" t="s">
        <v>1234</v>
      </c>
      <c r="D268" s="2567"/>
      <c r="E268" s="2352"/>
      <c r="F268" s="2491"/>
      <c r="G268" s="333"/>
      <c r="H268" s="1288"/>
      <c r="I268" s="582"/>
      <c r="J268" s="503"/>
      <c r="K268" s="1288"/>
      <c r="L268" s="148"/>
      <c r="M268" s="275"/>
      <c r="N268" s="268"/>
      <c r="O268" s="1412"/>
      <c r="P268" s="1412"/>
      <c r="AH268" s="1419">
        <v>1</v>
      </c>
    </row>
    <row r="269" spans="1:34" ht="27.4" customHeight="1">
      <c r="A269" s="1539"/>
      <c r="B269" s="1539"/>
      <c r="D269" s="309"/>
      <c r="E269" s="82" t="s">
        <v>79</v>
      </c>
      <c r="F269" s="256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66"/>
      <c r="H269" s="2566"/>
      <c r="I269" s="2566"/>
      <c r="J269" s="2566"/>
      <c r="K269" s="2566"/>
      <c r="L269" s="2566"/>
      <c r="M269" s="231"/>
      <c r="N269" s="268"/>
      <c r="AH269" s="307">
        <v>26</v>
      </c>
    </row>
    <row r="270" spans="1:34" s="1423" customFormat="1" ht="60.75" hidden="1" customHeight="1">
      <c r="A270" s="1539" t="s">
        <v>241</v>
      </c>
      <c r="B270" s="1539" t="s">
        <v>242</v>
      </c>
      <c r="C270" s="302"/>
      <c r="D270" s="2567"/>
      <c r="E270" s="2352"/>
      <c r="F270" s="249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62" t="str">
        <f>INDEX(PT_DIFFERENTIATION_NTAR,MATCH(B270,PT_DIFFERENTIATION_NTAR_ID,0))</f>
        <v/>
      </c>
      <c r="H270" s="1618"/>
      <c r="I270" s="1498"/>
      <c r="J270" s="1532"/>
      <c r="K270" s="1537"/>
      <c r="L270" s="1618" t="s">
        <v>390</v>
      </c>
      <c r="M270" s="231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68"/>
      <c r="O270" s="1412"/>
      <c r="P270" s="1412"/>
      <c r="AH270" s="1419">
        <v>0</v>
      </c>
    </row>
    <row r="271" spans="1:34" s="1423" customFormat="1" ht="18.75" hidden="1" customHeight="1">
      <c r="A271" s="1539"/>
      <c r="B271" s="1539"/>
      <c r="C271" s="302" t="s">
        <v>1227</v>
      </c>
      <c r="D271" s="2567"/>
      <c r="E271" s="2352"/>
      <c r="F271" s="2491"/>
      <c r="G271" s="2562"/>
      <c r="H271" s="1288"/>
      <c r="I271" s="582" t="s">
        <v>1226</v>
      </c>
      <c r="J271" s="503"/>
      <c r="K271" s="1288"/>
      <c r="L271" s="148"/>
      <c r="M271" s="2313"/>
      <c r="N271" s="268"/>
      <c r="O271" s="1412"/>
      <c r="P271" s="1412"/>
      <c r="AH271" s="1419">
        <v>0</v>
      </c>
    </row>
    <row r="272" spans="1:34" s="1423" customFormat="1" ht="0.75" hidden="1" customHeight="1">
      <c r="A272" s="1539"/>
      <c r="B272" s="1539"/>
      <c r="C272" s="302" t="s">
        <v>1234</v>
      </c>
      <c r="D272" s="2567"/>
      <c r="E272" s="2352"/>
      <c r="F272" s="2491"/>
      <c r="G272" s="333"/>
      <c r="H272" s="1288"/>
      <c r="I272" s="582"/>
      <c r="J272" s="503"/>
      <c r="K272" s="1288"/>
      <c r="L272" s="148"/>
      <c r="M272" s="2313"/>
      <c r="N272" s="268"/>
      <c r="O272" s="1412"/>
      <c r="P272" s="1412"/>
      <c r="AH272" s="1419">
        <v>0</v>
      </c>
    </row>
    <row r="273" spans="1:34" s="1423" customFormat="1" ht="45" hidden="1" customHeight="1">
      <c r="A273" s="1539" t="s">
        <v>246</v>
      </c>
      <c r="B273" s="1539" t="s">
        <v>247</v>
      </c>
      <c r="C273" s="302"/>
      <c r="D273" s="2567"/>
      <c r="E273" s="2352"/>
      <c r="F273" s="2491" t="str">
        <f>INDEX(PT_DIFFERENTIATION_VTAR,MATCH(A273,PT_DIFFERENTIATION_VTAR_ID,0))</f>
        <v/>
      </c>
      <c r="G273" s="2562" t="str">
        <f>INDEX(PT_DIFFERENTIATION_NTAR,MATCH(B273,PT_DIFFERENTIATION_NTAR_ID,0))</f>
        <v/>
      </c>
      <c r="H273" s="1618"/>
      <c r="I273" s="1498"/>
      <c r="J273" s="1532"/>
      <c r="K273" s="1537"/>
      <c r="L273" s="1618" t="s">
        <v>390</v>
      </c>
      <c r="M273" s="2314"/>
      <c r="N273" s="268"/>
      <c r="O273" s="1412"/>
      <c r="P273" s="1412"/>
      <c r="AH273" s="1419">
        <v>0</v>
      </c>
    </row>
    <row r="274" spans="1:34" s="1423" customFormat="1" ht="18.75" hidden="1" customHeight="1">
      <c r="A274" s="1539"/>
      <c r="B274" s="1539"/>
      <c r="C274" s="302" t="s">
        <v>1227</v>
      </c>
      <c r="D274" s="2567"/>
      <c r="E274" s="2352"/>
      <c r="F274" s="2491"/>
      <c r="G274" s="2562"/>
      <c r="H274" s="1288"/>
      <c r="I274" s="582" t="s">
        <v>1226</v>
      </c>
      <c r="J274" s="503"/>
      <c r="K274" s="1288"/>
      <c r="L274" s="148"/>
      <c r="M274" s="1617"/>
      <c r="N274" s="268"/>
      <c r="O274" s="1412"/>
      <c r="P274" s="1412"/>
      <c r="AH274" s="1419">
        <v>0</v>
      </c>
    </row>
    <row r="275" spans="1:34" s="1423" customFormat="1" ht="0.75" hidden="1" customHeight="1">
      <c r="A275" s="1539"/>
      <c r="B275" s="1539"/>
      <c r="C275" s="302" t="s">
        <v>1234</v>
      </c>
      <c r="D275" s="2567"/>
      <c r="E275" s="2352"/>
      <c r="F275" s="2491"/>
      <c r="G275" s="333"/>
      <c r="H275" s="1288"/>
      <c r="I275" s="582"/>
      <c r="J275" s="503"/>
      <c r="K275" s="1288"/>
      <c r="L275" s="148"/>
      <c r="M275" s="275"/>
      <c r="N275" s="268"/>
      <c r="O275" s="1412"/>
      <c r="P275" s="1412"/>
      <c r="AH275" s="1419">
        <v>0</v>
      </c>
    </row>
    <row r="276" spans="1:34" s="1423" customFormat="1" ht="45" hidden="1" customHeight="1">
      <c r="A276" s="1539" t="s">
        <v>253</v>
      </c>
      <c r="B276" s="1539" t="s">
        <v>254</v>
      </c>
      <c r="C276" s="302"/>
      <c r="D276" s="2567"/>
      <c r="E276" s="2352"/>
      <c r="F276" s="249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62" t="str">
        <f>INDEX(PT_DIFFERENTIATION_NTAR,MATCH(B276,PT_DIFFERENTIATION_NTAR_ID,0))</f>
        <v/>
      </c>
      <c r="H276" s="1618"/>
      <c r="I276" s="1498"/>
      <c r="J276" s="1532"/>
      <c r="K276" s="1537"/>
      <c r="L276" s="1618" t="s">
        <v>390</v>
      </c>
      <c r="M276" s="275"/>
      <c r="N276" s="268"/>
      <c r="O276" s="1412"/>
      <c r="P276" s="1412"/>
      <c r="AH276" s="1419">
        <v>0</v>
      </c>
    </row>
    <row r="277" spans="1:34" s="1423" customFormat="1" ht="18.75" hidden="1" customHeight="1">
      <c r="A277" s="1539"/>
      <c r="B277" s="1539"/>
      <c r="C277" s="302" t="s">
        <v>1227</v>
      </c>
      <c r="D277" s="2567"/>
      <c r="E277" s="2352"/>
      <c r="F277" s="2491"/>
      <c r="G277" s="2562"/>
      <c r="H277" s="1288"/>
      <c r="I277" s="582" t="s">
        <v>1226</v>
      </c>
      <c r="J277" s="503"/>
      <c r="K277" s="1288"/>
      <c r="L277" s="148"/>
      <c r="M277" s="275"/>
      <c r="N277" s="268"/>
      <c r="O277" s="1412"/>
      <c r="P277" s="1412"/>
      <c r="AH277" s="1419">
        <v>0</v>
      </c>
    </row>
    <row r="278" spans="1:34" s="1423" customFormat="1" ht="0.75" hidden="1" customHeight="1">
      <c r="A278" s="1539"/>
      <c r="B278" s="1539"/>
      <c r="C278" s="302" t="s">
        <v>1234</v>
      </c>
      <c r="D278" s="2567"/>
      <c r="E278" s="2352"/>
      <c r="F278" s="2491"/>
      <c r="G278" s="333"/>
      <c r="H278" s="1288"/>
      <c r="I278" s="582"/>
      <c r="J278" s="503"/>
      <c r="K278" s="1288"/>
      <c r="L278" s="148"/>
      <c r="M278" s="275"/>
      <c r="N278" s="268"/>
      <c r="O278" s="1412"/>
      <c r="P278" s="1412"/>
      <c r="AH278" s="1419">
        <v>0</v>
      </c>
    </row>
    <row r="279" spans="1:34" s="1423" customFormat="1" ht="45" hidden="1" customHeight="1">
      <c r="A279" s="1539" t="s">
        <v>259</v>
      </c>
      <c r="B279" s="1539" t="s">
        <v>260</v>
      </c>
      <c r="C279" s="302"/>
      <c r="D279" s="2567"/>
      <c r="E279" s="2352"/>
      <c r="F279" s="249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62" t="str">
        <f>INDEX(PT_DIFFERENTIATION_NTAR,MATCH(B279,PT_DIFFERENTIATION_NTAR_ID,0))</f>
        <v/>
      </c>
      <c r="H279" s="1618"/>
      <c r="I279" s="1498"/>
      <c r="J279" s="1532"/>
      <c r="K279" s="1537"/>
      <c r="L279" s="1618" t="s">
        <v>390</v>
      </c>
      <c r="M279" s="275"/>
      <c r="N279" s="268"/>
      <c r="O279" s="1412"/>
      <c r="P279" s="1412"/>
      <c r="AH279" s="1419">
        <v>0</v>
      </c>
    </row>
    <row r="280" spans="1:34" s="1423" customFormat="1" ht="18.75" hidden="1" customHeight="1">
      <c r="A280" s="1539"/>
      <c r="B280" s="1539"/>
      <c r="C280" s="302" t="s">
        <v>1227</v>
      </c>
      <c r="D280" s="2567"/>
      <c r="E280" s="2352"/>
      <c r="F280" s="2491"/>
      <c r="G280" s="2562"/>
      <c r="H280" s="1288"/>
      <c r="I280" s="582" t="s">
        <v>1226</v>
      </c>
      <c r="J280" s="503"/>
      <c r="K280" s="1288"/>
      <c r="L280" s="148"/>
      <c r="M280" s="275"/>
      <c r="N280" s="268"/>
      <c r="O280" s="1412"/>
      <c r="P280" s="1412"/>
      <c r="AH280" s="1419">
        <v>0</v>
      </c>
    </row>
    <row r="281" spans="1:34" s="1423" customFormat="1" ht="0.75" hidden="1" customHeight="1">
      <c r="A281" s="1539"/>
      <c r="B281" s="1539"/>
      <c r="C281" s="302" t="s">
        <v>1234</v>
      </c>
      <c r="D281" s="2567"/>
      <c r="E281" s="2352"/>
      <c r="F281" s="2491"/>
      <c r="G281" s="333"/>
      <c r="H281" s="1288"/>
      <c r="I281" s="582"/>
      <c r="J281" s="503"/>
      <c r="K281" s="1288"/>
      <c r="L281" s="148"/>
      <c r="M281" s="275"/>
      <c r="N281" s="268"/>
      <c r="O281" s="1412"/>
      <c r="P281" s="1412"/>
      <c r="AH281" s="1419">
        <v>0</v>
      </c>
    </row>
    <row r="282" spans="1:34" s="1423" customFormat="1" ht="18.75" hidden="1" customHeight="1">
      <c r="A282" s="1539" t="s">
        <v>265</v>
      </c>
      <c r="B282" s="1539" t="s">
        <v>266</v>
      </c>
      <c r="C282" s="302"/>
      <c r="D282" s="2567"/>
      <c r="E282" s="2352"/>
      <c r="F282" s="2491" t="str">
        <f>INDEX(PT_DIFFERENTIATION_VTAR,MATCH(A282,PT_DIFFERENTIATION_VTAR_ID,0))</f>
        <v>Тарифы на услуги по передаче тепловой энергии</v>
      </c>
      <c r="G282" s="2562" t="str">
        <f>INDEX(PT_DIFFERENTIATION_NTAR,MATCH(B282,PT_DIFFERENTIATION_NTAR_ID,0))</f>
        <v/>
      </c>
      <c r="H282" s="1618"/>
      <c r="I282" s="1498"/>
      <c r="J282" s="1532"/>
      <c r="K282" s="1537"/>
      <c r="L282" s="1618" t="s">
        <v>390</v>
      </c>
      <c r="M282" s="275"/>
      <c r="N282" s="268"/>
      <c r="O282" s="1412"/>
      <c r="P282" s="1412"/>
      <c r="AH282" s="1419">
        <v>0</v>
      </c>
    </row>
    <row r="283" spans="1:34" s="1423" customFormat="1" ht="18.75" hidden="1" customHeight="1">
      <c r="A283" s="1539"/>
      <c r="B283" s="1539"/>
      <c r="C283" s="302" t="s">
        <v>1227</v>
      </c>
      <c r="D283" s="2567"/>
      <c r="E283" s="2352"/>
      <c r="F283" s="2491"/>
      <c r="G283" s="2562"/>
      <c r="H283" s="1288"/>
      <c r="I283" s="582" t="s">
        <v>1226</v>
      </c>
      <c r="J283" s="503"/>
      <c r="K283" s="1288"/>
      <c r="L283" s="148"/>
      <c r="M283" s="275"/>
      <c r="N283" s="268"/>
      <c r="O283" s="1412"/>
      <c r="P283" s="1412"/>
      <c r="AH283" s="1419">
        <v>0</v>
      </c>
    </row>
    <row r="284" spans="1:34" s="1423" customFormat="1" ht="0.75" hidden="1" customHeight="1">
      <c r="A284" s="1539"/>
      <c r="B284" s="1539"/>
      <c r="C284" s="302" t="s">
        <v>1234</v>
      </c>
      <c r="D284" s="2567"/>
      <c r="E284" s="2352"/>
      <c r="F284" s="2491"/>
      <c r="G284" s="333"/>
      <c r="H284" s="1288"/>
      <c r="I284" s="582"/>
      <c r="J284" s="503"/>
      <c r="K284" s="1288"/>
      <c r="L284" s="148"/>
      <c r="M284" s="275"/>
      <c r="N284" s="268"/>
      <c r="O284" s="1412"/>
      <c r="P284" s="1412"/>
      <c r="AH284" s="1419">
        <v>0</v>
      </c>
    </row>
    <row r="285" spans="1:34" s="1423" customFormat="1" ht="18.75" hidden="1" customHeight="1">
      <c r="A285" s="1539" t="s">
        <v>271</v>
      </c>
      <c r="B285" s="1539" t="s">
        <v>272</v>
      </c>
      <c r="C285" s="302"/>
      <c r="D285" s="2567"/>
      <c r="E285" s="2352"/>
      <c r="F285" s="2491" t="str">
        <f>INDEX(PT_DIFFERENTIATION_VTAR,MATCH(A285,PT_DIFFERENTIATION_VTAR_ID,0))</f>
        <v>Тарифы на услуги по передаче теплоносителя</v>
      </c>
      <c r="G285" s="2562" t="str">
        <f>INDEX(PT_DIFFERENTIATION_NTAR,MATCH(B285,PT_DIFFERENTIATION_NTAR_ID,0))</f>
        <v/>
      </c>
      <c r="H285" s="1618"/>
      <c r="I285" s="1498"/>
      <c r="J285" s="1532"/>
      <c r="K285" s="1537"/>
      <c r="L285" s="1618" t="s">
        <v>390</v>
      </c>
      <c r="M285" s="275"/>
      <c r="N285" s="268"/>
      <c r="O285" s="1412"/>
      <c r="P285" s="1412"/>
      <c r="AH285" s="1419">
        <v>0</v>
      </c>
    </row>
    <row r="286" spans="1:34" s="1423" customFormat="1" ht="18.75" hidden="1" customHeight="1">
      <c r="A286" s="1539"/>
      <c r="B286" s="1539"/>
      <c r="C286" s="302" t="s">
        <v>1227</v>
      </c>
      <c r="D286" s="2567"/>
      <c r="E286" s="2352"/>
      <c r="F286" s="2491"/>
      <c r="G286" s="2562"/>
      <c r="H286" s="1288"/>
      <c r="I286" s="582" t="s">
        <v>1226</v>
      </c>
      <c r="J286" s="503"/>
      <c r="K286" s="1288"/>
      <c r="L286" s="148"/>
      <c r="M286" s="275"/>
      <c r="N286" s="268"/>
      <c r="O286" s="1412"/>
      <c r="P286" s="1412"/>
      <c r="AH286" s="1419">
        <v>0</v>
      </c>
    </row>
    <row r="287" spans="1:34" s="1423" customFormat="1" ht="0.75" hidden="1" customHeight="1">
      <c r="A287" s="1539"/>
      <c r="B287" s="1539"/>
      <c r="C287" s="302" t="s">
        <v>1234</v>
      </c>
      <c r="D287" s="2567"/>
      <c r="E287" s="2352"/>
      <c r="F287" s="2491"/>
      <c r="G287" s="333"/>
      <c r="H287" s="1288"/>
      <c r="I287" s="582"/>
      <c r="J287" s="503"/>
      <c r="K287" s="1288"/>
      <c r="L287" s="148"/>
      <c r="M287" s="275"/>
      <c r="N287" s="268"/>
      <c r="O287" s="1412"/>
      <c r="P287" s="1412"/>
      <c r="AH287" s="1419">
        <v>0</v>
      </c>
    </row>
    <row r="288" spans="1:34" s="1423" customFormat="1" ht="18.75" hidden="1" customHeight="1">
      <c r="A288" s="1539" t="s">
        <v>277</v>
      </c>
      <c r="B288" s="1539" t="s">
        <v>278</v>
      </c>
      <c r="C288" s="302"/>
      <c r="D288" s="2567"/>
      <c r="E288" s="2352"/>
      <c r="F288" s="249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62" t="str">
        <f>INDEX(PT_DIFFERENTIATION_NTAR,MATCH(B288,PT_DIFFERENTIATION_NTAR_ID,0))</f>
        <v/>
      </c>
      <c r="H288" s="1618"/>
      <c r="I288" s="1498"/>
      <c r="J288" s="1532"/>
      <c r="K288" s="1537"/>
      <c r="L288" s="1618" t="s">
        <v>390</v>
      </c>
      <c r="M288" s="275"/>
      <c r="N288" s="268"/>
      <c r="O288" s="1412"/>
      <c r="P288" s="1412"/>
      <c r="AH288" s="1419">
        <v>0</v>
      </c>
    </row>
    <row r="289" spans="1:34" s="1423" customFormat="1" ht="18.75" hidden="1" customHeight="1">
      <c r="A289" s="1539"/>
      <c r="B289" s="1539"/>
      <c r="C289" s="302" t="s">
        <v>1227</v>
      </c>
      <c r="D289" s="2567"/>
      <c r="E289" s="2352"/>
      <c r="F289" s="2491"/>
      <c r="G289" s="2562"/>
      <c r="H289" s="1288"/>
      <c r="I289" s="582" t="s">
        <v>1226</v>
      </c>
      <c r="J289" s="503"/>
      <c r="K289" s="1288"/>
      <c r="L289" s="148"/>
      <c r="M289" s="275"/>
      <c r="N289" s="268"/>
      <c r="O289" s="1412"/>
      <c r="P289" s="1412"/>
      <c r="AH289" s="1419">
        <v>0</v>
      </c>
    </row>
    <row r="290" spans="1:34" s="1423" customFormat="1" ht="0.75" hidden="1" customHeight="1">
      <c r="A290" s="1539"/>
      <c r="B290" s="1539"/>
      <c r="C290" s="302" t="s">
        <v>1234</v>
      </c>
      <c r="D290" s="2567"/>
      <c r="E290" s="2352"/>
      <c r="F290" s="2491"/>
      <c r="G290" s="333"/>
      <c r="H290" s="1288"/>
      <c r="I290" s="582"/>
      <c r="J290" s="503"/>
      <c r="K290" s="1288"/>
      <c r="L290" s="148"/>
      <c r="M290" s="275"/>
      <c r="N290" s="268"/>
      <c r="O290" s="1412"/>
      <c r="P290" s="1412"/>
      <c r="AH290" s="1419">
        <v>0</v>
      </c>
    </row>
    <row r="291" spans="1:34" s="1423" customFormat="1" ht="18.75" hidden="1" customHeight="1">
      <c r="A291" s="1539" t="s">
        <v>283</v>
      </c>
      <c r="B291" s="1539" t="s">
        <v>284</v>
      </c>
      <c r="C291" s="302"/>
      <c r="D291" s="2567"/>
      <c r="E291" s="2352"/>
      <c r="F291" s="2491" t="str">
        <f>INDEX(PT_DIFFERENTIATION_VTAR,MATCH(A291,PT_DIFFERENTIATION_VTAR_ID,0))</f>
        <v>Плата за подключение (технологическое присоединение) к системе теплоснабжения</v>
      </c>
      <c r="G291" s="2562" t="str">
        <f>INDEX(PT_DIFFERENTIATION_NTAR,MATCH(B291,PT_DIFFERENTIATION_NTAR_ID,0))</f>
        <v/>
      </c>
      <c r="H291" s="1618"/>
      <c r="I291" s="1498"/>
      <c r="J291" s="1532"/>
      <c r="K291" s="1537"/>
      <c r="L291" s="1618" t="s">
        <v>390</v>
      </c>
      <c r="M291" s="275"/>
      <c r="N291" s="268"/>
      <c r="O291" s="1412"/>
      <c r="P291" s="1412"/>
      <c r="AH291" s="1419">
        <v>0</v>
      </c>
    </row>
    <row r="292" spans="1:34" s="1423" customFormat="1" ht="18.75" hidden="1" customHeight="1">
      <c r="A292" s="1539"/>
      <c r="B292" s="1539"/>
      <c r="C292" s="302" t="s">
        <v>1227</v>
      </c>
      <c r="D292" s="2567"/>
      <c r="E292" s="2352"/>
      <c r="F292" s="2491"/>
      <c r="G292" s="2562"/>
      <c r="H292" s="1288"/>
      <c r="I292" s="582" t="s">
        <v>1226</v>
      </c>
      <c r="J292" s="503"/>
      <c r="K292" s="1288"/>
      <c r="L292" s="148"/>
      <c r="M292" s="275"/>
      <c r="N292" s="268"/>
      <c r="O292" s="1412"/>
      <c r="P292" s="1412"/>
      <c r="AH292" s="1419">
        <v>0</v>
      </c>
    </row>
    <row r="293" spans="1:34" s="1423" customFormat="1" ht="0.75" hidden="1" customHeight="1">
      <c r="A293" s="1539"/>
      <c r="B293" s="1539"/>
      <c r="C293" s="302" t="s">
        <v>1234</v>
      </c>
      <c r="D293" s="2567"/>
      <c r="E293" s="2352"/>
      <c r="F293" s="2491"/>
      <c r="G293" s="333"/>
      <c r="H293" s="1288"/>
      <c r="I293" s="582"/>
      <c r="J293" s="503"/>
      <c r="K293" s="1288"/>
      <c r="L293" s="148"/>
      <c r="M293" s="275"/>
      <c r="N293" s="268"/>
      <c r="O293" s="1412"/>
      <c r="P293" s="1412"/>
      <c r="AH293" s="1419">
        <v>0</v>
      </c>
    </row>
    <row r="294" spans="1:34" s="1423" customFormat="1" ht="18.75" hidden="1" customHeight="1">
      <c r="A294" s="1539" t="s">
        <v>289</v>
      </c>
      <c r="B294" s="1539" t="s">
        <v>290</v>
      </c>
      <c r="C294" s="302"/>
      <c r="D294" s="2567"/>
      <c r="E294" s="2352"/>
      <c r="F294" s="2491" t="str">
        <f>INDEX(PT_DIFFERENTIATION_VTAR,MATCH(A294,PT_DIFFERENTIATION_VTAR_ID,0))</f>
        <v>Плата за подключение (технологическое присоединение) к системе теплоснабжения (индивидуальная)</v>
      </c>
      <c r="G294" s="2562" t="str">
        <f>INDEX(PT_DIFFERENTIATION_NTAR,MATCH(B294,PT_DIFFERENTIATION_NTAR_ID,0))</f>
        <v/>
      </c>
      <c r="H294" s="1739"/>
      <c r="I294" s="1498"/>
      <c r="J294" s="1532"/>
      <c r="K294" s="1537"/>
      <c r="L294" s="1739" t="s">
        <v>390</v>
      </c>
      <c r="M294" s="275"/>
      <c r="N294" s="268"/>
      <c r="O294" s="1412"/>
      <c r="P294" s="1412"/>
      <c r="AH294" s="1419">
        <v>0</v>
      </c>
    </row>
    <row r="295" spans="1:34" s="1423" customFormat="1" ht="18.75" hidden="1" customHeight="1">
      <c r="A295" s="1539"/>
      <c r="B295" s="1539"/>
      <c r="C295" s="302" t="s">
        <v>1227</v>
      </c>
      <c r="D295" s="2567"/>
      <c r="E295" s="2352"/>
      <c r="F295" s="2491"/>
      <c r="G295" s="2562"/>
      <c r="H295" s="1288"/>
      <c r="I295" s="582" t="s">
        <v>1226</v>
      </c>
      <c r="J295" s="503"/>
      <c r="K295" s="1288"/>
      <c r="L295" s="148"/>
      <c r="M295" s="275"/>
      <c r="N295" s="268"/>
      <c r="O295" s="1412"/>
      <c r="P295" s="1412"/>
      <c r="AH295" s="1419">
        <v>0</v>
      </c>
    </row>
    <row r="296" spans="1:34" s="1423" customFormat="1" ht="0.75" hidden="1" customHeight="1">
      <c r="A296" s="1539"/>
      <c r="B296" s="1539"/>
      <c r="C296" s="302" t="s">
        <v>1234</v>
      </c>
      <c r="D296" s="2567"/>
      <c r="E296" s="2352"/>
      <c r="F296" s="2491"/>
      <c r="G296" s="333"/>
      <c r="H296" s="1288"/>
      <c r="I296" s="582"/>
      <c r="J296" s="503"/>
      <c r="K296" s="1288"/>
      <c r="L296" s="148"/>
      <c r="M296" s="275"/>
      <c r="N296" s="268"/>
      <c r="O296" s="1412"/>
      <c r="P296" s="1412"/>
      <c r="AH296" s="1419">
        <v>0</v>
      </c>
    </row>
    <row r="297" spans="1:34" s="1423" customFormat="1" ht="18.75" hidden="1" customHeight="1">
      <c r="A297" s="1539" t="s">
        <v>309</v>
      </c>
      <c r="B297" s="1539" t="s">
        <v>310</v>
      </c>
      <c r="C297" s="302"/>
      <c r="D297" s="2567"/>
      <c r="E297" s="2352"/>
      <c r="F297" s="2491" t="str">
        <f>INDEX(PT_DIFFERENTIATION_VTAR,MATCH(A297,PT_DIFFERENTIATION_VTAR_ID,0))</f>
        <v>Тариф на питьевую воду (питьевое водоснабжение)</v>
      </c>
      <c r="G297" s="2562" t="str">
        <f>INDEX(PT_DIFFERENTIATION_NTAR,MATCH(B297,PT_DIFFERENTIATION_NTAR_ID,0))</f>
        <v/>
      </c>
      <c r="H297" s="1618"/>
      <c r="I297" s="1498"/>
      <c r="J297" s="1532"/>
      <c r="K297" s="1537"/>
      <c r="L297" s="1618" t="s">
        <v>390</v>
      </c>
      <c r="M297" s="275"/>
      <c r="N297" s="268"/>
      <c r="O297" s="1412"/>
      <c r="P297" s="1412"/>
      <c r="AH297" s="1419">
        <v>0</v>
      </c>
    </row>
    <row r="298" spans="1:34" s="1423" customFormat="1" ht="18.75" hidden="1" customHeight="1">
      <c r="A298" s="1539"/>
      <c r="B298" s="1539"/>
      <c r="C298" s="302" t="s">
        <v>1227</v>
      </c>
      <c r="D298" s="2567"/>
      <c r="E298" s="2352"/>
      <c r="F298" s="2491"/>
      <c r="G298" s="2562"/>
      <c r="H298" s="1288"/>
      <c r="I298" s="582" t="s">
        <v>1226</v>
      </c>
      <c r="J298" s="503"/>
      <c r="K298" s="1288"/>
      <c r="L298" s="148"/>
      <c r="M298" s="275"/>
      <c r="N298" s="268"/>
      <c r="O298" s="1412"/>
      <c r="P298" s="1412"/>
      <c r="AH298" s="1419">
        <v>0</v>
      </c>
    </row>
    <row r="299" spans="1:34" s="1423" customFormat="1" ht="0.75" hidden="1" customHeight="1">
      <c r="A299" s="1539"/>
      <c r="B299" s="1539"/>
      <c r="C299" s="302" t="s">
        <v>1234</v>
      </c>
      <c r="D299" s="2567"/>
      <c r="E299" s="2352"/>
      <c r="F299" s="2491"/>
      <c r="G299" s="333"/>
      <c r="H299" s="1288"/>
      <c r="I299" s="582"/>
      <c r="J299" s="503"/>
      <c r="K299" s="1288"/>
      <c r="L299" s="148"/>
      <c r="M299" s="275"/>
      <c r="N299" s="268"/>
      <c r="O299" s="1412"/>
      <c r="P299" s="1412"/>
      <c r="AH299" s="1419">
        <v>0</v>
      </c>
    </row>
    <row r="300" spans="1:34" s="1423" customFormat="1" ht="18.75" hidden="1" customHeight="1">
      <c r="A300" s="1539" t="s">
        <v>314</v>
      </c>
      <c r="B300" s="1539" t="s">
        <v>315</v>
      </c>
      <c r="C300" s="302"/>
      <c r="D300" s="2567"/>
      <c r="E300" s="2352"/>
      <c r="F300" s="2491" t="str">
        <f>INDEX(PT_DIFFERENTIATION_VTAR,MATCH(A300,PT_DIFFERENTIATION_VTAR_ID,0))</f>
        <v>Тариф на техническую воду</v>
      </c>
      <c r="G300" s="2562" t="str">
        <f>INDEX(PT_DIFFERENTIATION_NTAR,MATCH(B300,PT_DIFFERENTIATION_NTAR_ID,0))</f>
        <v/>
      </c>
      <c r="H300" s="1618"/>
      <c r="I300" s="1498"/>
      <c r="J300" s="1532"/>
      <c r="K300" s="1537"/>
      <c r="L300" s="1618" t="s">
        <v>390</v>
      </c>
      <c r="M300" s="275"/>
      <c r="N300" s="268"/>
      <c r="O300" s="1412"/>
      <c r="P300" s="1412"/>
      <c r="AH300" s="1419">
        <v>0</v>
      </c>
    </row>
    <row r="301" spans="1:34" s="1423" customFormat="1" ht="18.75" hidden="1" customHeight="1">
      <c r="A301" s="1539"/>
      <c r="B301" s="1539"/>
      <c r="C301" s="302" t="s">
        <v>1227</v>
      </c>
      <c r="D301" s="2567"/>
      <c r="E301" s="2352"/>
      <c r="F301" s="2491"/>
      <c r="G301" s="2562"/>
      <c r="H301" s="1288"/>
      <c r="I301" s="582" t="s">
        <v>1226</v>
      </c>
      <c r="J301" s="503"/>
      <c r="K301" s="1288"/>
      <c r="L301" s="148"/>
      <c r="M301" s="275"/>
      <c r="N301" s="268"/>
      <c r="O301" s="1412"/>
      <c r="P301" s="1412"/>
      <c r="AH301" s="1419">
        <v>0</v>
      </c>
    </row>
    <row r="302" spans="1:34" s="1423" customFormat="1" ht="0.75" hidden="1" customHeight="1">
      <c r="A302" s="1539"/>
      <c r="B302" s="1539"/>
      <c r="C302" s="302" t="s">
        <v>1234</v>
      </c>
      <c r="D302" s="2567"/>
      <c r="E302" s="2352"/>
      <c r="F302" s="2491"/>
      <c r="G302" s="333"/>
      <c r="H302" s="1288"/>
      <c r="I302" s="582"/>
      <c r="J302" s="503"/>
      <c r="K302" s="1288"/>
      <c r="L302" s="148"/>
      <c r="M302" s="275"/>
      <c r="N302" s="268"/>
      <c r="O302" s="1412"/>
      <c r="P302" s="1412"/>
      <c r="AH302" s="1419">
        <v>0</v>
      </c>
    </row>
    <row r="303" spans="1:34" s="1423" customFormat="1" ht="18.75" hidden="1" customHeight="1">
      <c r="A303" s="1539" t="s">
        <v>319</v>
      </c>
      <c r="B303" s="1539" t="s">
        <v>320</v>
      </c>
      <c r="C303" s="302"/>
      <c r="D303" s="2567"/>
      <c r="E303" s="2352"/>
      <c r="F303" s="2491" t="str">
        <f>INDEX(PT_DIFFERENTIATION_VTAR,MATCH(A303,PT_DIFFERENTIATION_VTAR_ID,0))</f>
        <v>Тариф на транспортировку воды</v>
      </c>
      <c r="G303" s="2562" t="str">
        <f>INDEX(PT_DIFFERENTIATION_NTAR,MATCH(B303,PT_DIFFERENTIATION_NTAR_ID,0))</f>
        <v/>
      </c>
      <c r="H303" s="1618"/>
      <c r="I303" s="1498"/>
      <c r="J303" s="1532"/>
      <c r="K303" s="1537"/>
      <c r="L303" s="1618" t="s">
        <v>390</v>
      </c>
      <c r="M303" s="275"/>
      <c r="N303" s="268"/>
      <c r="O303" s="1412"/>
      <c r="P303" s="1412"/>
      <c r="AH303" s="1419">
        <v>0</v>
      </c>
    </row>
    <row r="304" spans="1:34" s="1423" customFormat="1" ht="18.75" hidden="1" customHeight="1">
      <c r="A304" s="1539"/>
      <c r="B304" s="1539"/>
      <c r="C304" s="302" t="s">
        <v>1227</v>
      </c>
      <c r="D304" s="2567"/>
      <c r="E304" s="2352"/>
      <c r="F304" s="2491"/>
      <c r="G304" s="2562"/>
      <c r="H304" s="1288"/>
      <c r="I304" s="582" t="s">
        <v>1226</v>
      </c>
      <c r="J304" s="503"/>
      <c r="K304" s="1288"/>
      <c r="L304" s="148"/>
      <c r="M304" s="275"/>
      <c r="N304" s="268"/>
      <c r="O304" s="1412"/>
      <c r="P304" s="1412"/>
      <c r="AH304" s="1419">
        <v>0</v>
      </c>
    </row>
    <row r="305" spans="1:34" s="1423" customFormat="1" ht="0.75" hidden="1" customHeight="1">
      <c r="A305" s="1539"/>
      <c r="B305" s="1539"/>
      <c r="C305" s="302" t="s">
        <v>1234</v>
      </c>
      <c r="D305" s="2567"/>
      <c r="E305" s="2352"/>
      <c r="F305" s="2491"/>
      <c r="G305" s="333"/>
      <c r="H305" s="1288"/>
      <c r="I305" s="582"/>
      <c r="J305" s="503"/>
      <c r="K305" s="1288"/>
      <c r="L305" s="148"/>
      <c r="M305" s="275"/>
      <c r="N305" s="268"/>
      <c r="O305" s="1412"/>
      <c r="P305" s="1412"/>
      <c r="AH305" s="1419">
        <v>0</v>
      </c>
    </row>
    <row r="306" spans="1:34" s="1423" customFormat="1" ht="18.75" hidden="1" customHeight="1">
      <c r="A306" s="1539" t="s">
        <v>324</v>
      </c>
      <c r="B306" s="1539" t="s">
        <v>325</v>
      </c>
      <c r="C306" s="302"/>
      <c r="D306" s="2567"/>
      <c r="E306" s="2352"/>
      <c r="F306" s="2491" t="str">
        <f>INDEX(PT_DIFFERENTIATION_VTAR,MATCH(A306,PT_DIFFERENTIATION_VTAR_ID,0))</f>
        <v>Тариф на подвоз воды</v>
      </c>
      <c r="G306" s="2562" t="str">
        <f>INDEX(PT_DIFFERENTIATION_NTAR,MATCH(B306,PT_DIFFERENTIATION_NTAR_ID,0))</f>
        <v/>
      </c>
      <c r="H306" s="1618"/>
      <c r="I306" s="1498"/>
      <c r="J306" s="1532"/>
      <c r="K306" s="1537"/>
      <c r="L306" s="1618" t="s">
        <v>390</v>
      </c>
      <c r="M306" s="275"/>
      <c r="N306" s="268"/>
      <c r="O306" s="1412"/>
      <c r="P306" s="1412"/>
      <c r="AH306" s="1419">
        <v>0</v>
      </c>
    </row>
    <row r="307" spans="1:34" s="1423" customFormat="1" ht="18.75" hidden="1" customHeight="1">
      <c r="A307" s="1539"/>
      <c r="B307" s="1539"/>
      <c r="C307" s="302" t="s">
        <v>1227</v>
      </c>
      <c r="D307" s="2567"/>
      <c r="E307" s="2352"/>
      <c r="F307" s="2491"/>
      <c r="G307" s="2562"/>
      <c r="H307" s="1288"/>
      <c r="I307" s="582" t="s">
        <v>1226</v>
      </c>
      <c r="J307" s="503"/>
      <c r="K307" s="1288"/>
      <c r="L307" s="148"/>
      <c r="M307" s="275"/>
      <c r="N307" s="268"/>
      <c r="O307" s="1412"/>
      <c r="P307" s="1412"/>
      <c r="AH307" s="1419">
        <v>0</v>
      </c>
    </row>
    <row r="308" spans="1:34" s="1423" customFormat="1" ht="0.75" hidden="1" customHeight="1">
      <c r="A308" s="1539"/>
      <c r="B308" s="1539"/>
      <c r="C308" s="302" t="s">
        <v>1234</v>
      </c>
      <c r="D308" s="2567"/>
      <c r="E308" s="2352"/>
      <c r="F308" s="2491"/>
      <c r="G308" s="333"/>
      <c r="H308" s="1288"/>
      <c r="I308" s="582"/>
      <c r="J308" s="503"/>
      <c r="K308" s="1288"/>
      <c r="L308" s="148"/>
      <c r="M308" s="275"/>
      <c r="N308" s="268"/>
      <c r="O308" s="1412"/>
      <c r="P308" s="1412"/>
      <c r="AH308" s="1419">
        <v>0</v>
      </c>
    </row>
    <row r="309" spans="1:34" s="1423" customFormat="1" ht="18.75" hidden="1" customHeight="1">
      <c r="A309" s="1539" t="s">
        <v>329</v>
      </c>
      <c r="B309" s="1539" t="s">
        <v>330</v>
      </c>
      <c r="C309" s="302"/>
      <c r="D309" s="2567"/>
      <c r="E309" s="2352"/>
      <c r="F309" s="249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62" t="str">
        <f>INDEX(PT_DIFFERENTIATION_NTAR,MATCH(B309,PT_DIFFERENTIATION_NTAR_ID,0))</f>
        <v/>
      </c>
      <c r="H309" s="1618"/>
      <c r="I309" s="1498"/>
      <c r="J309" s="1532"/>
      <c r="K309" s="1537"/>
      <c r="L309" s="1618" t="s">
        <v>390</v>
      </c>
      <c r="M309" s="275"/>
      <c r="N309" s="268"/>
      <c r="O309" s="1412"/>
      <c r="P309" s="1412"/>
      <c r="AH309" s="1419">
        <v>0</v>
      </c>
    </row>
    <row r="310" spans="1:34" s="1423" customFormat="1" ht="18.75" hidden="1" customHeight="1">
      <c r="A310" s="1539"/>
      <c r="B310" s="1539"/>
      <c r="C310" s="302" t="s">
        <v>1227</v>
      </c>
      <c r="D310" s="2567"/>
      <c r="E310" s="2352"/>
      <c r="F310" s="2491"/>
      <c r="G310" s="2562"/>
      <c r="H310" s="1288"/>
      <c r="I310" s="582" t="s">
        <v>1226</v>
      </c>
      <c r="J310" s="503"/>
      <c r="K310" s="1288"/>
      <c r="L310" s="148"/>
      <c r="M310" s="275"/>
      <c r="N310" s="268"/>
      <c r="O310" s="1412"/>
      <c r="P310" s="1412"/>
      <c r="AH310" s="1419">
        <v>0</v>
      </c>
    </row>
    <row r="311" spans="1:34" s="1423" customFormat="1" ht="0.75" hidden="1" customHeight="1">
      <c r="A311" s="1539"/>
      <c r="B311" s="1539"/>
      <c r="C311" s="302" t="s">
        <v>1234</v>
      </c>
      <c r="D311" s="2567"/>
      <c r="E311" s="2352"/>
      <c r="F311" s="2491"/>
      <c r="G311" s="333"/>
      <c r="H311" s="1288"/>
      <c r="I311" s="582"/>
      <c r="J311" s="503"/>
      <c r="K311" s="1288"/>
      <c r="L311" s="148"/>
      <c r="M311" s="275"/>
      <c r="N311" s="268"/>
      <c r="O311" s="1412"/>
      <c r="P311" s="1412"/>
      <c r="AH311" s="1419">
        <v>0</v>
      </c>
    </row>
    <row r="312" spans="1:34" s="1423" customFormat="1" ht="18.75" hidden="1" customHeight="1">
      <c r="A312" s="1539" t="s">
        <v>334</v>
      </c>
      <c r="B312" s="1539" t="s">
        <v>335</v>
      </c>
      <c r="C312" s="302"/>
      <c r="D312" s="2567"/>
      <c r="E312" s="2352"/>
      <c r="F312" s="2491" t="str">
        <f>INDEX(PT_DIFFERENTIATION_VTAR,MATCH(A312,PT_DIFFERENTIATION_VTAR_ID,0))</f>
        <v>Тариф на горячую воду (горячее водоснабжение)</v>
      </c>
      <c r="G312" s="2562" t="str">
        <f>INDEX(PT_DIFFERENTIATION_NTAR,MATCH(B312,PT_DIFFERENTIATION_NTAR_ID,0))</f>
        <v/>
      </c>
      <c r="H312" s="1618"/>
      <c r="I312" s="1498"/>
      <c r="J312" s="1532"/>
      <c r="K312" s="1537"/>
      <c r="L312" s="1618" t="s">
        <v>390</v>
      </c>
      <c r="M312" s="275"/>
      <c r="N312" s="268"/>
      <c r="O312" s="1412"/>
      <c r="P312" s="1412"/>
      <c r="AH312" s="1419">
        <v>0</v>
      </c>
    </row>
    <row r="313" spans="1:34" s="1423" customFormat="1" ht="18.75" hidden="1" customHeight="1">
      <c r="A313" s="1539"/>
      <c r="B313" s="1539"/>
      <c r="C313" s="302" t="s">
        <v>1227</v>
      </c>
      <c r="D313" s="2567"/>
      <c r="E313" s="2352"/>
      <c r="F313" s="2491"/>
      <c r="G313" s="2562"/>
      <c r="H313" s="1288"/>
      <c r="I313" s="582" t="s">
        <v>1226</v>
      </c>
      <c r="J313" s="503"/>
      <c r="K313" s="1288"/>
      <c r="L313" s="148"/>
      <c r="M313" s="275"/>
      <c r="N313" s="268"/>
      <c r="O313" s="1412"/>
      <c r="P313" s="1412"/>
      <c r="AH313" s="1419">
        <v>0</v>
      </c>
    </row>
    <row r="314" spans="1:34" s="1423" customFormat="1" ht="0.75" hidden="1" customHeight="1">
      <c r="A314" s="1539"/>
      <c r="B314" s="1539"/>
      <c r="C314" s="302" t="s">
        <v>1234</v>
      </c>
      <c r="D314" s="2567"/>
      <c r="E314" s="2352"/>
      <c r="F314" s="2491"/>
      <c r="G314" s="333"/>
      <c r="H314" s="1288"/>
      <c r="I314" s="582"/>
      <c r="J314" s="503"/>
      <c r="K314" s="1288"/>
      <c r="L314" s="148"/>
      <c r="M314" s="275"/>
      <c r="N314" s="268"/>
      <c r="O314" s="1412"/>
      <c r="P314" s="1412"/>
      <c r="AH314" s="1419">
        <v>0</v>
      </c>
    </row>
    <row r="315" spans="1:34" s="1423" customFormat="1" ht="18.75" hidden="1" customHeight="1">
      <c r="A315" s="1539" t="s">
        <v>339</v>
      </c>
      <c r="B315" s="1539" t="s">
        <v>340</v>
      </c>
      <c r="C315" s="302"/>
      <c r="D315" s="2567"/>
      <c r="E315" s="2352"/>
      <c r="F315" s="2491" t="str">
        <f>INDEX(PT_DIFFERENTIATION_VTAR,MATCH(A315,PT_DIFFERENTIATION_VTAR_ID,0))</f>
        <v>Тариф на транспортировку горячей воды</v>
      </c>
      <c r="G315" s="2562" t="str">
        <f>INDEX(PT_DIFFERENTIATION_NTAR,MATCH(B315,PT_DIFFERENTIATION_NTAR_ID,0))</f>
        <v/>
      </c>
      <c r="H315" s="1618"/>
      <c r="I315" s="1498"/>
      <c r="J315" s="1532"/>
      <c r="K315" s="1537"/>
      <c r="L315" s="1618" t="s">
        <v>390</v>
      </c>
      <c r="M315" s="275"/>
      <c r="N315" s="268"/>
      <c r="O315" s="1412"/>
      <c r="P315" s="1412"/>
      <c r="AH315" s="1419">
        <v>0</v>
      </c>
    </row>
    <row r="316" spans="1:34" s="1423" customFormat="1" ht="18.75" hidden="1" customHeight="1">
      <c r="A316" s="1539"/>
      <c r="B316" s="1539"/>
      <c r="C316" s="302" t="s">
        <v>1227</v>
      </c>
      <c r="D316" s="2567"/>
      <c r="E316" s="2352"/>
      <c r="F316" s="2491"/>
      <c r="G316" s="2562"/>
      <c r="H316" s="1288"/>
      <c r="I316" s="582" t="s">
        <v>1226</v>
      </c>
      <c r="J316" s="503"/>
      <c r="K316" s="1288"/>
      <c r="L316" s="148"/>
      <c r="M316" s="275"/>
      <c r="N316" s="268"/>
      <c r="O316" s="1412"/>
      <c r="P316" s="1412"/>
      <c r="AH316" s="1419">
        <v>0</v>
      </c>
    </row>
    <row r="317" spans="1:34" s="1423" customFormat="1" ht="0.75" hidden="1" customHeight="1">
      <c r="A317" s="1539"/>
      <c r="B317" s="1539"/>
      <c r="C317" s="302" t="s">
        <v>1234</v>
      </c>
      <c r="D317" s="2567"/>
      <c r="E317" s="2352"/>
      <c r="F317" s="2491"/>
      <c r="G317" s="333"/>
      <c r="H317" s="1288"/>
      <c r="I317" s="582"/>
      <c r="J317" s="503"/>
      <c r="K317" s="1288"/>
      <c r="L317" s="148"/>
      <c r="M317" s="275"/>
      <c r="N317" s="268"/>
      <c r="O317" s="1412"/>
      <c r="P317" s="1412"/>
      <c r="AH317" s="1419">
        <v>0</v>
      </c>
    </row>
    <row r="318" spans="1:34" s="1423" customFormat="1" ht="18.75" hidden="1" customHeight="1">
      <c r="A318" s="1539" t="s">
        <v>344</v>
      </c>
      <c r="B318" s="1539" t="s">
        <v>345</v>
      </c>
      <c r="C318" s="302"/>
      <c r="D318" s="2567"/>
      <c r="E318" s="2352"/>
      <c r="F318" s="249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62" t="str">
        <f>INDEX(PT_DIFFERENTIATION_NTAR,MATCH(B318,PT_DIFFERENTIATION_NTAR_ID,0))</f>
        <v/>
      </c>
      <c r="H318" s="1618"/>
      <c r="I318" s="1498"/>
      <c r="J318" s="1532"/>
      <c r="K318" s="1537"/>
      <c r="L318" s="1618" t="s">
        <v>390</v>
      </c>
      <c r="M318" s="275"/>
      <c r="N318" s="268"/>
      <c r="O318" s="1412"/>
      <c r="P318" s="1412"/>
      <c r="AH318" s="1419">
        <v>0</v>
      </c>
    </row>
    <row r="319" spans="1:34" s="1423" customFormat="1" ht="18.75" hidden="1" customHeight="1">
      <c r="A319" s="1539"/>
      <c r="B319" s="1539"/>
      <c r="C319" s="302" t="s">
        <v>1227</v>
      </c>
      <c r="D319" s="2567"/>
      <c r="E319" s="2352"/>
      <c r="F319" s="2491"/>
      <c r="G319" s="2562"/>
      <c r="H319" s="1288"/>
      <c r="I319" s="582" t="s">
        <v>1226</v>
      </c>
      <c r="J319" s="503"/>
      <c r="K319" s="1288"/>
      <c r="L319" s="148"/>
      <c r="M319" s="275"/>
      <c r="N319" s="268"/>
      <c r="O319" s="1412"/>
      <c r="P319" s="1412"/>
      <c r="AH319" s="1419">
        <v>0</v>
      </c>
    </row>
    <row r="320" spans="1:34" s="1423" customFormat="1" ht="0.75" hidden="1" customHeight="1">
      <c r="A320" s="1539"/>
      <c r="B320" s="1539"/>
      <c r="C320" s="302" t="s">
        <v>1234</v>
      </c>
      <c r="D320" s="2567"/>
      <c r="E320" s="2352"/>
      <c r="F320" s="2491"/>
      <c r="G320" s="333"/>
      <c r="H320" s="1288"/>
      <c r="I320" s="582"/>
      <c r="J320" s="503"/>
      <c r="K320" s="1288"/>
      <c r="L320" s="148"/>
      <c r="M320" s="275"/>
      <c r="N320" s="268"/>
      <c r="O320" s="1412"/>
      <c r="P320" s="1412"/>
      <c r="AH320" s="1419">
        <v>0</v>
      </c>
    </row>
    <row r="321" spans="1:34" s="1423" customFormat="1" ht="18.75" hidden="1" customHeight="1">
      <c r="A321" s="1539" t="s">
        <v>349</v>
      </c>
      <c r="B321" s="1539" t="s">
        <v>350</v>
      </c>
      <c r="C321" s="302"/>
      <c r="D321" s="2567"/>
      <c r="E321" s="2352"/>
      <c r="F321" s="2491" t="str">
        <f>INDEX(PT_DIFFERENTIATION_VTAR,MATCH(A321,PT_DIFFERENTIATION_VTAR_ID,0))</f>
        <v>Тариф на водоотведение</v>
      </c>
      <c r="G321" s="2562" t="str">
        <f>INDEX(PT_DIFFERENTIATION_NTAR,MATCH(B321,PT_DIFFERENTIATION_NTAR_ID,0))</f>
        <v/>
      </c>
      <c r="H321" s="1618"/>
      <c r="I321" s="1498"/>
      <c r="J321" s="1532"/>
      <c r="K321" s="1537"/>
      <c r="L321" s="1618" t="s">
        <v>390</v>
      </c>
      <c r="M321" s="275"/>
      <c r="N321" s="268"/>
      <c r="O321" s="1412"/>
      <c r="P321" s="1412"/>
      <c r="AH321" s="1419">
        <v>0</v>
      </c>
    </row>
    <row r="322" spans="1:34" s="1423" customFormat="1" ht="18.75" hidden="1" customHeight="1">
      <c r="A322" s="1539"/>
      <c r="B322" s="1539"/>
      <c r="C322" s="302" t="s">
        <v>1227</v>
      </c>
      <c r="D322" s="2567"/>
      <c r="E322" s="2352"/>
      <c r="F322" s="2491"/>
      <c r="G322" s="2562"/>
      <c r="H322" s="1288"/>
      <c r="I322" s="582" t="s">
        <v>1226</v>
      </c>
      <c r="J322" s="503"/>
      <c r="K322" s="1288"/>
      <c r="L322" s="148"/>
      <c r="M322" s="275"/>
      <c r="N322" s="268"/>
      <c r="O322" s="1412"/>
      <c r="P322" s="1412"/>
      <c r="AH322" s="1419">
        <v>0</v>
      </c>
    </row>
    <row r="323" spans="1:34" s="1423" customFormat="1" ht="0.75" hidden="1" customHeight="1">
      <c r="A323" s="1539"/>
      <c r="B323" s="1539"/>
      <c r="C323" s="302" t="s">
        <v>1234</v>
      </c>
      <c r="D323" s="2567"/>
      <c r="E323" s="2352"/>
      <c r="F323" s="2491"/>
      <c r="G323" s="333"/>
      <c r="H323" s="1288"/>
      <c r="I323" s="582"/>
      <c r="J323" s="503"/>
      <c r="K323" s="1288"/>
      <c r="L323" s="148"/>
      <c r="M323" s="275"/>
      <c r="N323" s="268"/>
      <c r="O323" s="1412"/>
      <c r="P323" s="1412"/>
      <c r="AH323" s="1419">
        <v>0</v>
      </c>
    </row>
    <row r="324" spans="1:34" s="1423" customFormat="1" ht="18.75" hidden="1" customHeight="1">
      <c r="A324" s="1539" t="s">
        <v>354</v>
      </c>
      <c r="B324" s="1539" t="s">
        <v>355</v>
      </c>
      <c r="C324" s="302"/>
      <c r="D324" s="2567"/>
      <c r="E324" s="2352"/>
      <c r="F324" s="2491" t="str">
        <f>INDEX(PT_DIFFERENTIATION_VTAR,MATCH(A324,PT_DIFFERENTIATION_VTAR_ID,0))</f>
        <v>Тариф на транспортировку сточных вод</v>
      </c>
      <c r="G324" s="2562" t="str">
        <f>INDEX(PT_DIFFERENTIATION_NTAR,MATCH(B324,PT_DIFFERENTIATION_NTAR_ID,0))</f>
        <v/>
      </c>
      <c r="H324" s="1618"/>
      <c r="I324" s="1498"/>
      <c r="J324" s="1532"/>
      <c r="K324" s="1537"/>
      <c r="L324" s="1618" t="s">
        <v>390</v>
      </c>
      <c r="M324" s="275"/>
      <c r="N324" s="268"/>
      <c r="O324" s="1412"/>
      <c r="P324" s="1412"/>
      <c r="AH324" s="1419">
        <v>0</v>
      </c>
    </row>
    <row r="325" spans="1:34" s="1423" customFormat="1" ht="18.75" hidden="1" customHeight="1">
      <c r="A325" s="1539"/>
      <c r="B325" s="1539"/>
      <c r="C325" s="302" t="s">
        <v>1227</v>
      </c>
      <c r="D325" s="2567"/>
      <c r="E325" s="2352"/>
      <c r="F325" s="2491"/>
      <c r="G325" s="2562"/>
      <c r="H325" s="1288"/>
      <c r="I325" s="582" t="s">
        <v>1226</v>
      </c>
      <c r="J325" s="503"/>
      <c r="K325" s="1288"/>
      <c r="L325" s="148"/>
      <c r="M325" s="275"/>
      <c r="N325" s="268"/>
      <c r="O325" s="1412"/>
      <c r="P325" s="1412"/>
      <c r="AH325" s="1419">
        <v>0</v>
      </c>
    </row>
    <row r="326" spans="1:34" s="1423" customFormat="1" ht="0.75" hidden="1" customHeight="1">
      <c r="A326" s="1539"/>
      <c r="B326" s="1539"/>
      <c r="C326" s="302" t="s">
        <v>1234</v>
      </c>
      <c r="D326" s="2567"/>
      <c r="E326" s="2352"/>
      <c r="F326" s="2491"/>
      <c r="G326" s="333"/>
      <c r="H326" s="1288"/>
      <c r="I326" s="582"/>
      <c r="J326" s="503"/>
      <c r="K326" s="1288"/>
      <c r="L326" s="148"/>
      <c r="M326" s="275"/>
      <c r="N326" s="268"/>
      <c r="O326" s="1412"/>
      <c r="P326" s="1412"/>
      <c r="AH326" s="1419">
        <v>0</v>
      </c>
    </row>
    <row r="327" spans="1:34" s="1423" customFormat="1" ht="18.75" hidden="1" customHeight="1">
      <c r="A327" s="1539" t="s">
        <v>359</v>
      </c>
      <c r="B327" s="1539" t="s">
        <v>360</v>
      </c>
      <c r="C327" s="302"/>
      <c r="D327" s="2567"/>
      <c r="E327" s="2352"/>
      <c r="F327" s="2491" t="str">
        <f>INDEX(PT_DIFFERENTIATION_VTAR,MATCH(A327,PT_DIFFERENTIATION_VTAR_ID,0))</f>
        <v>Тариф на подключение (технологическое присоединение) к централизованной системе водоотведения</v>
      </c>
      <c r="G327" s="2562" t="str">
        <f>INDEX(PT_DIFFERENTIATION_NTAR,MATCH(B327,PT_DIFFERENTIATION_NTAR_ID,0))</f>
        <v/>
      </c>
      <c r="H327" s="1618"/>
      <c r="I327" s="1498"/>
      <c r="J327" s="1532"/>
      <c r="K327" s="1537"/>
      <c r="L327" s="1618" t="s">
        <v>390</v>
      </c>
      <c r="M327" s="275"/>
      <c r="N327" s="268"/>
      <c r="O327" s="1412"/>
      <c r="P327" s="1412"/>
      <c r="AH327" s="1419">
        <v>0</v>
      </c>
    </row>
    <row r="328" spans="1:34" s="1423" customFormat="1" ht="18.75" hidden="1" customHeight="1">
      <c r="A328" s="1539"/>
      <c r="B328" s="1539"/>
      <c r="C328" s="302" t="s">
        <v>1227</v>
      </c>
      <c r="D328" s="2567"/>
      <c r="E328" s="2352"/>
      <c r="F328" s="2491"/>
      <c r="G328" s="2562"/>
      <c r="H328" s="1288"/>
      <c r="I328" s="582" t="s">
        <v>1226</v>
      </c>
      <c r="J328" s="503"/>
      <c r="K328" s="1288"/>
      <c r="L328" s="148"/>
      <c r="M328" s="275"/>
      <c r="N328" s="268"/>
      <c r="O328" s="1412"/>
      <c r="P328" s="1412"/>
      <c r="AH328" s="1419">
        <v>0</v>
      </c>
    </row>
    <row r="329" spans="1:34" s="1423" customFormat="1" ht="1.1499999999999999" customHeight="1">
      <c r="A329" s="1539"/>
      <c r="B329" s="1539"/>
      <c r="C329" s="302" t="s">
        <v>1234</v>
      </c>
      <c r="D329" s="2567"/>
      <c r="E329" s="2352"/>
      <c r="F329" s="2491"/>
      <c r="G329" s="333"/>
      <c r="H329" s="1288"/>
      <c r="I329" s="582"/>
      <c r="J329" s="503"/>
      <c r="K329" s="1288"/>
      <c r="L329" s="148"/>
      <c r="M329" s="275"/>
      <c r="N329" s="268"/>
      <c r="O329" s="1412"/>
      <c r="P329" s="1412"/>
      <c r="AH329" s="1419">
        <v>1</v>
      </c>
    </row>
    <row r="330" spans="1:34" s="1581" customFormat="1" ht="3" customHeight="1">
      <c r="A330" s="1539"/>
      <c r="B330" s="1539"/>
      <c r="C330" s="1540"/>
      <c r="E330" s="335"/>
      <c r="F330" s="335"/>
      <c r="G330" s="335"/>
      <c r="H330" s="335"/>
      <c r="I330" s="335"/>
      <c r="J330" s="335"/>
      <c r="K330" s="335"/>
      <c r="L330" s="335"/>
      <c r="M330" s="335"/>
      <c r="O330" s="130"/>
      <c r="P330" s="130"/>
      <c r="AH330" s="76">
        <v>3</v>
      </c>
    </row>
    <row r="331" spans="1:34" ht="26.25" customHeight="1">
      <c r="E331" s="136"/>
      <c r="F331" s="2394"/>
      <c r="G331" s="2394"/>
      <c r="H331" s="2394"/>
      <c r="I331" s="2394"/>
      <c r="J331" s="2394"/>
      <c r="K331" s="2394"/>
      <c r="L331" s="2394"/>
      <c r="M331" s="2394"/>
      <c r="AH331" s="307">
        <v>25</v>
      </c>
    </row>
    <row r="332" spans="1:34" ht="14.25" hidden="1" customHeight="1">
      <c r="A332" s="1538" t="s">
        <v>69</v>
      </c>
      <c r="B332" s="1538">
        <v>0</v>
      </c>
      <c r="C332" s="302">
        <v>0</v>
      </c>
      <c r="D332" s="278">
        <v>3</v>
      </c>
      <c r="E332" s="307">
        <v>6</v>
      </c>
      <c r="F332" s="307">
        <v>46</v>
      </c>
      <c r="G332" s="307">
        <v>35</v>
      </c>
      <c r="H332" s="307">
        <v>3</v>
      </c>
      <c r="I332" s="307">
        <v>11</v>
      </c>
      <c r="J332" s="307">
        <v>11</v>
      </c>
      <c r="K332" s="307">
        <v>35</v>
      </c>
      <c r="L332" s="307">
        <v>35</v>
      </c>
      <c r="M332" s="307">
        <v>84</v>
      </c>
      <c r="N332" s="307">
        <v>10</v>
      </c>
      <c r="O332" s="283">
        <v>10</v>
      </c>
      <c r="P332" s="283">
        <v>10</v>
      </c>
      <c r="Q332" s="307">
        <v>10</v>
      </c>
      <c r="R332" s="307">
        <v>10</v>
      </c>
      <c r="S332" s="307">
        <v>10</v>
      </c>
      <c r="T332" s="307">
        <v>10</v>
      </c>
      <c r="U332" s="307">
        <v>10</v>
      </c>
      <c r="V332" s="307">
        <v>10</v>
      </c>
      <c r="W332" s="307">
        <v>10</v>
      </c>
      <c r="X332" s="307">
        <v>10</v>
      </c>
      <c r="Y332" s="307">
        <v>10</v>
      </c>
      <c r="Z332" s="307">
        <v>10</v>
      </c>
      <c r="AA332" s="307">
        <v>10</v>
      </c>
      <c r="AB332" s="307">
        <v>10</v>
      </c>
      <c r="AC332" s="307">
        <v>10</v>
      </c>
      <c r="AD332" s="307">
        <v>10</v>
      </c>
      <c r="AE332" s="307">
        <v>10</v>
      </c>
      <c r="AF332" s="307">
        <v>10</v>
      </c>
      <c r="AG332" s="307">
        <v>10</v>
      </c>
      <c r="AH332" s="307">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1857" hidden="1" customWidth="1"/>
    <col min="2" max="2" width="9.140625" style="1154" hidden="1" customWidth="1"/>
    <col min="3" max="3" width="3" style="278" customWidth="1"/>
    <col min="4" max="4" width="6" style="1423" customWidth="1"/>
    <col min="5" max="5" width="53" style="1423" customWidth="1"/>
    <col min="6" max="7" width="35" style="1423" customWidth="1"/>
    <col min="8" max="8" width="89" style="1423" customWidth="1"/>
    <col min="9" max="9" width="10" style="1423" customWidth="1"/>
    <col min="10" max="11" width="10" style="1412" customWidth="1"/>
    <col min="12" max="17" width="10" style="1423" customWidth="1"/>
    <col min="18" max="18" width="10.5703125" style="1423" hidden="1"/>
  </cols>
  <sheetData>
    <row r="1" spans="1:18" ht="22.5" hidden="1" customHeight="1">
      <c r="N1" s="189"/>
      <c r="O1" s="189"/>
      <c r="Q1" s="189"/>
      <c r="R1" s="307" t="s">
        <v>1</v>
      </c>
    </row>
    <row r="2" spans="1:18" s="1423" customFormat="1" ht="18.75" hidden="1" customHeight="1">
      <c r="A2" s="40"/>
      <c r="B2" s="961"/>
      <c r="C2" s="1489" t="s">
        <v>90</v>
      </c>
      <c r="D2" s="1460"/>
      <c r="E2" s="1469"/>
      <c r="F2" s="191"/>
      <c r="G2" s="962"/>
      <c r="H2" s="307"/>
      <c r="I2" s="1412"/>
      <c r="J2" s="1412"/>
      <c r="R2" s="1419">
        <v>0</v>
      </c>
    </row>
    <row r="3" spans="1:18" ht="14.25" hidden="1" customHeight="1">
      <c r="R3" s="307">
        <v>0</v>
      </c>
    </row>
    <row r="4" spans="1:18" ht="6.4" customHeight="1">
      <c r="C4" s="309"/>
      <c r="D4" s="296"/>
      <c r="E4" s="296"/>
      <c r="F4" s="296"/>
      <c r="G4" s="23"/>
      <c r="H4" s="23"/>
      <c r="R4" s="307">
        <v>6</v>
      </c>
    </row>
    <row r="5" spans="1:18" ht="34.5" customHeight="1">
      <c r="C5" s="309"/>
      <c r="D5" s="231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319"/>
      <c r="F5" s="2319"/>
      <c r="G5" s="2320"/>
      <c r="H5" s="200"/>
      <c r="R5" s="307">
        <v>33</v>
      </c>
    </row>
    <row r="6" spans="1:18" s="1423" customFormat="1" ht="18" customHeight="1">
      <c r="A6" s="1456"/>
      <c r="B6" s="961"/>
      <c r="C6" s="309"/>
      <c r="D6" s="2371" t="str">
        <f>IF(org=0,"Не определено",org)</f>
        <v>ООО "Смоленскрегионтеплоэнерго"</v>
      </c>
      <c r="E6" s="2372"/>
      <c r="F6" s="2372"/>
      <c r="G6" s="2373"/>
      <c r="H6" s="200"/>
      <c r="J6" s="1412"/>
      <c r="K6" s="1412"/>
      <c r="R6" s="1419">
        <v>17</v>
      </c>
    </row>
    <row r="7" spans="1:18" ht="14.65" customHeight="1">
      <c r="C7" s="309"/>
      <c r="D7" s="296"/>
      <c r="E7" s="322"/>
      <c r="F7" s="322"/>
      <c r="G7" s="659"/>
      <c r="H7" s="127"/>
      <c r="R7" s="307">
        <v>14</v>
      </c>
    </row>
    <row r="8" spans="1:18" ht="14.65" customHeight="1">
      <c r="C8" s="309"/>
      <c r="D8" s="2357" t="s">
        <v>384</v>
      </c>
      <c r="E8" s="2357"/>
      <c r="F8" s="2357"/>
      <c r="G8" s="2357"/>
      <c r="H8" s="2504" t="s">
        <v>385</v>
      </c>
      <c r="R8" s="307">
        <v>14</v>
      </c>
    </row>
    <row r="9" spans="1:18" ht="24" customHeight="1">
      <c r="C9" s="309"/>
      <c r="D9" s="319" t="s">
        <v>75</v>
      </c>
      <c r="E9" s="45" t="s">
        <v>386</v>
      </c>
      <c r="F9" s="45" t="s">
        <v>387</v>
      </c>
      <c r="G9" s="45" t="s">
        <v>474</v>
      </c>
      <c r="H9" s="2504"/>
      <c r="R9" s="307">
        <v>23</v>
      </c>
    </row>
    <row r="10" spans="1:18" ht="14.65" customHeight="1">
      <c r="A10" s="277"/>
      <c r="C10" s="309"/>
      <c r="D10" s="82" t="s">
        <v>161</v>
      </c>
      <c r="E10" s="163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1"/>
      <c r="G10" s="147"/>
      <c r="H10" s="2312" t="s">
        <v>1235</v>
      </c>
      <c r="R10" s="307">
        <v>14</v>
      </c>
    </row>
    <row r="11" spans="1:18" ht="14.65" customHeight="1">
      <c r="A11" s="277"/>
      <c r="C11" s="309"/>
      <c r="D11" s="82" t="s">
        <v>89</v>
      </c>
      <c r="E11" s="163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1"/>
      <c r="G11" s="147"/>
      <c r="H11" s="2313"/>
      <c r="R11" s="307">
        <v>14</v>
      </c>
    </row>
    <row r="12" spans="1:18" ht="14.65" customHeight="1">
      <c r="A12" s="40"/>
      <c r="C12" s="320"/>
      <c r="D12" s="82" t="s">
        <v>77</v>
      </c>
      <c r="E12" s="321" t="str">
        <f>"Сведения о планировании закупочных процедур"&amp;IF(TEMPLATE_SPHERE="TKO"," &lt;1&gt;","")</f>
        <v>Сведения о планировании закупочных процедур</v>
      </c>
      <c r="F12" s="191"/>
      <c r="G12" s="147"/>
      <c r="H12" s="231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3"/>
      <c r="K12" s="307"/>
      <c r="R12" s="307">
        <v>14</v>
      </c>
    </row>
    <row r="13" spans="1:18" ht="14.65" customHeight="1">
      <c r="A13" s="40"/>
      <c r="C13" s="320"/>
      <c r="D13" s="82" t="s">
        <v>78</v>
      </c>
      <c r="E13" s="321" t="str">
        <f>"Сведения о результатах проведения закупочных процедур"&amp;IF(TEMPLATE_SPHERE="TKO"," &lt;1&gt;","")</f>
        <v>Сведения о результатах проведения закупочных процедур</v>
      </c>
      <c r="F13" s="191"/>
      <c r="G13" s="147"/>
      <c r="H13" s="2313"/>
      <c r="I13" s="283"/>
      <c r="K13" s="307"/>
      <c r="R13" s="307">
        <v>14</v>
      </c>
    </row>
    <row r="14" spans="1:18" ht="14.65" customHeight="1">
      <c r="A14" s="277"/>
      <c r="C14" s="309"/>
      <c r="D14" s="281"/>
      <c r="E14" s="328" t="s">
        <v>406</v>
      </c>
      <c r="F14" s="282"/>
      <c r="G14" s="135"/>
      <c r="H14" s="2314"/>
      <c r="R14" s="307">
        <v>14</v>
      </c>
    </row>
    <row r="15" spans="1:18" s="1423" customFormat="1" ht="14.65" customHeight="1">
      <c r="A15" s="277"/>
      <c r="B15" s="961"/>
      <c r="C15" s="309"/>
      <c r="D15" s="329"/>
      <c r="E15" s="1464"/>
      <c r="F15" s="1465"/>
      <c r="G15" s="1466"/>
      <c r="H15" s="1467"/>
      <c r="J15" s="1412"/>
      <c r="K15" s="1412"/>
      <c r="R15" s="1419">
        <v>14</v>
      </c>
    </row>
    <row r="16" spans="1:18" ht="14.65" customHeight="1">
      <c r="D16" s="1468"/>
      <c r="E16" s="2394"/>
      <c r="F16" s="2394"/>
      <c r="G16" s="2394"/>
      <c r="H16" s="2394"/>
      <c r="R16" s="307">
        <v>14</v>
      </c>
    </row>
    <row r="17" spans="1:18" ht="22.5" hidden="1" customHeight="1">
      <c r="A17" s="297" t="s">
        <v>69</v>
      </c>
      <c r="B17" s="81">
        <v>0</v>
      </c>
      <c r="C17" s="278">
        <v>3</v>
      </c>
      <c r="D17" s="307">
        <v>6</v>
      </c>
      <c r="E17" s="307">
        <v>53</v>
      </c>
      <c r="F17" s="307">
        <v>35</v>
      </c>
      <c r="G17" s="307">
        <v>35</v>
      </c>
      <c r="H17" s="307">
        <v>89</v>
      </c>
      <c r="I17" s="307">
        <v>10</v>
      </c>
      <c r="J17" s="283">
        <v>10</v>
      </c>
      <c r="K17" s="283">
        <v>10</v>
      </c>
      <c r="L17" s="307">
        <v>10</v>
      </c>
      <c r="M17" s="307">
        <v>10</v>
      </c>
      <c r="N17" s="307">
        <v>10</v>
      </c>
      <c r="O17" s="307">
        <v>10</v>
      </c>
      <c r="P17" s="307">
        <v>10</v>
      </c>
      <c r="Q17" s="307">
        <v>10</v>
      </c>
      <c r="R17" s="307">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BJ30"/>
  <sheetViews>
    <sheetView showGridLines="0" zoomScale="90" workbookViewId="0">
      <pane xSplit="8" ySplit="18" topLeftCell="AW19" activePane="bottomRight" state="frozen"/>
      <selection pane="topRight" activeCell="I1" sqref="I1"/>
      <selection pane="bottomLeft" activeCell="A19" sqref="A19"/>
      <selection pane="bottomRight" activeCell="AW8" sqref="AW8"/>
    </sheetView>
  </sheetViews>
  <sheetFormatPr defaultColWidth="10.5703125" defaultRowHeight="15" customHeight="1"/>
  <cols>
    <col min="1" max="1" width="9.140625" style="1420" hidden="1" customWidth="1"/>
    <col min="2" max="2" width="9.140625" style="1423" hidden="1" customWidth="1"/>
    <col min="3" max="3" width="4" style="604" customWidth="1"/>
    <col min="4" max="4" width="6" style="1423" customWidth="1"/>
    <col min="5" max="5" width="47" style="1423" customWidth="1"/>
    <col min="6" max="6" width="9" style="1423" customWidth="1"/>
    <col min="7" max="7" width="25.7109375" style="1423" hidden="1" customWidth="1"/>
    <col min="8" max="8" width="34" style="1423" hidden="1" customWidth="1"/>
    <col min="9" max="9" width="25.7109375" style="1423" customWidth="1"/>
    <col min="10" max="10" width="33" style="1423" customWidth="1"/>
    <col min="11" max="11" width="25.7109375" style="1423" customWidth="1"/>
    <col min="12" max="12" width="34" style="1423" customWidth="1"/>
    <col min="13" max="13" width="25.7109375" style="1423" customWidth="1"/>
    <col min="14" max="14" width="34" style="1423" customWidth="1"/>
    <col min="15" max="15" width="25.7109375" style="1423" customWidth="1"/>
    <col min="16" max="16" width="34" style="1423" customWidth="1"/>
    <col min="17" max="17" width="25.7109375" style="1423" customWidth="1"/>
    <col min="18" max="18" width="34" style="1423" customWidth="1"/>
    <col min="19" max="19" width="25.7109375" style="1423" customWidth="1"/>
    <col min="20" max="20" width="34" style="1423" customWidth="1"/>
    <col min="21" max="21" width="25.7109375" style="1423" customWidth="1"/>
    <col min="22" max="22" width="34" style="1423" customWidth="1"/>
    <col min="23" max="23" width="25.7109375" style="1423" customWidth="1"/>
    <col min="24" max="24" width="34" style="1423" customWidth="1"/>
    <col min="25" max="25" width="25.7109375" style="1423" customWidth="1"/>
    <col min="26" max="26" width="34" style="1423" customWidth="1"/>
    <col min="27" max="27" width="25.7109375" style="1423" customWidth="1"/>
    <col min="28" max="28" width="34" style="1423" customWidth="1"/>
    <col min="29" max="29" width="25.7109375" style="1423" customWidth="1"/>
    <col min="30" max="30" width="34" style="1423" customWidth="1"/>
    <col min="31" max="31" width="25.7109375" style="1423" customWidth="1"/>
    <col min="32" max="32" width="34" style="1423" customWidth="1"/>
    <col min="33" max="33" width="25.7109375" style="1423" customWidth="1"/>
    <col min="34" max="34" width="34" style="1423" customWidth="1"/>
    <col min="35" max="35" width="25.7109375" style="1423" customWidth="1"/>
    <col min="36" max="36" width="34" style="1423" customWidth="1"/>
    <col min="37" max="37" width="25.7109375" style="1423" customWidth="1"/>
    <col min="38" max="38" width="34" style="1423" customWidth="1"/>
    <col min="39" max="39" width="25.7109375" style="1423" customWidth="1"/>
    <col min="40" max="40" width="34" style="1423" customWidth="1"/>
    <col min="41" max="41" width="25.7109375" style="1423" customWidth="1"/>
    <col min="42" max="42" width="34" style="1423" customWidth="1"/>
    <col min="43" max="43" width="25.7109375" style="1423" customWidth="1"/>
    <col min="44" max="44" width="34" style="1423" customWidth="1"/>
    <col min="45" max="45" width="25.7109375" style="1423" customWidth="1"/>
    <col min="46" max="46" width="34" style="1423" customWidth="1"/>
    <col min="47" max="47" width="25.7109375" style="1423" customWidth="1"/>
    <col min="48" max="48" width="34" style="1423" customWidth="1"/>
    <col min="49" max="49" width="25.7109375" style="1423" customWidth="1"/>
    <col min="50" max="50" width="34" style="1423" customWidth="1"/>
    <col min="51" max="51" width="50" style="1154" customWidth="1"/>
    <col min="52" max="60" width="10" style="1423" customWidth="1"/>
    <col min="61" max="61" width="10" style="596" customWidth="1"/>
    <col min="62" max="62" width="10.5703125" style="1423" hidden="1"/>
  </cols>
  <sheetData>
    <row r="1" spans="1:62" s="1154" customFormat="1" ht="22.5" hidden="1" customHeight="1">
      <c r="C1" s="593"/>
      <c r="G1" s="350">
        <v>4</v>
      </c>
      <c r="I1" s="350">
        <v>4</v>
      </c>
      <c r="K1" s="1154">
        <v>4</v>
      </c>
      <c r="M1" s="1154">
        <v>4</v>
      </c>
      <c r="O1" s="1154">
        <v>4</v>
      </c>
      <c r="Q1" s="1154">
        <v>4</v>
      </c>
      <c r="S1" s="1154">
        <v>4</v>
      </c>
      <c r="U1" s="1154">
        <v>4</v>
      </c>
      <c r="W1" s="1154">
        <v>4</v>
      </c>
      <c r="Y1" s="1154">
        <v>4</v>
      </c>
      <c r="AA1" s="1154">
        <v>4</v>
      </c>
      <c r="AC1" s="1154">
        <v>4</v>
      </c>
      <c r="AE1" s="1154">
        <v>4</v>
      </c>
      <c r="AG1" s="1154">
        <v>4</v>
      </c>
      <c r="AI1" s="1154">
        <v>4</v>
      </c>
      <c r="AK1" s="1154">
        <v>4</v>
      </c>
      <c r="AM1" s="1154">
        <v>4</v>
      </c>
      <c r="AO1" s="1154">
        <v>4</v>
      </c>
      <c r="AQ1" s="1154">
        <v>4</v>
      </c>
      <c r="AS1" s="1154">
        <v>4</v>
      </c>
      <c r="AU1" s="1154">
        <v>4</v>
      </c>
      <c r="AW1" s="1154">
        <v>4</v>
      </c>
      <c r="BI1" s="353"/>
      <c r="BJ1" s="350" t="s">
        <v>1</v>
      </c>
    </row>
    <row r="2" spans="1:62" s="1423" customFormat="1" ht="15" hidden="1" customHeight="1">
      <c r="A2" s="295"/>
      <c r="C2" s="110"/>
      <c r="D2" s="280"/>
      <c r="E2" s="594"/>
      <c r="F2" s="455"/>
      <c r="G2" s="547"/>
      <c r="H2" s="547"/>
      <c r="I2" s="547"/>
      <c r="J2" s="547"/>
      <c r="K2" s="547"/>
      <c r="L2" s="547"/>
      <c r="M2" s="547"/>
      <c r="N2" s="547"/>
      <c r="O2" s="547"/>
      <c r="P2" s="547"/>
      <c r="Q2" s="547"/>
      <c r="R2" s="547"/>
      <c r="S2" s="547"/>
      <c r="T2" s="547"/>
      <c r="U2" s="547"/>
      <c r="V2" s="547"/>
      <c r="W2" s="547"/>
      <c r="X2" s="547"/>
      <c r="Y2" s="547"/>
      <c r="Z2" s="547"/>
      <c r="AA2" s="547"/>
      <c r="AB2" s="547"/>
      <c r="AC2" s="547"/>
      <c r="AD2" s="547"/>
      <c r="AE2" s="547"/>
      <c r="AF2" s="547"/>
      <c r="AG2" s="547"/>
      <c r="AH2" s="547"/>
      <c r="AI2" s="547"/>
      <c r="AJ2" s="547"/>
      <c r="AK2" s="547"/>
      <c r="AL2" s="547"/>
      <c r="AM2" s="547"/>
      <c r="AN2" s="547"/>
      <c r="AO2" s="547"/>
      <c r="AP2" s="547"/>
      <c r="AQ2" s="547"/>
      <c r="AR2" s="547"/>
      <c r="AS2" s="547"/>
      <c r="AT2" s="547"/>
      <c r="AU2" s="547"/>
      <c r="AV2" s="547"/>
      <c r="AW2" s="547"/>
      <c r="AX2" s="547"/>
      <c r="BI2" s="595"/>
      <c r="BJ2" s="442">
        <v>0</v>
      </c>
    </row>
    <row r="3" spans="1:62" s="1154" customFormat="1" ht="15" hidden="1" customHeight="1">
      <c r="C3" s="593"/>
      <c r="BI3" s="353"/>
      <c r="BJ3" s="350">
        <v>0</v>
      </c>
    </row>
    <row r="4" spans="1:62" ht="15.75" customHeight="1">
      <c r="C4" s="110"/>
      <c r="D4" s="442"/>
      <c r="E4" s="442"/>
      <c r="F4" s="442"/>
      <c r="G4" s="442"/>
      <c r="H4" s="442"/>
      <c r="I4" s="442"/>
      <c r="J4" s="442"/>
      <c r="BJ4" s="438">
        <v>15</v>
      </c>
    </row>
    <row r="5" spans="1:62" ht="66" customHeight="1">
      <c r="C5" s="110"/>
      <c r="D5" s="2376" t="s">
        <v>1236</v>
      </c>
      <c r="E5" s="2376"/>
      <c r="F5" s="2376"/>
      <c r="G5" s="2376"/>
      <c r="H5" s="2376"/>
      <c r="I5" s="2376"/>
      <c r="J5" s="2376"/>
      <c r="K5" s="1846"/>
      <c r="L5" s="1846"/>
      <c r="M5" s="1846"/>
      <c r="N5" s="1846"/>
      <c r="O5" s="1846"/>
      <c r="P5" s="1846"/>
      <c r="Q5" s="1846"/>
      <c r="R5" s="1846"/>
      <c r="S5" s="1846"/>
      <c r="T5" s="1846"/>
      <c r="U5" s="1846"/>
      <c r="V5" s="1846"/>
      <c r="W5" s="1846"/>
      <c r="X5" s="1846"/>
      <c r="Y5" s="1846"/>
      <c r="Z5" s="1846"/>
      <c r="AA5" s="1846"/>
      <c r="AB5" s="1846"/>
      <c r="AC5" s="1846"/>
      <c r="AD5" s="1846"/>
      <c r="AE5" s="1846"/>
      <c r="AF5" s="1846"/>
      <c r="AG5" s="1846"/>
      <c r="AH5" s="1846"/>
      <c r="AI5" s="1846"/>
      <c r="AJ5" s="1846"/>
      <c r="AK5" s="1846"/>
      <c r="AL5" s="1846"/>
      <c r="AM5" s="1846"/>
      <c r="AN5" s="1846"/>
      <c r="AO5" s="1846"/>
      <c r="AP5" s="1846"/>
      <c r="AQ5" s="1846"/>
      <c r="AR5" s="1846"/>
      <c r="AS5" s="1846"/>
      <c r="AT5" s="1846"/>
      <c r="AU5" s="1846"/>
      <c r="AV5" s="1846"/>
      <c r="AW5" s="1846"/>
      <c r="AX5" s="1846"/>
      <c r="BJ5" s="438">
        <v>63</v>
      </c>
    </row>
    <row r="6" spans="1:62" ht="15.75" customHeight="1">
      <c r="C6" s="110"/>
      <c r="D6" s="2349" t="str">
        <f>IF(org=0,"Не определено",org)</f>
        <v>ООО "Смоленскрегионтеплоэнерго"</v>
      </c>
      <c r="E6" s="2349"/>
      <c r="F6" s="2349"/>
      <c r="G6" s="2349"/>
      <c r="H6" s="2349"/>
      <c r="I6" s="2349"/>
      <c r="J6" s="2349"/>
      <c r="K6" s="1847"/>
      <c r="L6" s="1847"/>
      <c r="M6" s="1847"/>
      <c r="N6" s="1847"/>
      <c r="O6" s="1847"/>
      <c r="P6" s="1847"/>
      <c r="Q6" s="1847"/>
      <c r="R6" s="1847"/>
      <c r="S6" s="1847"/>
      <c r="T6" s="1847"/>
      <c r="U6" s="1847"/>
      <c r="V6" s="1847"/>
      <c r="W6" s="1847"/>
      <c r="X6" s="1847"/>
      <c r="Y6" s="1847"/>
      <c r="Z6" s="1847"/>
      <c r="AA6" s="1847"/>
      <c r="AB6" s="1847"/>
      <c r="AC6" s="1847"/>
      <c r="AD6" s="1847"/>
      <c r="AE6" s="1847"/>
      <c r="AF6" s="1847"/>
      <c r="AG6" s="1847"/>
      <c r="AH6" s="1847"/>
      <c r="AI6" s="1847"/>
      <c r="AJ6" s="1847"/>
      <c r="AK6" s="1847"/>
      <c r="AL6" s="1847"/>
      <c r="AM6" s="1847"/>
      <c r="AN6" s="1847"/>
      <c r="AO6" s="1847"/>
      <c r="AP6" s="1847"/>
      <c r="AQ6" s="1847"/>
      <c r="AR6" s="1847"/>
      <c r="AS6" s="1847"/>
      <c r="AT6" s="1847"/>
      <c r="AU6" s="1847"/>
      <c r="AV6" s="1847"/>
      <c r="AW6" s="1847"/>
      <c r="AX6" s="1847"/>
      <c r="AY6" s="469"/>
      <c r="BJ6" s="438">
        <v>15</v>
      </c>
    </row>
    <row r="7" spans="1:62" ht="15.75" customHeight="1">
      <c r="C7" s="110"/>
      <c r="D7" s="659"/>
      <c r="E7" s="442"/>
      <c r="F7" s="442"/>
      <c r="G7" s="469">
        <v>22</v>
      </c>
      <c r="I7" s="469">
        <v>1</v>
      </c>
      <c r="J7" s="659"/>
      <c r="K7" s="1154" t="s">
        <v>9</v>
      </c>
      <c r="M7" s="1154" t="s">
        <v>9</v>
      </c>
      <c r="O7" s="1154" t="s">
        <v>9</v>
      </c>
      <c r="Q7" s="1154" t="s">
        <v>9</v>
      </c>
      <c r="S7" s="1154" t="s">
        <v>9</v>
      </c>
      <c r="U7" s="1154" t="s">
        <v>9</v>
      </c>
      <c r="W7" s="1154" t="s">
        <v>9</v>
      </c>
      <c r="Y7" s="1154" t="s">
        <v>9</v>
      </c>
      <c r="AA7" s="1154" t="s">
        <v>9</v>
      </c>
      <c r="AC7" s="1154" t="s">
        <v>9</v>
      </c>
      <c r="AE7" s="1154" t="s">
        <v>9</v>
      </c>
      <c r="AG7" s="1154" t="s">
        <v>9</v>
      </c>
      <c r="AI7" s="1154" t="s">
        <v>9</v>
      </c>
      <c r="AK7" s="1154" t="s">
        <v>9</v>
      </c>
      <c r="AM7" s="1154" t="s">
        <v>9</v>
      </c>
      <c r="AO7" s="1154" t="s">
        <v>9</v>
      </c>
      <c r="AQ7" s="1154" t="s">
        <v>9</v>
      </c>
      <c r="AS7" s="1154" t="s">
        <v>9</v>
      </c>
      <c r="AU7" s="1154" t="s">
        <v>9</v>
      </c>
      <c r="AW7" s="1154" t="s">
        <v>9</v>
      </c>
      <c r="BJ7" s="438">
        <v>15</v>
      </c>
    </row>
    <row r="8" spans="1:62" s="1423" customFormat="1" ht="1.1499999999999999" customHeight="1">
      <c r="A8" s="664"/>
      <c r="C8" s="110"/>
      <c r="D8" s="442"/>
      <c r="E8" s="442"/>
      <c r="F8" s="442"/>
      <c r="G8" s="469"/>
      <c r="H8" s="659"/>
      <c r="I8" s="469" t="s">
        <v>167</v>
      </c>
      <c r="J8" s="659"/>
      <c r="K8" s="1154" t="s">
        <v>172</v>
      </c>
      <c r="L8" s="659"/>
      <c r="M8" s="1154" t="s">
        <v>174</v>
      </c>
      <c r="N8" s="659"/>
      <c r="O8" s="1154" t="s">
        <v>176</v>
      </c>
      <c r="P8" s="659"/>
      <c r="Q8" s="1154" t="s">
        <v>178</v>
      </c>
      <c r="R8" s="659"/>
      <c r="S8" s="1154" t="s">
        <v>180</v>
      </c>
      <c r="T8" s="659"/>
      <c r="U8" s="1154" t="s">
        <v>182</v>
      </c>
      <c r="V8" s="659"/>
      <c r="W8" s="1154" t="s">
        <v>184</v>
      </c>
      <c r="X8" s="659"/>
      <c r="Y8" s="1154" t="s">
        <v>186</v>
      </c>
      <c r="Z8" s="659"/>
      <c r="AA8" s="1154" t="s">
        <v>188</v>
      </c>
      <c r="AB8" s="659"/>
      <c r="AC8" s="1154" t="s">
        <v>190</v>
      </c>
      <c r="AD8" s="659"/>
      <c r="AE8" s="1154" t="s">
        <v>192</v>
      </c>
      <c r="AF8" s="659"/>
      <c r="AG8" s="1154" t="s">
        <v>194</v>
      </c>
      <c r="AH8" s="659"/>
      <c r="AI8" s="1154" t="s">
        <v>196</v>
      </c>
      <c r="AJ8" s="659"/>
      <c r="AK8" s="1154" t="s">
        <v>198</v>
      </c>
      <c r="AL8" s="659"/>
      <c r="AM8" s="1154" t="s">
        <v>200</v>
      </c>
      <c r="AN8" s="659"/>
      <c r="AO8" s="1154" t="s">
        <v>202</v>
      </c>
      <c r="AP8" s="659"/>
      <c r="AQ8" s="1154" t="s">
        <v>204</v>
      </c>
      <c r="AR8" s="659"/>
      <c r="AS8" s="1154" t="s">
        <v>206</v>
      </c>
      <c r="AT8" s="659"/>
      <c r="AU8" s="1154" t="s">
        <v>208</v>
      </c>
      <c r="AV8" s="659"/>
      <c r="AW8" s="1154" t="s">
        <v>210</v>
      </c>
      <c r="AX8" s="659"/>
      <c r="AY8" s="350"/>
      <c r="BI8" s="596"/>
      <c r="BJ8" s="663">
        <v>1</v>
      </c>
    </row>
    <row r="9" spans="1:62" ht="15.75" customHeight="1">
      <c r="C9" s="110"/>
      <c r="D9" s="629"/>
      <c r="E9" s="2484" t="s">
        <v>157</v>
      </c>
      <c r="F9" s="2485"/>
      <c r="G9" s="2509" t="str">
        <f>IF(G8="","",INDEX(DIFFERENTIATION_UNMERGE_VD,MATCH(G8,DIFFERENTIATION_ID_DIFF,0)))</f>
        <v/>
      </c>
      <c r="H9" s="2510"/>
      <c r="I9" s="2509" t="str">
        <f>IF(I8="","",INDEX(DIFFERENTIATION_UNMERGE_VD,MATCH(I8,DIFFERENTIATION_ID_DIFF,0)))</f>
        <v>Производство тепловой энергии. Некомбинированная выработка; Передача. Тепловая энергия; Сбыт. Тепловая энергия</v>
      </c>
      <c r="J9" s="2510"/>
      <c r="K9" s="2509" t="str">
        <f>IF(K8="","",INDEX(DIFFERENTIATION_UNMERGE_VD,MATCH(K8,DIFFERENTIATION_ID_DIFF,0)))</f>
        <v>Производство тепловой энергии. Некомбинированная выработка; Передача. Тепловая энергия; Сбыт. Тепловая энергия</v>
      </c>
      <c r="L9" s="2510"/>
      <c r="M9" s="2509" t="str">
        <f>IF(M8="","",INDEX(DIFFERENTIATION_UNMERGE_VD,MATCH(M8,DIFFERENTIATION_ID_DIFF,0)))</f>
        <v>Производство тепловой энергии. Некомбинированная выработка; Передача. Тепловая энергия; Сбыт. Тепловая энергия</v>
      </c>
      <c r="N9" s="2510"/>
      <c r="O9" s="2509" t="str">
        <f>IF(O8="","",INDEX(DIFFERENTIATION_UNMERGE_VD,MATCH(O8,DIFFERENTIATION_ID_DIFF,0)))</f>
        <v>Производство тепловой энергии. Некомбинированная выработка; Передача. Тепловая энергия; Сбыт. Тепловая энергия</v>
      </c>
      <c r="P9" s="2510"/>
      <c r="Q9" s="2509" t="str">
        <f>IF(Q8="","",INDEX(DIFFERENTIATION_UNMERGE_VD,MATCH(Q8,DIFFERENTIATION_ID_DIFF,0)))</f>
        <v>Производство тепловой энергии. Некомбинированная выработка; Передача. Тепловая энергия; Сбыт. Тепловая энергия</v>
      </c>
      <c r="R9" s="2510"/>
      <c r="S9" s="2509" t="str">
        <f>IF(S8="","",INDEX(DIFFERENTIATION_UNMERGE_VD,MATCH(S8,DIFFERENTIATION_ID_DIFF,0)))</f>
        <v>Производство тепловой энергии. Некомбинированная выработка; Передача. Тепловая энергия; Сбыт. Тепловая энергия</v>
      </c>
      <c r="T9" s="2510"/>
      <c r="U9" s="2509" t="str">
        <f>IF(U8="","",INDEX(DIFFERENTIATION_UNMERGE_VD,MATCH(U8,DIFFERENTIATION_ID_DIFF,0)))</f>
        <v>Производство тепловой энергии. Некомбинированная выработка; Передача. Тепловая энергия; Сбыт. Тепловая энергия</v>
      </c>
      <c r="V9" s="2510"/>
      <c r="W9" s="2509" t="str">
        <f>IF(W8="","",INDEX(DIFFERENTIATION_UNMERGE_VD,MATCH(W8,DIFFERENTIATION_ID_DIFF,0)))</f>
        <v>Производство тепловой энергии. Некомбинированная выработка; Передача. Тепловая энергия; Сбыт. Тепловая энергия</v>
      </c>
      <c r="X9" s="2510"/>
      <c r="Y9" s="2509" t="str">
        <f>IF(Y8="","",INDEX(DIFFERENTIATION_UNMERGE_VD,MATCH(Y8,DIFFERENTIATION_ID_DIFF,0)))</f>
        <v>Производство тепловой энергии. Некомбинированная выработка; Передача. Тепловая энергия; Сбыт. Тепловая энергия</v>
      </c>
      <c r="Z9" s="2510"/>
      <c r="AA9" s="2509" t="str">
        <f>IF(AA8="","",INDEX(DIFFERENTIATION_UNMERGE_VD,MATCH(AA8,DIFFERENTIATION_ID_DIFF,0)))</f>
        <v>Производство тепловой энергии. Некомбинированная выработка; Передача. Тепловая энергия; Сбыт. Тепловая энергия</v>
      </c>
      <c r="AB9" s="2510"/>
      <c r="AC9" s="2509" t="str">
        <f>IF(AC8="","",INDEX(DIFFERENTIATION_UNMERGE_VD,MATCH(AC8,DIFFERENTIATION_ID_DIFF,0)))</f>
        <v>Производство тепловой энергии. Некомбинированная выработка; Передача. Тепловая энергия; Сбыт. Тепловая энергия</v>
      </c>
      <c r="AD9" s="2510"/>
      <c r="AE9" s="2509" t="str">
        <f>IF(AE8="","",INDEX(DIFFERENTIATION_UNMERGE_VD,MATCH(AE8,DIFFERENTIATION_ID_DIFF,0)))</f>
        <v>Производство тепловой энергии. Некомбинированная выработка; Передача. Тепловая энергия; Сбыт. Тепловая энергия</v>
      </c>
      <c r="AF9" s="2510"/>
      <c r="AG9" s="2509" t="str">
        <f>IF(AG8="","",INDEX(DIFFERENTIATION_UNMERGE_VD,MATCH(AG8,DIFFERENTIATION_ID_DIFF,0)))</f>
        <v>Производство тепловой энергии. Некомбинированная выработка; Передача. Тепловая энергия; Сбыт. Тепловая энергия</v>
      </c>
      <c r="AH9" s="2510"/>
      <c r="AI9" s="2509" t="str">
        <f>IF(AI8="","",INDEX(DIFFERENTIATION_UNMERGE_VD,MATCH(AI8,DIFFERENTIATION_ID_DIFF,0)))</f>
        <v>Производство тепловой энергии. Некомбинированная выработка; Передача. Тепловая энергия; Сбыт. Тепловая энергия</v>
      </c>
      <c r="AJ9" s="2510"/>
      <c r="AK9" s="2509" t="str">
        <f>IF(AK8="","",INDEX(DIFFERENTIATION_UNMERGE_VD,MATCH(AK8,DIFFERENTIATION_ID_DIFF,0)))</f>
        <v>Производство тепловой энергии. Некомбинированная выработка; Передача. Тепловая энергия; Сбыт. Тепловая энергия</v>
      </c>
      <c r="AL9" s="2510"/>
      <c r="AM9" s="2509" t="str">
        <f>IF(AM8="","",INDEX(DIFFERENTIATION_UNMERGE_VD,MATCH(AM8,DIFFERENTIATION_ID_DIFF,0)))</f>
        <v>Производство тепловой энергии. Некомбинированная выработка; Передача. Тепловая энергия; Сбыт. Тепловая энергия</v>
      </c>
      <c r="AN9" s="2510"/>
      <c r="AO9" s="2509" t="str">
        <f>IF(AO8="","",INDEX(DIFFERENTIATION_UNMERGE_VD,MATCH(AO8,DIFFERENTIATION_ID_DIFF,0)))</f>
        <v>Производство тепловой энергии. Некомбинированная выработка; Передача. Тепловая энергия; Сбыт. Тепловая энергия</v>
      </c>
      <c r="AP9" s="2510"/>
      <c r="AQ9" s="2509" t="str">
        <f>IF(AQ8="","",INDEX(DIFFERENTIATION_UNMERGE_VD,MATCH(AQ8,DIFFERENTIATION_ID_DIFF,0)))</f>
        <v>Производство тепловой энергии. Некомбинированная выработка; Передача. Тепловая энергия; Сбыт. Тепловая энергия</v>
      </c>
      <c r="AR9" s="2510"/>
      <c r="AS9" s="2509" t="str">
        <f>IF(AS8="","",INDEX(DIFFERENTIATION_UNMERGE_VD,MATCH(AS8,DIFFERENTIATION_ID_DIFF,0)))</f>
        <v>Производство тепловой энергии. Некомбинированная выработка; Передача. Тепловая энергия; Сбыт. Тепловая энергия</v>
      </c>
      <c r="AT9" s="2510"/>
      <c r="AU9" s="2509" t="str">
        <f>IF(AU8="","",INDEX(DIFFERENTIATION_UNMERGE_VD,MATCH(AU8,DIFFERENTIATION_ID_DIFF,0)))</f>
        <v>Производство тепловой энергии. Некомбинированная выработка; Передача. Тепловая энергия; Сбыт. Тепловая энергия</v>
      </c>
      <c r="AV9" s="2510"/>
      <c r="AW9" s="2509" t="str">
        <f>IF(AW8="","",INDEX(DIFFERENTIATION_UNMERGE_VD,MATCH(AW8,DIFFERENTIATION_ID_DIFF,0)))</f>
        <v>Производство тепловой энергии. Некомбинированная выработка; Передача. Тепловая энергия; Сбыт. Тепловая энергия</v>
      </c>
      <c r="AX9" s="2510"/>
      <c r="AY9" s="2327" t="s">
        <v>385</v>
      </c>
      <c r="BJ9" s="438">
        <v>15</v>
      </c>
    </row>
    <row r="10" spans="1:62" s="1423" customFormat="1" ht="15.75" customHeight="1">
      <c r="A10" s="664"/>
      <c r="C10" s="110"/>
      <c r="D10" s="629"/>
      <c r="E10" s="2484" t="s">
        <v>648</v>
      </c>
      <c r="F10" s="2485"/>
      <c r="G10" s="2509" t="str">
        <f>IF(G8="","",INDEX(DIFFERENTIATION_UNMERGE_AREA,MATCH(G8,DIFFERENTIATION_ID_DIFF,0)))</f>
        <v/>
      </c>
      <c r="H10" s="2510"/>
      <c r="I10" s="2509" t="str">
        <f>IF(I8="","",INDEX(DIFFERENTIATION_UNMERGE_AREA,MATCH(I8,DIFFERENTIATION_ID_DIFF,0)))</f>
        <v>Территория 1</v>
      </c>
      <c r="J10" s="2510"/>
      <c r="K10" s="2509" t="str">
        <f>IF(K8="","",INDEX(DIFFERENTIATION_UNMERGE_AREA,MATCH(K8,DIFFERENTIATION_ID_DIFF,0)))</f>
        <v>Территория 2</v>
      </c>
      <c r="L10" s="2510"/>
      <c r="M10" s="2509" t="str">
        <f>IF(M8="","",INDEX(DIFFERENTIATION_UNMERGE_AREA,MATCH(M8,DIFFERENTIATION_ID_DIFF,0)))</f>
        <v>Территория 3</v>
      </c>
      <c r="N10" s="2510"/>
      <c r="O10" s="2509" t="str">
        <f>IF(O8="","",INDEX(DIFFERENTIATION_UNMERGE_AREA,MATCH(O8,DIFFERENTIATION_ID_DIFF,0)))</f>
        <v>Территория 4</v>
      </c>
      <c r="P10" s="2510"/>
      <c r="Q10" s="2509" t="str">
        <f>IF(Q8="","",INDEX(DIFFERENTIATION_UNMERGE_AREA,MATCH(Q8,DIFFERENTIATION_ID_DIFF,0)))</f>
        <v>Территория 5</v>
      </c>
      <c r="R10" s="2510"/>
      <c r="S10" s="2509" t="str">
        <f>IF(S8="","",INDEX(DIFFERENTIATION_UNMERGE_AREA,MATCH(S8,DIFFERENTIATION_ID_DIFF,0)))</f>
        <v>Территория 6</v>
      </c>
      <c r="T10" s="2510"/>
      <c r="U10" s="2509" t="str">
        <f>IF(U8="","",INDEX(DIFFERENTIATION_UNMERGE_AREA,MATCH(U8,DIFFERENTIATION_ID_DIFF,0)))</f>
        <v>Территория 6</v>
      </c>
      <c r="V10" s="2510"/>
      <c r="W10" s="2509" t="str">
        <f>IF(W8="","",INDEX(DIFFERENTIATION_UNMERGE_AREA,MATCH(W8,DIFFERENTIATION_ID_DIFF,0)))</f>
        <v>Территория 6</v>
      </c>
      <c r="X10" s="2510"/>
      <c r="Y10" s="2509" t="str">
        <f>IF(Y8="","",INDEX(DIFFERENTIATION_UNMERGE_AREA,MATCH(Y8,DIFFERENTIATION_ID_DIFF,0)))</f>
        <v>Территория 7</v>
      </c>
      <c r="Z10" s="2510"/>
      <c r="AA10" s="2509" t="str">
        <f>IF(AA8="","",INDEX(DIFFERENTIATION_UNMERGE_AREA,MATCH(AA8,DIFFERENTIATION_ID_DIFF,0)))</f>
        <v>Территория 8</v>
      </c>
      <c r="AB10" s="2510"/>
      <c r="AC10" s="2509" t="str">
        <f>IF(AC8="","",INDEX(DIFFERENTIATION_UNMERGE_AREA,MATCH(AC8,DIFFERENTIATION_ID_DIFF,0)))</f>
        <v>Территория 8</v>
      </c>
      <c r="AD10" s="2510"/>
      <c r="AE10" s="2509" t="str">
        <f>IF(AE8="","",INDEX(DIFFERENTIATION_UNMERGE_AREA,MATCH(AE8,DIFFERENTIATION_ID_DIFF,0)))</f>
        <v>Территория 8</v>
      </c>
      <c r="AF10" s="2510"/>
      <c r="AG10" s="2509" t="str">
        <f>IF(AG8="","",INDEX(DIFFERENTIATION_UNMERGE_AREA,MATCH(AG8,DIFFERENTIATION_ID_DIFF,0)))</f>
        <v>Территория 9</v>
      </c>
      <c r="AH10" s="2510"/>
      <c r="AI10" s="2509" t="str">
        <f>IF(AI8="","",INDEX(DIFFERENTIATION_UNMERGE_AREA,MATCH(AI8,DIFFERENTIATION_ID_DIFF,0)))</f>
        <v>Территория 10</v>
      </c>
      <c r="AJ10" s="2510"/>
      <c r="AK10" s="2509" t="str">
        <f>IF(AK8="","",INDEX(DIFFERENTIATION_UNMERGE_AREA,MATCH(AK8,DIFFERENTIATION_ID_DIFF,0)))</f>
        <v>Территория 10</v>
      </c>
      <c r="AL10" s="2510"/>
      <c r="AM10" s="2509" t="str">
        <f>IF(AM8="","",INDEX(DIFFERENTIATION_UNMERGE_AREA,MATCH(AM8,DIFFERENTIATION_ID_DIFF,0)))</f>
        <v>Территория 11</v>
      </c>
      <c r="AN10" s="2510"/>
      <c r="AO10" s="2509" t="str">
        <f>IF(AO8="","",INDEX(DIFFERENTIATION_UNMERGE_AREA,MATCH(AO8,DIFFERENTIATION_ID_DIFF,0)))</f>
        <v>Территория 12</v>
      </c>
      <c r="AP10" s="2510"/>
      <c r="AQ10" s="2509" t="str">
        <f>IF(AQ8="","",INDEX(DIFFERENTIATION_UNMERGE_AREA,MATCH(AQ8,DIFFERENTIATION_ID_DIFF,0)))</f>
        <v>Территория 13</v>
      </c>
      <c r="AR10" s="2510"/>
      <c r="AS10" s="2509" t="str">
        <f>IF(AS8="","",INDEX(DIFFERENTIATION_UNMERGE_AREA,MATCH(AS8,DIFFERENTIATION_ID_DIFF,0)))</f>
        <v>Территория 13</v>
      </c>
      <c r="AT10" s="2510"/>
      <c r="AU10" s="2509" t="str">
        <f>IF(AU8="","",INDEX(DIFFERENTIATION_UNMERGE_AREA,MATCH(AU8,DIFFERENTIATION_ID_DIFF,0)))</f>
        <v>Территория 13</v>
      </c>
      <c r="AV10" s="2510"/>
      <c r="AW10" s="2509" t="str">
        <f>IF(AW8="","",INDEX(DIFFERENTIATION_UNMERGE_AREA,MATCH(AW8,DIFFERENTIATION_ID_DIFF,0)))</f>
        <v>Территория 13</v>
      </c>
      <c r="AX10" s="2510"/>
      <c r="AY10" s="2332"/>
      <c r="BI10" s="596"/>
      <c r="BJ10" s="663">
        <v>15</v>
      </c>
    </row>
    <row r="11" spans="1:62" s="1423" customFormat="1" ht="15.75" customHeight="1">
      <c r="A11" s="664"/>
      <c r="C11" s="110"/>
      <c r="D11" s="629"/>
      <c r="E11" s="2484" t="s">
        <v>649</v>
      </c>
      <c r="F11" s="2485"/>
      <c r="G11" s="2509" t="str">
        <f>IF(G8="","",INDEX(DIFFERENTIATION_UNMERGE_SYSTEM,MATCH(G8,DIFFERENTIATION_ID_DIFF,0)))</f>
        <v/>
      </c>
      <c r="H11" s="2510"/>
      <c r="I11" s="2509" t="str">
        <f>IF(I8="","",INDEX(DIFFERENTIATION_UNMERGE_SYSTEM,MATCH(I8,DIFFERENTIATION_ID_DIFF,0)))</f>
        <v>котельная г. Вязьма ул. Московская</v>
      </c>
      <c r="J11" s="2510"/>
      <c r="K11" s="2509" t="str">
        <f>IF(K8="","",INDEX(DIFFERENTIATION_UNMERGE_SYSTEM,MATCH(K8,DIFFERENTIATION_ID_DIFF,0)))</f>
        <v>Вяземский филиал</v>
      </c>
      <c r="L11" s="2510"/>
      <c r="M11" s="2509" t="str">
        <f>IF(M8="","",INDEX(DIFFERENTIATION_UNMERGE_SYSTEM,MATCH(M8,DIFFERENTIATION_ID_DIFF,0)))</f>
        <v>котельная с. Карманово, ул. Набережная, д. 18, стр. 3</v>
      </c>
      <c r="N11" s="2510"/>
      <c r="O11" s="2509" t="str">
        <f>IF(O8="","",INDEX(DIFFERENTIATION_UNMERGE_SYSTEM,MATCH(O8,DIFFERENTIATION_ID_DIFF,0)))</f>
        <v>Рославльский филиал</v>
      </c>
      <c r="P11" s="2510"/>
      <c r="Q11" s="2509" t="str">
        <f>IF(Q8="","",INDEX(DIFFERENTIATION_UNMERGE_SYSTEM,MATCH(Q8,DIFFERENTIATION_ID_DIFF,0)))</f>
        <v>котельная г. Рославль, ул. Мичурина</v>
      </c>
      <c r="R11" s="2510"/>
      <c r="S11" s="2509" t="str">
        <f>IF(S8="","",INDEX(DIFFERENTIATION_UNMERGE_SYSTEM,MATCH(S8,DIFFERENTIATION_ID_DIFF,0)))</f>
        <v>котельная д. Даньково</v>
      </c>
      <c r="T11" s="2510"/>
      <c r="U11" s="2509" t="str">
        <f>IF(U8="","",INDEX(DIFFERENTIATION_UNMERGE_SYSTEM,MATCH(U8,DIFFERENTIATION_ID_DIFF,0)))</f>
        <v>котельная д. Пересна</v>
      </c>
      <c r="V11" s="2510"/>
      <c r="W11" s="2509" t="str">
        <f>IF(W8="","",INDEX(DIFFERENTIATION_UNMERGE_SYSTEM,MATCH(W8,DIFFERENTIATION_ID_DIFF,0)))</f>
        <v>котельная г. Починок, ул. Садовая</v>
      </c>
      <c r="X11" s="2510"/>
      <c r="Y11" s="2509" t="str">
        <f>IF(Y8="","",INDEX(DIFFERENTIATION_UNMERGE_SYSTEM,MATCH(Y8,DIFFERENTIATION_ID_DIFF,0)))</f>
        <v>Сафоновский филиал</v>
      </c>
      <c r="Z11" s="2510"/>
      <c r="AA11" s="2509" t="str">
        <f>IF(AA8="","",INDEX(DIFFERENTIATION_UNMERGE_SYSTEM,MATCH(AA8,DIFFERENTIATION_ID_DIFF,0)))</f>
        <v>котельная г. Сафоново, ул. Советская</v>
      </c>
      <c r="AB11" s="2510"/>
      <c r="AC11" s="2509" t="str">
        <f>IF(AC8="","",INDEX(DIFFERENTIATION_UNMERGE_SYSTEM,MATCH(AC8,DIFFERENTIATION_ID_DIFF,0)))</f>
        <v>котельная г. Сафоново, ул. Первомайская</v>
      </c>
      <c r="AD11" s="2510"/>
      <c r="AE11" s="2509" t="str">
        <f>IF(AE8="","",INDEX(DIFFERENTIATION_UNMERGE_SYSTEM,MATCH(AE8,DIFFERENTIATION_ID_DIFF,0)))</f>
        <v>котельная с. Издешково</v>
      </c>
      <c r="AF11" s="2510"/>
      <c r="AG11" s="2509" t="str">
        <f>IF(AG8="","",INDEX(DIFFERENTIATION_UNMERGE_SYSTEM,MATCH(AG8,DIFFERENTIATION_ID_DIFF,0)))</f>
        <v>котельная БМК Михайловское</v>
      </c>
      <c r="AH11" s="2510"/>
      <c r="AI11" s="2509" t="str">
        <f>IF(AI8="","",INDEX(DIFFERENTIATION_UNMERGE_SYSTEM,MATCH(AI8,DIFFERENTIATION_ID_DIFF,0)))</f>
        <v>котельные пгт. Холм-Жирковское, ул. Кирова,ул. Советская</v>
      </c>
      <c r="AJ11" s="2510"/>
      <c r="AK11" s="2509" t="str">
        <f>IF(AK8="","",INDEX(DIFFERENTIATION_UNMERGE_SYSTEM,MATCH(AK8,DIFFERENTIATION_ID_DIFF,0)))</f>
        <v>котельная ст. Игоревская</v>
      </c>
      <c r="AL11" s="2510"/>
      <c r="AM11" s="2509" t="str">
        <f>IF(AM8="","",INDEX(DIFFERENTIATION_UNMERGE_SYSTEM,MATCH(AM8,DIFFERENTIATION_ID_DIFF,0)))</f>
        <v>Ярцевский филиал</v>
      </c>
      <c r="AN11" s="2510"/>
      <c r="AO11" s="2509" t="str">
        <f>IF(AO8="","",INDEX(DIFFERENTIATION_UNMERGE_SYSTEM,MATCH(AO8,DIFFERENTIATION_ID_DIFF,0)))</f>
        <v>п. Красный</v>
      </c>
      <c r="AP11" s="2510"/>
      <c r="AQ11" s="2509" t="str">
        <f>IF(AQ8="","",INDEX(DIFFERENTIATION_UNMERGE_SYSTEM,MATCH(AQ8,DIFFERENTIATION_ID_DIFF,0)))</f>
        <v>котельная д. Богородицкое</v>
      </c>
      <c r="AR11" s="2510"/>
      <c r="AS11" s="2509" t="str">
        <f>IF(AS8="","",INDEX(DIFFERENTIATION_UNMERGE_SYSTEM,MATCH(AS8,DIFFERENTIATION_ID_DIFF,0)))</f>
        <v>котельная д. Сметанино</v>
      </c>
      <c r="AT11" s="2510"/>
      <c r="AU11" s="2509" t="str">
        <f>IF(AU8="","",INDEX(DIFFERENTIATION_UNMERGE_SYSTEM,MATCH(AU8,DIFFERENTIATION_ID_DIFF,0)))</f>
        <v>котельная с. Талашкино</v>
      </c>
      <c r="AV11" s="2510"/>
      <c r="AW11" s="2509" t="str">
        <f>IF(AW8="","",INDEX(DIFFERENTIATION_UNMERGE_SYSTEM,MATCH(AW8,DIFFERENTIATION_ID_DIFF,0)))</f>
        <v>котельная д. Митино</v>
      </c>
      <c r="AX11" s="2510"/>
      <c r="AY11" s="2332"/>
      <c r="BI11" s="596"/>
      <c r="BJ11" s="663">
        <v>15</v>
      </c>
    </row>
    <row r="12" spans="1:62" s="1423" customFormat="1" ht="15.75" customHeight="1">
      <c r="A12" s="664"/>
      <c r="C12" s="110"/>
      <c r="D12" s="2486" t="s">
        <v>384</v>
      </c>
      <c r="E12" s="2487"/>
      <c r="F12" s="2487"/>
      <c r="G12" s="785"/>
      <c r="H12" s="785"/>
      <c r="I12" s="785"/>
      <c r="J12" s="785"/>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c r="AP12" s="1854"/>
      <c r="AQ12" s="1854"/>
      <c r="AR12" s="1854"/>
      <c r="AS12" s="1854"/>
      <c r="AT12" s="1854"/>
      <c r="AU12" s="1854"/>
      <c r="AV12" s="1854"/>
      <c r="AW12" s="1854"/>
      <c r="AX12" s="1854"/>
      <c r="AY12" s="2332"/>
      <c r="BI12" s="596"/>
      <c r="BJ12" s="663">
        <v>15</v>
      </c>
    </row>
    <row r="13" spans="1:62" ht="35.65" customHeight="1">
      <c r="C13" s="110"/>
      <c r="D13" s="704" t="s">
        <v>75</v>
      </c>
      <c r="E13" s="706" t="s">
        <v>386</v>
      </c>
      <c r="F13" s="706" t="s">
        <v>650</v>
      </c>
      <c r="G13" s="707" t="s">
        <v>387</v>
      </c>
      <c r="H13" s="706" t="s">
        <v>474</v>
      </c>
      <c r="I13" s="707" t="s">
        <v>387</v>
      </c>
      <c r="J13" s="706" t="s">
        <v>474</v>
      </c>
      <c r="K13" s="1849" t="s">
        <v>387</v>
      </c>
      <c r="L13" s="1853" t="s">
        <v>474</v>
      </c>
      <c r="M13" s="1849" t="s">
        <v>387</v>
      </c>
      <c r="N13" s="1853" t="s">
        <v>474</v>
      </c>
      <c r="O13" s="1849" t="s">
        <v>387</v>
      </c>
      <c r="P13" s="1853" t="s">
        <v>474</v>
      </c>
      <c r="Q13" s="1849" t="s">
        <v>387</v>
      </c>
      <c r="R13" s="1853" t="s">
        <v>474</v>
      </c>
      <c r="S13" s="1849" t="s">
        <v>387</v>
      </c>
      <c r="T13" s="1853" t="s">
        <v>474</v>
      </c>
      <c r="U13" s="1849" t="s">
        <v>387</v>
      </c>
      <c r="V13" s="1853" t="s">
        <v>474</v>
      </c>
      <c r="W13" s="1849" t="s">
        <v>387</v>
      </c>
      <c r="X13" s="1853" t="s">
        <v>474</v>
      </c>
      <c r="Y13" s="1849" t="s">
        <v>387</v>
      </c>
      <c r="Z13" s="1853" t="s">
        <v>474</v>
      </c>
      <c r="AA13" s="1849" t="s">
        <v>387</v>
      </c>
      <c r="AB13" s="1853" t="s">
        <v>474</v>
      </c>
      <c r="AC13" s="1849" t="s">
        <v>387</v>
      </c>
      <c r="AD13" s="1853" t="s">
        <v>474</v>
      </c>
      <c r="AE13" s="1849" t="s">
        <v>387</v>
      </c>
      <c r="AF13" s="1853" t="s">
        <v>474</v>
      </c>
      <c r="AG13" s="1849" t="s">
        <v>387</v>
      </c>
      <c r="AH13" s="1853" t="s">
        <v>474</v>
      </c>
      <c r="AI13" s="1849" t="s">
        <v>387</v>
      </c>
      <c r="AJ13" s="1853" t="s">
        <v>474</v>
      </c>
      <c r="AK13" s="1849" t="s">
        <v>387</v>
      </c>
      <c r="AL13" s="1853" t="s">
        <v>474</v>
      </c>
      <c r="AM13" s="1849" t="s">
        <v>387</v>
      </c>
      <c r="AN13" s="1853" t="s">
        <v>474</v>
      </c>
      <c r="AO13" s="1849" t="s">
        <v>387</v>
      </c>
      <c r="AP13" s="1853" t="s">
        <v>474</v>
      </c>
      <c r="AQ13" s="1849" t="s">
        <v>387</v>
      </c>
      <c r="AR13" s="1853" t="s">
        <v>474</v>
      </c>
      <c r="AS13" s="1849" t="s">
        <v>387</v>
      </c>
      <c r="AT13" s="1853" t="s">
        <v>474</v>
      </c>
      <c r="AU13" s="1849" t="s">
        <v>387</v>
      </c>
      <c r="AV13" s="1853" t="s">
        <v>474</v>
      </c>
      <c r="AW13" s="1849" t="s">
        <v>387</v>
      </c>
      <c r="AX13" s="1853" t="s">
        <v>474</v>
      </c>
      <c r="AY13" s="2381"/>
      <c r="BJ13" s="438">
        <v>34</v>
      </c>
    </row>
    <row r="14" spans="1:62" ht="15" hidden="1" customHeight="1">
      <c r="C14" s="110"/>
      <c r="D14" s="524" t="s">
        <v>161</v>
      </c>
      <c r="E14" s="524" t="s">
        <v>89</v>
      </c>
      <c r="F14" s="524" t="s">
        <v>77</v>
      </c>
      <c r="G14" s="588" t="str">
        <f>G1&amp;".1"</f>
        <v>4.1</v>
      </c>
      <c r="H14" s="588"/>
      <c r="I14" s="588" t="str">
        <f>I1&amp;".1"</f>
        <v>4.1</v>
      </c>
      <c r="J14" s="588"/>
      <c r="K14" s="604" t="str">
        <f>K1&amp;".1"</f>
        <v>4.1</v>
      </c>
      <c r="L14" s="604"/>
      <c r="M14" s="604" t="str">
        <f>M1&amp;".1"</f>
        <v>4.1</v>
      </c>
      <c r="N14" s="604"/>
      <c r="O14" s="604" t="str">
        <f>O1&amp;".1"</f>
        <v>4.1</v>
      </c>
      <c r="P14" s="604"/>
      <c r="Q14" s="604" t="str">
        <f>Q1&amp;".1"</f>
        <v>4.1</v>
      </c>
      <c r="R14" s="604"/>
      <c r="S14" s="604" t="str">
        <f>S1&amp;".1"</f>
        <v>4.1</v>
      </c>
      <c r="T14" s="604"/>
      <c r="U14" s="604" t="str">
        <f>U1&amp;".1"</f>
        <v>4.1</v>
      </c>
      <c r="V14" s="604"/>
      <c r="W14" s="604" t="str">
        <f>W1&amp;".1"</f>
        <v>4.1</v>
      </c>
      <c r="X14" s="604"/>
      <c r="Y14" s="604" t="str">
        <f>Y1&amp;".1"</f>
        <v>4.1</v>
      </c>
      <c r="Z14" s="604"/>
      <c r="AA14" s="604" t="str">
        <f>AA1&amp;".1"</f>
        <v>4.1</v>
      </c>
      <c r="AB14" s="604"/>
      <c r="AC14" s="604" t="str">
        <f>AC1&amp;".1"</f>
        <v>4.1</v>
      </c>
      <c r="AD14" s="604"/>
      <c r="AE14" s="604" t="str">
        <f>AE1&amp;".1"</f>
        <v>4.1</v>
      </c>
      <c r="AF14" s="604"/>
      <c r="AG14" s="604" t="str">
        <f>AG1&amp;".1"</f>
        <v>4.1</v>
      </c>
      <c r="AH14" s="604"/>
      <c r="AI14" s="604" t="str">
        <f>AI1&amp;".1"</f>
        <v>4.1</v>
      </c>
      <c r="AJ14" s="604"/>
      <c r="AK14" s="604" t="str">
        <f>AK1&amp;".1"</f>
        <v>4.1</v>
      </c>
      <c r="AL14" s="604"/>
      <c r="AM14" s="604" t="str">
        <f>AM1&amp;".1"</f>
        <v>4.1</v>
      </c>
      <c r="AN14" s="604"/>
      <c r="AO14" s="604" t="str">
        <f>AO1&amp;".1"</f>
        <v>4.1</v>
      </c>
      <c r="AP14" s="604"/>
      <c r="AQ14" s="604" t="str">
        <f>AQ1&amp;".1"</f>
        <v>4.1</v>
      </c>
      <c r="AR14" s="604"/>
      <c r="AS14" s="604" t="str">
        <f>AS1&amp;".1"</f>
        <v>4.1</v>
      </c>
      <c r="AT14" s="604"/>
      <c r="AU14" s="604" t="str">
        <f>AU1&amp;".1"</f>
        <v>4.1</v>
      </c>
      <c r="AV14" s="604"/>
      <c r="AW14" s="604" t="str">
        <f>AW1&amp;".1"</f>
        <v>4.1</v>
      </c>
      <c r="AX14" s="604"/>
      <c r="AY14" s="223"/>
      <c r="BJ14" s="438">
        <v>0</v>
      </c>
    </row>
    <row r="15" spans="1:62" ht="22.5" hidden="1" customHeight="1">
      <c r="A15" s="438"/>
      <c r="C15" s="459"/>
      <c r="D15" s="454">
        <v>1</v>
      </c>
      <c r="E15" s="598" t="s">
        <v>940</v>
      </c>
      <c r="F15" s="454" t="s">
        <v>941</v>
      </c>
      <c r="G15" s="599"/>
      <c r="H15" s="599"/>
      <c r="I15" s="599"/>
      <c r="J15" s="599"/>
      <c r="K15" s="599"/>
      <c r="L15" s="599"/>
      <c r="M15" s="599"/>
      <c r="N15" s="599"/>
      <c r="O15" s="599"/>
      <c r="P15" s="599"/>
      <c r="Q15" s="599"/>
      <c r="R15" s="599"/>
      <c r="S15" s="599"/>
      <c r="T15" s="599"/>
      <c r="U15" s="599"/>
      <c r="V15" s="599"/>
      <c r="W15" s="599"/>
      <c r="X15" s="599"/>
      <c r="Y15" s="599"/>
      <c r="Z15" s="599"/>
      <c r="AA15" s="599"/>
      <c r="AB15" s="599"/>
      <c r="AC15" s="599"/>
      <c r="AD15" s="599"/>
      <c r="AE15" s="599"/>
      <c r="AF15" s="599"/>
      <c r="AG15" s="599"/>
      <c r="AH15" s="599"/>
      <c r="AI15" s="599"/>
      <c r="AJ15" s="599"/>
      <c r="AK15" s="599"/>
      <c r="AL15" s="599"/>
      <c r="AM15" s="599"/>
      <c r="AN15" s="599"/>
      <c r="AO15" s="599"/>
      <c r="AP15" s="599"/>
      <c r="AQ15" s="599"/>
      <c r="AR15" s="599"/>
      <c r="AS15" s="599"/>
      <c r="AT15" s="599"/>
      <c r="AU15" s="599"/>
      <c r="AV15" s="599"/>
      <c r="AW15" s="599"/>
      <c r="AX15" s="599"/>
      <c r="AY15" s="223" t="s">
        <v>942</v>
      </c>
      <c r="BJ15" s="438">
        <v>0</v>
      </c>
    </row>
    <row r="16" spans="1:62" ht="22.5" hidden="1" customHeight="1">
      <c r="A16" s="438"/>
      <c r="C16" s="459"/>
      <c r="D16" s="454">
        <v>2</v>
      </c>
      <c r="E16" s="213" t="s">
        <v>943</v>
      </c>
      <c r="F16" s="454" t="s">
        <v>944</v>
      </c>
      <c r="G16" s="599"/>
      <c r="H16" s="599"/>
      <c r="I16" s="599"/>
      <c r="J16" s="599"/>
      <c r="K16" s="599"/>
      <c r="L16" s="599"/>
      <c r="M16" s="599"/>
      <c r="N16" s="599"/>
      <c r="O16" s="599"/>
      <c r="P16" s="599"/>
      <c r="Q16" s="599"/>
      <c r="R16" s="599"/>
      <c r="S16" s="599"/>
      <c r="T16" s="599"/>
      <c r="U16" s="599"/>
      <c r="V16" s="599"/>
      <c r="W16" s="599"/>
      <c r="X16" s="599"/>
      <c r="Y16" s="599"/>
      <c r="Z16" s="599"/>
      <c r="AA16" s="599"/>
      <c r="AB16" s="599"/>
      <c r="AC16" s="599"/>
      <c r="AD16" s="599"/>
      <c r="AE16" s="599"/>
      <c r="AF16" s="599"/>
      <c r="AG16" s="599"/>
      <c r="AH16" s="599"/>
      <c r="AI16" s="599"/>
      <c r="AJ16" s="599"/>
      <c r="AK16" s="599"/>
      <c r="AL16" s="599"/>
      <c r="AM16" s="599"/>
      <c r="AN16" s="599"/>
      <c r="AO16" s="599"/>
      <c r="AP16" s="599"/>
      <c r="AQ16" s="599"/>
      <c r="AR16" s="599"/>
      <c r="AS16" s="599"/>
      <c r="AT16" s="599"/>
      <c r="AU16" s="599"/>
      <c r="AV16" s="599"/>
      <c r="AW16" s="599"/>
      <c r="AX16" s="599"/>
      <c r="AY16" s="223" t="s">
        <v>945</v>
      </c>
      <c r="BJ16" s="438">
        <v>0</v>
      </c>
    </row>
    <row r="17" spans="1:62" ht="123.75" hidden="1" customHeight="1">
      <c r="A17" s="438"/>
      <c r="C17" s="459"/>
      <c r="D17" s="454">
        <v>3</v>
      </c>
      <c r="E17" s="213" t="s">
        <v>1237</v>
      </c>
      <c r="F17" s="454" t="s">
        <v>390</v>
      </c>
      <c r="G17" s="599"/>
      <c r="H17" s="599"/>
      <c r="I17" s="599"/>
      <c r="J17" s="599"/>
      <c r="K17" s="599"/>
      <c r="L17" s="599"/>
      <c r="M17" s="599"/>
      <c r="N17" s="599"/>
      <c r="O17" s="599"/>
      <c r="P17" s="599"/>
      <c r="Q17" s="599"/>
      <c r="R17" s="599"/>
      <c r="S17" s="599"/>
      <c r="T17" s="599"/>
      <c r="U17" s="599"/>
      <c r="V17" s="599"/>
      <c r="W17" s="599"/>
      <c r="X17" s="599"/>
      <c r="Y17" s="599"/>
      <c r="Z17" s="599"/>
      <c r="AA17" s="599"/>
      <c r="AB17" s="599"/>
      <c r="AC17" s="599"/>
      <c r="AD17" s="599"/>
      <c r="AE17" s="599"/>
      <c r="AF17" s="599"/>
      <c r="AG17" s="599"/>
      <c r="AH17" s="599"/>
      <c r="AI17" s="599"/>
      <c r="AJ17" s="599"/>
      <c r="AK17" s="599"/>
      <c r="AL17" s="599"/>
      <c r="AM17" s="599"/>
      <c r="AN17" s="599"/>
      <c r="AO17" s="599"/>
      <c r="AP17" s="599"/>
      <c r="AQ17" s="599"/>
      <c r="AR17" s="599"/>
      <c r="AS17" s="599"/>
      <c r="AT17" s="599"/>
      <c r="AU17" s="599"/>
      <c r="AV17" s="599"/>
      <c r="AW17" s="599"/>
      <c r="AX17" s="599"/>
      <c r="AY17" s="223" t="s">
        <v>1238</v>
      </c>
      <c r="BJ17" s="438">
        <v>0</v>
      </c>
    </row>
    <row r="18" spans="1:62" ht="48.2" customHeight="1">
      <c r="A18" s="438"/>
      <c r="C18" s="459"/>
      <c r="D18" s="454">
        <v>3</v>
      </c>
      <c r="E18" s="213" t="s">
        <v>946</v>
      </c>
      <c r="F18" s="454" t="s">
        <v>390</v>
      </c>
      <c r="G18" s="708" t="s">
        <v>390</v>
      </c>
      <c r="H18" s="709" t="s">
        <v>390</v>
      </c>
      <c r="I18" s="454" t="s">
        <v>390</v>
      </c>
      <c r="J18" s="509" t="s">
        <v>390</v>
      </c>
      <c r="K18" s="1853" t="s">
        <v>390</v>
      </c>
      <c r="L18" s="1848" t="s">
        <v>390</v>
      </c>
      <c r="M18" s="1853" t="s">
        <v>390</v>
      </c>
      <c r="N18" s="1848" t="s">
        <v>390</v>
      </c>
      <c r="O18" s="1853" t="s">
        <v>390</v>
      </c>
      <c r="P18" s="1848" t="s">
        <v>390</v>
      </c>
      <c r="Q18" s="1853" t="s">
        <v>390</v>
      </c>
      <c r="R18" s="1848" t="s">
        <v>390</v>
      </c>
      <c r="S18" s="1853" t="s">
        <v>390</v>
      </c>
      <c r="T18" s="1848" t="s">
        <v>390</v>
      </c>
      <c r="U18" s="1853" t="s">
        <v>390</v>
      </c>
      <c r="V18" s="1848" t="s">
        <v>390</v>
      </c>
      <c r="W18" s="1853" t="s">
        <v>390</v>
      </c>
      <c r="X18" s="1848" t="s">
        <v>390</v>
      </c>
      <c r="Y18" s="1853" t="s">
        <v>390</v>
      </c>
      <c r="Z18" s="1848" t="s">
        <v>390</v>
      </c>
      <c r="AA18" s="1853" t="s">
        <v>390</v>
      </c>
      <c r="AB18" s="1848" t="s">
        <v>390</v>
      </c>
      <c r="AC18" s="1853" t="s">
        <v>390</v>
      </c>
      <c r="AD18" s="1848" t="s">
        <v>390</v>
      </c>
      <c r="AE18" s="1853" t="s">
        <v>390</v>
      </c>
      <c r="AF18" s="1848" t="s">
        <v>390</v>
      </c>
      <c r="AG18" s="1853" t="s">
        <v>390</v>
      </c>
      <c r="AH18" s="1848" t="s">
        <v>390</v>
      </c>
      <c r="AI18" s="1853" t="s">
        <v>390</v>
      </c>
      <c r="AJ18" s="1848" t="s">
        <v>390</v>
      </c>
      <c r="AK18" s="1853" t="s">
        <v>390</v>
      </c>
      <c r="AL18" s="1848" t="s">
        <v>390</v>
      </c>
      <c r="AM18" s="1853" t="s">
        <v>390</v>
      </c>
      <c r="AN18" s="1848" t="s">
        <v>390</v>
      </c>
      <c r="AO18" s="1853" t="s">
        <v>390</v>
      </c>
      <c r="AP18" s="1848" t="s">
        <v>390</v>
      </c>
      <c r="AQ18" s="1853" t="s">
        <v>390</v>
      </c>
      <c r="AR18" s="1848" t="s">
        <v>390</v>
      </c>
      <c r="AS18" s="1853" t="s">
        <v>390</v>
      </c>
      <c r="AT18" s="1848" t="s">
        <v>390</v>
      </c>
      <c r="AU18" s="1853" t="s">
        <v>390</v>
      </c>
      <c r="AV18" s="1848" t="s">
        <v>390</v>
      </c>
      <c r="AW18" s="1853" t="s">
        <v>390</v>
      </c>
      <c r="AX18" s="1848" t="s">
        <v>390</v>
      </c>
      <c r="AY18" s="223" t="s">
        <v>1239</v>
      </c>
      <c r="BJ18" s="438">
        <v>46</v>
      </c>
    </row>
    <row r="19" spans="1:62" ht="35.65" customHeight="1">
      <c r="A19" s="438"/>
      <c r="C19" s="459"/>
      <c r="D19" s="471" t="s">
        <v>408</v>
      </c>
      <c r="E19" s="491" t="s">
        <v>947</v>
      </c>
      <c r="F19" s="454" t="s">
        <v>948</v>
      </c>
      <c r="G19" s="716"/>
      <c r="H19" s="44"/>
      <c r="I19" s="716"/>
      <c r="J19" s="717"/>
      <c r="K19" s="716"/>
      <c r="L19" s="1864"/>
      <c r="M19" s="716"/>
      <c r="N19" s="1864"/>
      <c r="O19" s="716"/>
      <c r="P19" s="1864"/>
      <c r="Q19" s="716"/>
      <c r="R19" s="1864"/>
      <c r="S19" s="716"/>
      <c r="T19" s="1864"/>
      <c r="U19" s="716"/>
      <c r="V19" s="1864"/>
      <c r="W19" s="716"/>
      <c r="X19" s="1864"/>
      <c r="Y19" s="716"/>
      <c r="Z19" s="1864"/>
      <c r="AA19" s="716"/>
      <c r="AB19" s="1864"/>
      <c r="AC19" s="716"/>
      <c r="AD19" s="1864"/>
      <c r="AE19" s="716"/>
      <c r="AF19" s="1864"/>
      <c r="AG19" s="716"/>
      <c r="AH19" s="1864"/>
      <c r="AI19" s="716"/>
      <c r="AJ19" s="1864"/>
      <c r="AK19" s="716"/>
      <c r="AL19" s="1864"/>
      <c r="AM19" s="716"/>
      <c r="AN19" s="1864"/>
      <c r="AO19" s="716"/>
      <c r="AP19" s="1864"/>
      <c r="AQ19" s="716"/>
      <c r="AR19" s="1864"/>
      <c r="AS19" s="716"/>
      <c r="AT19" s="1864"/>
      <c r="AU19" s="716"/>
      <c r="AV19" s="1864"/>
      <c r="AW19" s="716"/>
      <c r="AX19" s="1864"/>
      <c r="AY19" s="600"/>
      <c r="BJ19" s="438">
        <v>34</v>
      </c>
    </row>
    <row r="20" spans="1:62" ht="35.65" customHeight="1">
      <c r="A20" s="438"/>
      <c r="C20" s="459"/>
      <c r="D20" s="1643" t="s">
        <v>416</v>
      </c>
      <c r="E20" s="491" t="s">
        <v>949</v>
      </c>
      <c r="F20" s="454" t="s">
        <v>950</v>
      </c>
      <c r="G20" s="716"/>
      <c r="H20" s="44"/>
      <c r="I20" s="716"/>
      <c r="J20" s="44"/>
      <c r="K20" s="716"/>
      <c r="L20" s="1864"/>
      <c r="M20" s="716"/>
      <c r="N20" s="1864"/>
      <c r="O20" s="716"/>
      <c r="P20" s="1864"/>
      <c r="Q20" s="716"/>
      <c r="R20" s="1864"/>
      <c r="S20" s="716"/>
      <c r="T20" s="1864"/>
      <c r="U20" s="716"/>
      <c r="V20" s="1864"/>
      <c r="W20" s="716"/>
      <c r="X20" s="1864"/>
      <c r="Y20" s="716"/>
      <c r="Z20" s="1864"/>
      <c r="AA20" s="716"/>
      <c r="AB20" s="1864"/>
      <c r="AC20" s="716"/>
      <c r="AD20" s="1864"/>
      <c r="AE20" s="716"/>
      <c r="AF20" s="1864"/>
      <c r="AG20" s="716"/>
      <c r="AH20" s="1864"/>
      <c r="AI20" s="716"/>
      <c r="AJ20" s="1864"/>
      <c r="AK20" s="716"/>
      <c r="AL20" s="1864"/>
      <c r="AM20" s="716"/>
      <c r="AN20" s="1864"/>
      <c r="AO20" s="716"/>
      <c r="AP20" s="1864"/>
      <c r="AQ20" s="716"/>
      <c r="AR20" s="1864"/>
      <c r="AS20" s="716"/>
      <c r="AT20" s="1864"/>
      <c r="AU20" s="716"/>
      <c r="AV20" s="1864"/>
      <c r="AW20" s="716"/>
      <c r="AX20" s="1864"/>
      <c r="AY20" s="600"/>
      <c r="BJ20" s="438">
        <v>34</v>
      </c>
    </row>
    <row r="21" spans="1:62" ht="48.2" customHeight="1">
      <c r="A21" s="438"/>
      <c r="C21" s="459"/>
      <c r="D21" s="1643" t="s">
        <v>418</v>
      </c>
      <c r="E21" s="491" t="s">
        <v>951</v>
      </c>
      <c r="F21" s="454" t="s">
        <v>660</v>
      </c>
      <c r="G21" s="601"/>
      <c r="H21" s="44"/>
      <c r="I21" s="601"/>
      <c r="J21" s="44"/>
      <c r="K21" s="601"/>
      <c r="L21" s="1864"/>
      <c r="M21" s="601"/>
      <c r="N21" s="1864"/>
      <c r="O21" s="601"/>
      <c r="P21" s="1864"/>
      <c r="Q21" s="601"/>
      <c r="R21" s="1864"/>
      <c r="S21" s="601"/>
      <c r="T21" s="1864"/>
      <c r="U21" s="601"/>
      <c r="V21" s="1864"/>
      <c r="W21" s="601"/>
      <c r="X21" s="1864"/>
      <c r="Y21" s="601"/>
      <c r="Z21" s="1864"/>
      <c r="AA21" s="601"/>
      <c r="AB21" s="1864"/>
      <c r="AC21" s="601"/>
      <c r="AD21" s="1864"/>
      <c r="AE21" s="601"/>
      <c r="AF21" s="1864"/>
      <c r="AG21" s="601"/>
      <c r="AH21" s="1864"/>
      <c r="AI21" s="601"/>
      <c r="AJ21" s="1864"/>
      <c r="AK21" s="601"/>
      <c r="AL21" s="1864"/>
      <c r="AM21" s="601"/>
      <c r="AN21" s="1864"/>
      <c r="AO21" s="601"/>
      <c r="AP21" s="1864"/>
      <c r="AQ21" s="601"/>
      <c r="AR21" s="1864"/>
      <c r="AS21" s="601"/>
      <c r="AT21" s="1864"/>
      <c r="AU21" s="601"/>
      <c r="AV21" s="1864"/>
      <c r="AW21" s="601"/>
      <c r="AX21" s="1864"/>
      <c r="AY21" s="600"/>
      <c r="BJ21" s="438">
        <v>46</v>
      </c>
    </row>
    <row r="22" spans="1:62" ht="67.5" hidden="1" customHeight="1">
      <c r="A22" s="438"/>
      <c r="C22" s="459"/>
      <c r="D22" s="454">
        <v>5</v>
      </c>
      <c r="E22" s="213" t="s">
        <v>1240</v>
      </c>
      <c r="F22" s="454" t="s">
        <v>642</v>
      </c>
      <c r="G22" s="602"/>
      <c r="H22" s="603"/>
      <c r="I22" s="602"/>
      <c r="J22" s="603"/>
      <c r="K22" s="602"/>
      <c r="L22" s="1227"/>
      <c r="M22" s="602"/>
      <c r="N22" s="1227"/>
      <c r="O22" s="602"/>
      <c r="P22" s="1227"/>
      <c r="Q22" s="602"/>
      <c r="R22" s="1227"/>
      <c r="S22" s="602"/>
      <c r="T22" s="1227"/>
      <c r="U22" s="602"/>
      <c r="V22" s="1227"/>
      <c r="W22" s="602"/>
      <c r="X22" s="1227"/>
      <c r="Y22" s="602"/>
      <c r="Z22" s="1227"/>
      <c r="AA22" s="602"/>
      <c r="AB22" s="1227"/>
      <c r="AC22" s="602"/>
      <c r="AD22" s="1227"/>
      <c r="AE22" s="602"/>
      <c r="AF22" s="1227"/>
      <c r="AG22" s="602"/>
      <c r="AH22" s="1227"/>
      <c r="AI22" s="602"/>
      <c r="AJ22" s="1227"/>
      <c r="AK22" s="602"/>
      <c r="AL22" s="1227"/>
      <c r="AM22" s="602"/>
      <c r="AN22" s="1227"/>
      <c r="AO22" s="602"/>
      <c r="AP22" s="1227"/>
      <c r="AQ22" s="602"/>
      <c r="AR22" s="1227"/>
      <c r="AS22" s="602"/>
      <c r="AT22" s="1227"/>
      <c r="AU22" s="602"/>
      <c r="AV22" s="1227"/>
      <c r="AW22" s="602"/>
      <c r="AX22" s="1227"/>
      <c r="AY22" s="223" t="s">
        <v>1241</v>
      </c>
      <c r="BJ22" s="438">
        <v>0</v>
      </c>
    </row>
    <row r="23" spans="1:62" ht="33.75" hidden="1" customHeight="1">
      <c r="C23" s="384"/>
      <c r="D23" s="454">
        <v>6</v>
      </c>
      <c r="E23" s="213" t="s">
        <v>1242</v>
      </c>
      <c r="F23" s="454" t="s">
        <v>1243</v>
      </c>
      <c r="G23" s="602"/>
      <c r="H23" s="602"/>
      <c r="I23" s="602"/>
      <c r="J23" s="602"/>
      <c r="K23" s="602"/>
      <c r="L23" s="602"/>
      <c r="M23" s="602"/>
      <c r="N23" s="602"/>
      <c r="O23" s="602"/>
      <c r="P23" s="602"/>
      <c r="Q23" s="602"/>
      <c r="R23" s="602"/>
      <c r="S23" s="602"/>
      <c r="T23" s="602"/>
      <c r="U23" s="602"/>
      <c r="V23" s="602"/>
      <c r="W23" s="602"/>
      <c r="X23" s="602"/>
      <c r="Y23" s="602"/>
      <c r="Z23" s="602"/>
      <c r="AA23" s="602"/>
      <c r="AB23" s="602"/>
      <c r="AC23" s="602"/>
      <c r="AD23" s="602"/>
      <c r="AE23" s="602"/>
      <c r="AF23" s="602"/>
      <c r="AG23" s="602"/>
      <c r="AH23" s="602"/>
      <c r="AI23" s="602"/>
      <c r="AJ23" s="602"/>
      <c r="AK23" s="602"/>
      <c r="AL23" s="602"/>
      <c r="AM23" s="602"/>
      <c r="AN23" s="602"/>
      <c r="AO23" s="602"/>
      <c r="AP23" s="602"/>
      <c r="AQ23" s="602"/>
      <c r="AR23" s="602"/>
      <c r="AS23" s="602"/>
      <c r="AT23" s="602"/>
      <c r="AU23" s="602"/>
      <c r="AV23" s="602"/>
      <c r="AW23" s="602"/>
      <c r="AX23" s="602"/>
      <c r="AY23" s="223" t="s">
        <v>1244</v>
      </c>
      <c r="BJ23" s="438">
        <v>0</v>
      </c>
    </row>
    <row r="24" spans="1:62" ht="15.75" customHeight="1">
      <c r="BJ24" s="438">
        <v>15</v>
      </c>
    </row>
    <row r="25" spans="1:62" ht="15.75" customHeight="1">
      <c r="BJ25" s="438">
        <v>15</v>
      </c>
    </row>
    <row r="26" spans="1:62" ht="15.75" customHeight="1">
      <c r="BJ26" s="438">
        <v>15</v>
      </c>
    </row>
    <row r="27" spans="1:62" ht="15.75" customHeight="1">
      <c r="BJ27" s="438">
        <v>15</v>
      </c>
    </row>
    <row r="28" spans="1:62" ht="15.75" customHeight="1">
      <c r="BJ28" s="438">
        <v>15</v>
      </c>
    </row>
    <row r="29" spans="1:62" ht="15.75" customHeight="1">
      <c r="J29" s="718"/>
      <c r="BJ29" s="438">
        <v>15</v>
      </c>
    </row>
    <row r="30" spans="1:62" ht="22.5" hidden="1" customHeight="1">
      <c r="A30" s="382" t="s">
        <v>69</v>
      </c>
      <c r="B30" s="438">
        <v>0</v>
      </c>
      <c r="C30" s="604">
        <v>4</v>
      </c>
      <c r="D30" s="438">
        <v>6</v>
      </c>
      <c r="E30" s="438">
        <v>47</v>
      </c>
      <c r="F30" s="438">
        <v>9</v>
      </c>
      <c r="G30" s="663">
        <v>0</v>
      </c>
      <c r="H30" s="663">
        <v>0</v>
      </c>
      <c r="I30" s="438">
        <v>25</v>
      </c>
      <c r="J30" s="438">
        <v>33</v>
      </c>
      <c r="K30" s="1423">
        <v>0</v>
      </c>
      <c r="L30" s="1423">
        <v>0</v>
      </c>
      <c r="M30" s="1423">
        <v>0</v>
      </c>
      <c r="N30" s="1423">
        <v>0</v>
      </c>
      <c r="O30" s="1423">
        <v>0</v>
      </c>
      <c r="P30" s="1423">
        <v>0</v>
      </c>
      <c r="Q30" s="1423">
        <v>0</v>
      </c>
      <c r="R30" s="1423">
        <v>0</v>
      </c>
      <c r="S30" s="1423">
        <v>0</v>
      </c>
      <c r="T30" s="1423">
        <v>0</v>
      </c>
      <c r="U30" s="1423">
        <v>0</v>
      </c>
      <c r="V30" s="1423">
        <v>0</v>
      </c>
      <c r="W30" s="1423">
        <v>0</v>
      </c>
      <c r="X30" s="1423">
        <v>0</v>
      </c>
      <c r="Y30" s="1423">
        <v>0</v>
      </c>
      <c r="Z30" s="1423">
        <v>0</v>
      </c>
      <c r="AA30" s="1423">
        <v>0</v>
      </c>
      <c r="AB30" s="1423">
        <v>0</v>
      </c>
      <c r="AC30" s="1423">
        <v>0</v>
      </c>
      <c r="AD30" s="1423">
        <v>0</v>
      </c>
      <c r="AE30" s="1423">
        <v>0</v>
      </c>
      <c r="AF30" s="1423">
        <v>0</v>
      </c>
      <c r="AG30" s="1423">
        <v>0</v>
      </c>
      <c r="AH30" s="1423">
        <v>0</v>
      </c>
      <c r="AI30" s="1423">
        <v>0</v>
      </c>
      <c r="AJ30" s="1423">
        <v>0</v>
      </c>
      <c r="AK30" s="1423">
        <v>0</v>
      </c>
      <c r="AL30" s="1423">
        <v>0</v>
      </c>
      <c r="AM30" s="1423">
        <v>0</v>
      </c>
      <c r="AN30" s="1423">
        <v>0</v>
      </c>
      <c r="AO30" s="1423">
        <v>0</v>
      </c>
      <c r="AP30" s="1423">
        <v>0</v>
      </c>
      <c r="AQ30" s="1423">
        <v>0</v>
      </c>
      <c r="AR30" s="1423">
        <v>0</v>
      </c>
      <c r="AS30" s="1423">
        <v>0</v>
      </c>
      <c r="AT30" s="1423">
        <v>0</v>
      </c>
      <c r="AU30" s="1423">
        <v>0</v>
      </c>
      <c r="AV30" s="1423">
        <v>0</v>
      </c>
      <c r="AW30" s="1423">
        <v>0</v>
      </c>
      <c r="AX30" s="1423">
        <v>0</v>
      </c>
      <c r="AY30" s="350">
        <v>50</v>
      </c>
      <c r="AZ30" s="438">
        <v>10</v>
      </c>
      <c r="BA30" s="438">
        <v>10</v>
      </c>
      <c r="BB30" s="438">
        <v>10</v>
      </c>
      <c r="BC30" s="438">
        <v>10</v>
      </c>
      <c r="BD30" s="438">
        <v>10</v>
      </c>
      <c r="BE30" s="438">
        <v>10</v>
      </c>
      <c r="BF30" s="438">
        <v>10</v>
      </c>
      <c r="BG30" s="438">
        <v>10</v>
      </c>
      <c r="BH30" s="438">
        <v>10</v>
      </c>
      <c r="BI30" s="596">
        <v>10</v>
      </c>
      <c r="BJ30" s="438">
        <v>23</v>
      </c>
    </row>
  </sheetData>
  <sheetProtection formatColumns="0" formatRows="0" insertRows="0" deleteColumns="0" deleteRows="0" sort="0" autoFilter="0"/>
  <mergeCells count="73">
    <mergeCell ref="AW9:AX9"/>
    <mergeCell ref="AW10:AX10"/>
    <mergeCell ref="AW11:AX11"/>
    <mergeCell ref="AS9:AT9"/>
    <mergeCell ref="AS10:AT10"/>
    <mergeCell ref="AS11:AT11"/>
    <mergeCell ref="AU9:AV9"/>
    <mergeCell ref="AU10:AV10"/>
    <mergeCell ref="AU11:AV11"/>
    <mergeCell ref="AO9:AP9"/>
    <mergeCell ref="AO10:AP10"/>
    <mergeCell ref="AO11:AP11"/>
    <mergeCell ref="AQ9:AR9"/>
    <mergeCell ref="AQ10:AR10"/>
    <mergeCell ref="AQ11:AR11"/>
    <mergeCell ref="AK9:AL9"/>
    <mergeCell ref="AK10:AL10"/>
    <mergeCell ref="AK11:AL11"/>
    <mergeCell ref="AM9:AN9"/>
    <mergeCell ref="AM10:AN10"/>
    <mergeCell ref="AM11:AN11"/>
    <mergeCell ref="AG9:AH9"/>
    <mergeCell ref="AG10:AH10"/>
    <mergeCell ref="AG11:AH11"/>
    <mergeCell ref="AI9:AJ9"/>
    <mergeCell ref="AI10:AJ10"/>
    <mergeCell ref="AI11:AJ11"/>
    <mergeCell ref="AC9:AD9"/>
    <mergeCell ref="AC10:AD10"/>
    <mergeCell ref="AC11:AD11"/>
    <mergeCell ref="AE9:AF9"/>
    <mergeCell ref="AE10:AF10"/>
    <mergeCell ref="AE11:AF11"/>
    <mergeCell ref="Y9:Z9"/>
    <mergeCell ref="Y10:Z10"/>
    <mergeCell ref="Y11:Z11"/>
    <mergeCell ref="AA9:AB9"/>
    <mergeCell ref="AA10:AB10"/>
    <mergeCell ref="AA11:AB11"/>
    <mergeCell ref="U9:V9"/>
    <mergeCell ref="U10:V10"/>
    <mergeCell ref="U11:V11"/>
    <mergeCell ref="W9:X9"/>
    <mergeCell ref="W10:X10"/>
    <mergeCell ref="W11:X11"/>
    <mergeCell ref="Q9:R9"/>
    <mergeCell ref="Q10:R10"/>
    <mergeCell ref="Q11:R11"/>
    <mergeCell ref="S9:T9"/>
    <mergeCell ref="S10:T10"/>
    <mergeCell ref="S11:T11"/>
    <mergeCell ref="M9:N9"/>
    <mergeCell ref="M10:N10"/>
    <mergeCell ref="M11:N11"/>
    <mergeCell ref="O9:P9"/>
    <mergeCell ref="O10:P10"/>
    <mergeCell ref="O11:P11"/>
    <mergeCell ref="D5:J5"/>
    <mergeCell ref="D6:J6"/>
    <mergeCell ref="AY9:AY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990" customWidth="1"/>
    <col min="2" max="2" width="11" style="1606" customWidth="1"/>
    <col min="3" max="3" width="9.140625" style="1606"/>
    <col min="4" max="4" width="26.5703125" style="1606" customWidth="1"/>
    <col min="5" max="5" width="36.85546875" style="1581" customWidth="1"/>
    <col min="6" max="6" width="23.5703125" style="1581" customWidth="1"/>
    <col min="7" max="7" width="31.42578125" style="1581" customWidth="1"/>
    <col min="8" max="8" width="40.85546875" style="1581" customWidth="1"/>
    <col min="9" max="9" width="14.5703125" style="1581" customWidth="1"/>
    <col min="10" max="10" width="26.85546875" style="1581" customWidth="1"/>
    <col min="11" max="11" width="50" style="1581" customWidth="1"/>
    <col min="12" max="12" width="52.42578125" style="1581" customWidth="1"/>
    <col min="13" max="13" width="10.7109375" style="1581" customWidth="1"/>
    <col min="14" max="14" width="55.140625" style="1581" customWidth="1"/>
    <col min="15" max="15" width="31.85546875" style="1581" customWidth="1"/>
    <col min="16" max="16" width="23.85546875" style="1581" customWidth="1"/>
    <col min="17" max="17" width="46.5703125" style="1581" customWidth="1"/>
    <col min="18" max="18" width="24" style="1581" customWidth="1"/>
    <col min="19" max="19" width="20.5703125" style="1581" customWidth="1"/>
    <col min="20" max="20" width="22" style="1581" customWidth="1"/>
    <col min="21" max="22" width="26.42578125" style="1581" customWidth="1"/>
    <col min="23" max="23" width="8.28515625" style="1581" hidden="1" customWidth="1"/>
    <col min="24" max="24" width="59.7109375" style="1581" customWidth="1"/>
    <col min="25" max="25" width="49.140625" style="1581" customWidth="1"/>
    <col min="26" max="26" width="11.140625" style="1581" customWidth="1"/>
    <col min="27" max="30" width="29" style="1581" customWidth="1"/>
    <col min="31" max="31" width="9.140625" style="1581"/>
    <col min="32" max="32" width="34.7109375" style="1581" customWidth="1"/>
    <col min="33" max="33" width="9.140625" style="1581"/>
    <col min="34" max="35" width="34.42578125" style="1581" customWidth="1"/>
    <col min="36" max="36" width="9.140625" style="1581"/>
    <col min="37" max="37" width="24.5703125" style="1581" customWidth="1"/>
    <col min="38" max="38" width="9.140625" style="1581"/>
    <col min="39" max="39" width="26.140625" style="1581" customWidth="1"/>
    <col min="40" max="40" width="1.7109375" style="1581" customWidth="1"/>
    <col min="41" max="41" width="9.140625" style="1581"/>
    <col min="42" max="43" width="47.85546875" style="1581" customWidth="1"/>
    <col min="44" max="44" width="1.7109375" style="1581" customWidth="1"/>
    <col min="45" max="45" width="21.42578125" style="1581" customWidth="1"/>
    <col min="46" max="46" width="1.7109375" style="1581" customWidth="1"/>
    <col min="47" max="47" width="31.28515625" style="1581" customWidth="1"/>
    <col min="48" max="48" width="1.7109375" style="1581" customWidth="1"/>
    <col min="49" max="50" width="9.140625" style="1581"/>
    <col min="51" max="51" width="3.7109375" style="1581" customWidth="1"/>
    <col min="52" max="52" width="60.85546875" style="1581" customWidth="1"/>
    <col min="53" max="53" width="49.28515625" style="1581" customWidth="1"/>
    <col min="54" max="54" width="35.140625" style="1581" customWidth="1"/>
    <col min="55" max="55" width="9.140625" style="1581"/>
    <col min="56" max="56" width="1.7109375" style="1581" customWidth="1"/>
    <col min="57" max="58" width="34.5703125" style="898" customWidth="1"/>
    <col min="59" max="59" width="30.7109375" style="1581" customWidth="1"/>
    <col min="60" max="60" width="40.7109375" style="1596" customWidth="1"/>
    <col min="61" max="61" width="15" style="1596" customWidth="1"/>
    <col min="62" max="62" width="40.7109375" style="1596" customWidth="1"/>
    <col min="63" max="63" width="2.7109375" style="1596" customWidth="1"/>
    <col min="64" max="64" width="44.7109375" style="1596" customWidth="1"/>
    <col min="65" max="65" width="2.7109375" style="1596" customWidth="1"/>
    <col min="66" max="66" width="40.7109375" style="1596" customWidth="1"/>
    <col min="67" max="68" width="9.140625" style="1581"/>
    <col min="69" max="69" width="18.140625" style="1581" customWidth="1"/>
    <col min="70" max="70" width="57.85546875" style="1581" customWidth="1"/>
    <col min="71" max="71" width="1.7109375" style="1581" customWidth="1"/>
    <col min="72" max="72" width="22.5703125" style="1581" customWidth="1"/>
    <col min="73" max="73" width="57.85546875" style="1581" customWidth="1"/>
    <col min="74" max="74" width="1.7109375" style="1581" customWidth="1"/>
    <col min="75" max="75" width="22.5703125" style="1581" customWidth="1"/>
    <col min="76" max="76" width="57.85546875" style="1581" customWidth="1"/>
    <col min="77" max="77" width="1.7109375" style="1581" customWidth="1"/>
    <col min="78" max="78" width="22.5703125" style="1581" customWidth="1"/>
    <col min="79" max="79" width="57.85546875" style="1581" customWidth="1"/>
    <col min="80" max="81" width="9.140625" style="1581"/>
    <col min="82" max="82" width="49.5703125" style="1581" customWidth="1"/>
  </cols>
  <sheetData>
    <row r="1" spans="1:79" s="1215" customFormat="1" ht="11.25" customHeight="1">
      <c r="A1" s="899" t="s">
        <v>1245</v>
      </c>
      <c r="B1" s="899" t="s">
        <v>1246</v>
      </c>
      <c r="C1" s="899" t="s">
        <v>1247</v>
      </c>
      <c r="D1" s="899" t="s">
        <v>1248</v>
      </c>
      <c r="E1" s="899" t="s">
        <v>1249</v>
      </c>
      <c r="F1" s="899" t="s">
        <v>1250</v>
      </c>
      <c r="G1" s="899" t="s">
        <v>1251</v>
      </c>
      <c r="H1" s="899" t="s">
        <v>1252</v>
      </c>
      <c r="I1" s="899" t="s">
        <v>1253</v>
      </c>
      <c r="J1" s="899" t="s">
        <v>1254</v>
      </c>
      <c r="K1" s="899" t="s">
        <v>1255</v>
      </c>
      <c r="L1" s="899" t="s">
        <v>1256</v>
      </c>
      <c r="M1" s="899"/>
      <c r="N1" s="899" t="s">
        <v>1257</v>
      </c>
      <c r="O1" s="899" t="s">
        <v>1258</v>
      </c>
      <c r="P1" s="899" t="s">
        <v>1259</v>
      </c>
      <c r="Q1" s="899" t="s">
        <v>1260</v>
      </c>
      <c r="R1" s="899" t="s">
        <v>1261</v>
      </c>
      <c r="S1" s="899" t="s">
        <v>1262</v>
      </c>
      <c r="T1" s="899" t="s">
        <v>1263</v>
      </c>
      <c r="U1" s="899" t="s">
        <v>1264</v>
      </c>
      <c r="V1" s="899"/>
      <c r="W1" s="696" t="s">
        <v>1265</v>
      </c>
      <c r="X1" s="899" t="s">
        <v>1266</v>
      </c>
      <c r="Y1" s="899" t="s">
        <v>1267</v>
      </c>
      <c r="Z1" s="899"/>
      <c r="AA1" s="899" t="s">
        <v>1268</v>
      </c>
      <c r="AB1" s="899"/>
      <c r="AC1" s="899" t="s">
        <v>1269</v>
      </c>
      <c r="AD1" s="899"/>
      <c r="AF1" s="899" t="s">
        <v>1270</v>
      </c>
      <c r="AH1" s="899" t="s">
        <v>1271</v>
      </c>
      <c r="AI1" s="899" t="s">
        <v>1272</v>
      </c>
      <c r="AK1" s="899" t="s">
        <v>1273</v>
      </c>
      <c r="AM1" s="899" t="s">
        <v>1274</v>
      </c>
      <c r="AP1" s="899" t="s">
        <v>1275</v>
      </c>
      <c r="AQ1" s="899" t="s">
        <v>1276</v>
      </c>
      <c r="AS1" s="899" t="s">
        <v>1277</v>
      </c>
      <c r="AU1" s="899" t="s">
        <v>1278</v>
      </c>
      <c r="AW1" s="899" t="s">
        <v>1279</v>
      </c>
      <c r="AX1" s="899" t="s">
        <v>1280</v>
      </c>
      <c r="AZ1" s="955" t="s">
        <v>1281</v>
      </c>
      <c r="BB1" s="899" t="s">
        <v>1282</v>
      </c>
      <c r="BC1" s="899"/>
      <c r="BE1" s="899" t="s">
        <v>1283</v>
      </c>
      <c r="BF1" s="899" t="s">
        <v>1284</v>
      </c>
      <c r="BH1" s="901" t="s">
        <v>939</v>
      </c>
      <c r="BI1" s="902"/>
      <c r="BJ1" s="903" t="s">
        <v>1285</v>
      </c>
      <c r="BK1" s="902"/>
      <c r="BL1" s="904" t="s">
        <v>960</v>
      </c>
      <c r="BM1" s="902"/>
      <c r="BN1" s="905" t="s">
        <v>1286</v>
      </c>
    </row>
    <row r="2" spans="1:79" ht="11.25" customHeight="1">
      <c r="A2" s="906" t="s">
        <v>1287</v>
      </c>
      <c r="B2" s="907">
        <v>2000</v>
      </c>
      <c r="C2" s="907">
        <v>2022</v>
      </c>
      <c r="D2" s="907" t="s">
        <v>52</v>
      </c>
      <c r="E2" s="908" t="s">
        <v>1288</v>
      </c>
      <c r="F2" s="908" t="s">
        <v>1289</v>
      </c>
      <c r="G2" s="908" t="s">
        <v>1290</v>
      </c>
      <c r="H2" s="909" t="s">
        <v>41</v>
      </c>
      <c r="I2" s="908" t="s">
        <v>161</v>
      </c>
      <c r="J2" s="908" t="s">
        <v>1291</v>
      </c>
      <c r="K2" s="910" t="s">
        <v>1292</v>
      </c>
      <c r="L2" s="911"/>
      <c r="M2" s="910">
        <v>1</v>
      </c>
      <c r="N2" s="963" t="s">
        <v>1293</v>
      </c>
      <c r="O2" s="909" t="s">
        <v>1294</v>
      </c>
      <c r="P2" s="912" t="s">
        <v>24</v>
      </c>
      <c r="Q2" s="913" t="s">
        <v>1295</v>
      </c>
      <c r="R2" s="79" t="s">
        <v>1296</v>
      </c>
      <c r="S2" s="79" t="s">
        <v>1297</v>
      </c>
      <c r="T2" s="914" t="s">
        <v>1298</v>
      </c>
      <c r="U2" s="911" t="s">
        <v>1299</v>
      </c>
      <c r="V2" s="915">
        <v>1</v>
      </c>
      <c r="W2" s="916"/>
      <c r="X2" s="916" t="s">
        <v>1300</v>
      </c>
      <c r="Y2" s="907" t="s">
        <v>1301</v>
      </c>
      <c r="Z2" s="917"/>
      <c r="AA2" s="907" t="s">
        <v>1302</v>
      </c>
      <c r="AB2" s="918" t="s">
        <v>1302</v>
      </c>
      <c r="AC2" s="907" t="s">
        <v>1303</v>
      </c>
      <c r="AD2" s="918" t="s">
        <v>1303</v>
      </c>
      <c r="AF2" s="909" t="s">
        <v>1299</v>
      </c>
      <c r="AH2" s="908" t="s">
        <v>1304</v>
      </c>
      <c r="AI2" s="908" t="s">
        <v>1304</v>
      </c>
      <c r="AK2" s="908" t="s">
        <v>1305</v>
      </c>
      <c r="AM2" s="908" t="s">
        <v>1306</v>
      </c>
      <c r="AP2" s="919" t="s">
        <v>1300</v>
      </c>
      <c r="AQ2" s="920" t="s">
        <v>1300</v>
      </c>
      <c r="AS2" s="907" t="s">
        <v>1307</v>
      </c>
      <c r="AU2" s="949" t="s">
        <v>1308</v>
      </c>
      <c r="AW2" s="949" t="s">
        <v>1309</v>
      </c>
      <c r="AX2" s="949" t="s">
        <v>1309</v>
      </c>
      <c r="AZ2" s="949" t="s">
        <v>39</v>
      </c>
      <c r="BB2" s="949" t="s">
        <v>653</v>
      </c>
      <c r="BC2" s="949" t="s">
        <v>654</v>
      </c>
      <c r="BE2" s="1838" t="s">
        <v>1310</v>
      </c>
      <c r="BF2" s="1838" t="s">
        <v>1310</v>
      </c>
    </row>
    <row r="3" spans="1:79" ht="11.25" customHeight="1">
      <c r="A3" s="906" t="s">
        <v>1311</v>
      </c>
      <c r="B3" s="907">
        <v>2001</v>
      </c>
      <c r="C3" s="907">
        <v>2023</v>
      </c>
      <c r="D3" s="907" t="s">
        <v>6</v>
      </c>
      <c r="E3" s="908" t="s">
        <v>1312</v>
      </c>
      <c r="F3" s="908" t="s">
        <v>1313</v>
      </c>
      <c r="G3" s="908" t="s">
        <v>1314</v>
      </c>
      <c r="H3" s="909" t="s">
        <v>1315</v>
      </c>
      <c r="I3" s="908" t="s">
        <v>89</v>
      </c>
      <c r="J3" s="908" t="s">
        <v>640</v>
      </c>
      <c r="K3" s="910" t="s">
        <v>1316</v>
      </c>
      <c r="L3" s="911">
        <f>IFERROR(MATCH(K3,OFFER_METHOD,0),0)</f>
        <v>0</v>
      </c>
      <c r="M3" s="910">
        <v>2</v>
      </c>
      <c r="N3" s="963" t="s">
        <v>1317</v>
      </c>
      <c r="O3" s="909" t="s">
        <v>1318</v>
      </c>
      <c r="P3" s="912" t="s">
        <v>1319</v>
      </c>
      <c r="Q3" s="913" t="s">
        <v>1320</v>
      </c>
      <c r="R3" s="79" t="s">
        <v>1321</v>
      </c>
      <c r="S3" s="79" t="s">
        <v>1322</v>
      </c>
      <c r="T3" s="914" t="s">
        <v>1323</v>
      </c>
      <c r="U3" s="911" t="s">
        <v>1324</v>
      </c>
      <c r="V3" s="915">
        <v>2</v>
      </c>
      <c r="W3" s="916"/>
      <c r="X3" s="916" t="s">
        <v>1325</v>
      </c>
      <c r="Y3" s="907" t="s">
        <v>1301</v>
      </c>
      <c r="Z3" s="917"/>
      <c r="AA3" s="907" t="s">
        <v>1326</v>
      </c>
      <c r="AB3" s="918" t="s">
        <v>1326</v>
      </c>
      <c r="AC3" s="907" t="s">
        <v>1327</v>
      </c>
      <c r="AD3" s="918" t="s">
        <v>1327</v>
      </c>
      <c r="AF3" s="909" t="s">
        <v>1324</v>
      </c>
      <c r="AH3" s="908" t="s">
        <v>1328</v>
      </c>
      <c r="AI3" s="908" t="s">
        <v>1329</v>
      </c>
      <c r="AK3" s="908" t="s">
        <v>1330</v>
      </c>
      <c r="AM3" s="908" t="s">
        <v>1331</v>
      </c>
      <c r="AP3" s="919" t="s">
        <v>1332</v>
      </c>
      <c r="AQ3" s="920" t="s">
        <v>1332</v>
      </c>
      <c r="AS3" s="907" t="s">
        <v>1333</v>
      </c>
      <c r="AU3" s="949" t="s">
        <v>1334</v>
      </c>
      <c r="AW3" s="949" t="s">
        <v>1335</v>
      </c>
      <c r="AX3" s="949" t="s">
        <v>1335</v>
      </c>
      <c r="AZ3" s="949" t="s">
        <v>1336</v>
      </c>
      <c r="BB3" s="949" t="s">
        <v>1337</v>
      </c>
      <c r="BC3" s="949" t="s">
        <v>654</v>
      </c>
      <c r="BE3" s="1838" t="s">
        <v>1338</v>
      </c>
      <c r="BF3" s="1838" t="s">
        <v>1338</v>
      </c>
      <c r="BH3" s="899" t="s">
        <v>1339</v>
      </c>
      <c r="BJ3" s="899" t="s">
        <v>1340</v>
      </c>
      <c r="BL3" s="899" t="s">
        <v>1341</v>
      </c>
      <c r="BN3" s="899" t="s">
        <v>1342</v>
      </c>
      <c r="BR3" s="899" t="s">
        <v>1343</v>
      </c>
      <c r="BS3" s="1216"/>
      <c r="BT3" s="902"/>
      <c r="BU3" s="899" t="s">
        <v>1344</v>
      </c>
      <c r="BV3" s="902"/>
      <c r="BW3" s="1477"/>
      <c r="BX3" s="1479" t="s">
        <v>1345</v>
      </c>
      <c r="CA3" s="899" t="s">
        <v>1346</v>
      </c>
    </row>
    <row r="4" spans="1:79" ht="11.25" customHeight="1">
      <c r="A4" s="906" t="s">
        <v>1347</v>
      </c>
      <c r="B4" s="907">
        <v>2002</v>
      </c>
      <c r="C4" s="907">
        <v>2024</v>
      </c>
      <c r="E4" s="908" t="s">
        <v>1348</v>
      </c>
      <c r="F4" s="908" t="s">
        <v>1349</v>
      </c>
      <c r="H4" s="909" t="s">
        <v>1350</v>
      </c>
      <c r="I4" s="908" t="s">
        <v>77</v>
      </c>
      <c r="J4" s="908" t="s">
        <v>1351</v>
      </c>
      <c r="K4" s="910" t="s">
        <v>1352</v>
      </c>
      <c r="L4" s="911">
        <f>IFERROR(MATCH(K4,OFFER_METHOD,0),0)</f>
        <v>0</v>
      </c>
      <c r="M4" s="910">
        <v>3</v>
      </c>
      <c r="N4" s="963" t="s">
        <v>1353</v>
      </c>
      <c r="O4" s="908" t="s">
        <v>1354</v>
      </c>
      <c r="Q4" s="913" t="s">
        <v>1355</v>
      </c>
      <c r="R4" s="79" t="s">
        <v>1356</v>
      </c>
      <c r="S4" s="79" t="s">
        <v>1357</v>
      </c>
      <c r="T4" s="914" t="s">
        <v>1358</v>
      </c>
      <c r="U4" s="911" t="s">
        <v>1359</v>
      </c>
      <c r="V4" s="915">
        <v>3</v>
      </c>
      <c r="W4" s="916"/>
      <c r="X4" s="916" t="s">
        <v>1360</v>
      </c>
      <c r="Y4" s="907" t="s">
        <v>1301</v>
      </c>
      <c r="Z4" s="922"/>
      <c r="AC4" s="907" t="s">
        <v>1361</v>
      </c>
      <c r="AD4" s="918" t="s">
        <v>1361</v>
      </c>
      <c r="AF4" s="909" t="s">
        <v>1359</v>
      </c>
      <c r="AH4" s="909" t="s">
        <v>1362</v>
      </c>
      <c r="AK4" s="908" t="s">
        <v>1363</v>
      </c>
      <c r="AM4" s="908" t="s">
        <v>1364</v>
      </c>
      <c r="AP4" s="919" t="s">
        <v>1325</v>
      </c>
      <c r="AQ4" s="920" t="s">
        <v>1325</v>
      </c>
      <c r="AS4" s="907" t="s">
        <v>1365</v>
      </c>
      <c r="AU4" s="949" t="s">
        <v>1366</v>
      </c>
      <c r="AW4" s="949" t="s">
        <v>1367</v>
      </c>
      <c r="AX4" s="949" t="s">
        <v>1367</v>
      </c>
      <c r="AZ4" s="949" t="s">
        <v>1368</v>
      </c>
      <c r="BB4" s="949" t="s">
        <v>1369</v>
      </c>
      <c r="BC4" s="949" t="s">
        <v>1370</v>
      </c>
      <c r="BE4" s="949">
        <v>2000</v>
      </c>
      <c r="BF4" s="949" t="s">
        <v>1071</v>
      </c>
      <c r="BH4" s="900" t="s">
        <v>1371</v>
      </c>
      <c r="BJ4" s="900" t="s">
        <v>1371</v>
      </c>
      <c r="BL4" s="900" t="s">
        <v>1371</v>
      </c>
      <c r="BN4" s="900" t="s">
        <v>1371</v>
      </c>
      <c r="BQ4" s="1220" t="s">
        <v>1372</v>
      </c>
      <c r="BR4" s="960" t="s">
        <v>1373</v>
      </c>
      <c r="BS4" s="208"/>
      <c r="BT4" s="1220" t="s">
        <v>1374</v>
      </c>
      <c r="BU4" s="960" t="s">
        <v>1375</v>
      </c>
      <c r="BV4" s="902"/>
      <c r="BW4" s="1484" t="s">
        <v>1376</v>
      </c>
      <c r="BX4" s="1478" t="s">
        <v>1377</v>
      </c>
      <c r="BZ4" s="1220" t="s">
        <v>1378</v>
      </c>
      <c r="CA4" s="960" t="s">
        <v>1379</v>
      </c>
    </row>
    <row r="5" spans="1:79" ht="11.25" customHeight="1">
      <c r="A5" s="906" t="s">
        <v>1380</v>
      </c>
      <c r="B5" s="907">
        <v>2003</v>
      </c>
      <c r="C5" s="907">
        <v>2025</v>
      </c>
      <c r="E5" s="908" t="s">
        <v>1381</v>
      </c>
      <c r="F5" s="908" t="s">
        <v>1382</v>
      </c>
      <c r="H5" s="909" t="s">
        <v>1383</v>
      </c>
      <c r="I5" s="908" t="s">
        <v>78</v>
      </c>
      <c r="K5" s="910" t="s">
        <v>1384</v>
      </c>
      <c r="L5" s="911">
        <f>IFERROR(MATCH(K5,OFFER_METHOD,0),0)</f>
        <v>0</v>
      </c>
      <c r="M5" s="910">
        <v>4</v>
      </c>
      <c r="N5" s="923" t="s">
        <v>1385</v>
      </c>
      <c r="O5" s="908" t="s">
        <v>1386</v>
      </c>
      <c r="Q5" s="913" t="s">
        <v>1387</v>
      </c>
      <c r="R5" s="79" t="s">
        <v>1388</v>
      </c>
      <c r="T5" s="909" t="s">
        <v>1389</v>
      </c>
      <c r="U5" s="911" t="s">
        <v>1390</v>
      </c>
      <c r="V5" s="915">
        <v>4</v>
      </c>
      <c r="W5" s="916"/>
      <c r="X5" s="916" t="s">
        <v>252</v>
      </c>
      <c r="Y5" s="907" t="s">
        <v>1391</v>
      </c>
      <c r="Z5" s="922">
        <v>1</v>
      </c>
      <c r="AF5" s="909" t="s">
        <v>1392</v>
      </c>
      <c r="AH5" s="908" t="s">
        <v>1393</v>
      </c>
      <c r="AK5" s="908" t="s">
        <v>1394</v>
      </c>
      <c r="AM5" s="908" t="s">
        <v>1395</v>
      </c>
      <c r="AP5" s="919" t="s">
        <v>252</v>
      </c>
      <c r="AQ5" s="920" t="s">
        <v>252</v>
      </c>
      <c r="AU5" s="949" t="s">
        <v>1396</v>
      </c>
      <c r="AW5" s="949" t="s">
        <v>1397</v>
      </c>
      <c r="AX5" s="949" t="s">
        <v>1397</v>
      </c>
      <c r="AZ5" s="949" t="s">
        <v>1398</v>
      </c>
      <c r="BB5" s="949" t="s">
        <v>1399</v>
      </c>
      <c r="BC5" s="949" t="s">
        <v>656</v>
      </c>
      <c r="BE5" s="949">
        <v>2001</v>
      </c>
      <c r="BF5" s="949" t="s">
        <v>1105</v>
      </c>
      <c r="BH5" s="900" t="s">
        <v>1054</v>
      </c>
      <c r="BJ5" s="900" t="s">
        <v>1054</v>
      </c>
      <c r="BL5" s="900" t="s">
        <v>1054</v>
      </c>
      <c r="BN5" s="900" t="s">
        <v>1400</v>
      </c>
      <c r="BQ5" s="1069">
        <v>4213775</v>
      </c>
      <c r="BR5" s="900" t="s">
        <v>1300</v>
      </c>
      <c r="BS5" s="1217"/>
      <c r="BT5" s="1069">
        <v>64236871</v>
      </c>
      <c r="BU5" s="900" t="s">
        <v>313</v>
      </c>
      <c r="BV5" s="902"/>
      <c r="BW5" s="1482">
        <v>4213767</v>
      </c>
      <c r="BX5" s="1480" t="s">
        <v>1401</v>
      </c>
      <c r="BZ5" s="1069">
        <v>64237509</v>
      </c>
      <c r="CA5" s="1083" t="s">
        <v>1402</v>
      </c>
    </row>
    <row r="6" spans="1:79" ht="11.25" customHeight="1">
      <c r="A6" s="906" t="s">
        <v>1403</v>
      </c>
      <c r="B6" s="907">
        <v>2004</v>
      </c>
      <c r="C6" s="907">
        <v>2026</v>
      </c>
      <c r="E6" s="908" t="s">
        <v>1404</v>
      </c>
      <c r="F6" s="924"/>
      <c r="H6" s="909" t="s">
        <v>1405</v>
      </c>
      <c r="I6" s="908" t="s">
        <v>115</v>
      </c>
      <c r="J6" s="899" t="s">
        <v>1406</v>
      </c>
      <c r="L6" s="911">
        <f>SUM(kind_of_control_method_filter)</f>
        <v>0</v>
      </c>
      <c r="N6" s="923" t="s">
        <v>1407</v>
      </c>
      <c r="O6" s="908" t="s">
        <v>1408</v>
      </c>
      <c r="R6" s="79" t="s">
        <v>1295</v>
      </c>
      <c r="T6" s="909" t="s">
        <v>1409</v>
      </c>
      <c r="U6" s="911" t="s">
        <v>1392</v>
      </c>
      <c r="V6" s="915">
        <v>5</v>
      </c>
      <c r="W6" s="916"/>
      <c r="X6" s="907" t="s">
        <v>258</v>
      </c>
      <c r="Y6" s="907" t="s">
        <v>1410</v>
      </c>
      <c r="Z6" s="922"/>
      <c r="AA6" s="925"/>
      <c r="AH6" s="908" t="s">
        <v>1411</v>
      </c>
      <c r="AK6" s="908" t="s">
        <v>1412</v>
      </c>
      <c r="AM6" s="908" t="s">
        <v>1413</v>
      </c>
      <c r="AP6" s="919" t="s">
        <v>258</v>
      </c>
      <c r="AQ6" s="920" t="s">
        <v>258</v>
      </c>
      <c r="AU6" s="949" t="s">
        <v>1414</v>
      </c>
      <c r="AW6" s="949" t="s">
        <v>1415</v>
      </c>
      <c r="AX6" s="949" t="s">
        <v>1415</v>
      </c>
      <c r="BB6" s="949" t="s">
        <v>1416</v>
      </c>
      <c r="BC6" s="949" t="s">
        <v>656</v>
      </c>
      <c r="BE6" s="949">
        <v>2002</v>
      </c>
      <c r="BF6" s="949" t="s">
        <v>1417</v>
      </c>
      <c r="BH6" s="900" t="s">
        <v>1418</v>
      </c>
      <c r="BJ6" s="900" t="s">
        <v>1419</v>
      </c>
      <c r="BL6" s="900" t="s">
        <v>1419</v>
      </c>
      <c r="BN6" s="900" t="s">
        <v>1420</v>
      </c>
      <c r="BQ6" s="1069">
        <v>4213784</v>
      </c>
      <c r="BR6" s="1083" t="s">
        <v>1332</v>
      </c>
      <c r="BS6" s="1218"/>
      <c r="BT6" s="1069">
        <v>64236872</v>
      </c>
      <c r="BU6" s="900" t="s">
        <v>318</v>
      </c>
      <c r="BV6" s="902"/>
      <c r="BW6" s="1482">
        <v>4213768</v>
      </c>
      <c r="BX6" s="1480" t="s">
        <v>338</v>
      </c>
      <c r="BZ6" s="1069">
        <v>64237510</v>
      </c>
      <c r="CA6" s="900" t="s">
        <v>1421</v>
      </c>
    </row>
    <row r="7" spans="1:79" ht="11.25" customHeight="1">
      <c r="A7" s="906" t="s">
        <v>1422</v>
      </c>
      <c r="B7" s="907">
        <v>2005</v>
      </c>
      <c r="E7" s="908" t="s">
        <v>1423</v>
      </c>
      <c r="F7" s="924"/>
      <c r="H7" s="909" t="s">
        <v>1424</v>
      </c>
      <c r="I7" s="908" t="s">
        <v>79</v>
      </c>
      <c r="J7" s="908" t="s">
        <v>1425</v>
      </c>
      <c r="N7" s="927" t="s">
        <v>1426</v>
      </c>
      <c r="O7" s="908" t="s">
        <v>1427</v>
      </c>
      <c r="U7" s="911" t="s">
        <v>6</v>
      </c>
      <c r="V7" s="303" t="s">
        <v>79</v>
      </c>
      <c r="W7" s="916"/>
      <c r="X7" s="907" t="s">
        <v>264</v>
      </c>
      <c r="Y7" s="907" t="s">
        <v>1391</v>
      </c>
      <c r="Z7" s="922"/>
      <c r="AA7" s="925"/>
      <c r="AH7" s="908" t="s">
        <v>1428</v>
      </c>
      <c r="AK7" s="908" t="s">
        <v>1429</v>
      </c>
      <c r="AM7" s="908" t="s">
        <v>1430</v>
      </c>
      <c r="AP7" s="919" t="s">
        <v>264</v>
      </c>
      <c r="AQ7" s="920" t="s">
        <v>264</v>
      </c>
      <c r="AU7" s="949" t="s">
        <v>1431</v>
      </c>
      <c r="AW7" s="949" t="s">
        <v>1432</v>
      </c>
      <c r="AX7" s="949" t="s">
        <v>1432</v>
      </c>
      <c r="AZ7" s="899" t="s">
        <v>1433</v>
      </c>
      <c r="BB7" s="949" t="s">
        <v>657</v>
      </c>
      <c r="BC7" s="949" t="s">
        <v>656</v>
      </c>
      <c r="BE7" s="949">
        <v>2003</v>
      </c>
      <c r="BF7" s="949" t="s">
        <v>1434</v>
      </c>
      <c r="BH7" s="900" t="s">
        <v>1061</v>
      </c>
      <c r="BJ7" s="900" t="s">
        <v>1418</v>
      </c>
      <c r="BL7" s="900" t="s">
        <v>1418</v>
      </c>
      <c r="BN7" s="900" t="s">
        <v>1435</v>
      </c>
      <c r="BQ7" s="1069">
        <v>4213781</v>
      </c>
      <c r="BR7" s="900" t="s">
        <v>1325</v>
      </c>
      <c r="BS7" s="1217"/>
      <c r="BT7" s="1069">
        <v>64236873</v>
      </c>
      <c r="BU7" s="900" t="s">
        <v>323</v>
      </c>
      <c r="BV7" s="902"/>
      <c r="BW7" s="1482">
        <v>4213769</v>
      </c>
      <c r="BX7" s="1480" t="s">
        <v>1436</v>
      </c>
      <c r="BZ7" s="1069">
        <v>64237511</v>
      </c>
      <c r="CA7" s="900" t="s">
        <v>353</v>
      </c>
    </row>
    <row r="8" spans="1:79" ht="11.25" customHeight="1">
      <c r="A8" s="906" t="s">
        <v>1437</v>
      </c>
      <c r="B8" s="907">
        <v>2006</v>
      </c>
      <c r="E8" s="908" t="s">
        <v>1438</v>
      </c>
      <c r="F8" s="924"/>
      <c r="H8" s="909" t="s">
        <v>1439</v>
      </c>
      <c r="I8" s="908" t="s">
        <v>80</v>
      </c>
      <c r="J8" s="908" t="s">
        <v>1440</v>
      </c>
      <c r="N8" s="964" t="s">
        <v>1441</v>
      </c>
      <c r="O8" s="908" t="s">
        <v>1442</v>
      </c>
      <c r="V8" s="303" t="s">
        <v>80</v>
      </c>
      <c r="W8" s="916"/>
      <c r="X8" s="907" t="s">
        <v>270</v>
      </c>
      <c r="Y8" s="907" t="s">
        <v>1391</v>
      </c>
      <c r="Z8" s="922"/>
      <c r="AA8" s="925"/>
      <c r="AK8" s="908" t="s">
        <v>1443</v>
      </c>
      <c r="AP8" s="919" t="s">
        <v>270</v>
      </c>
      <c r="AQ8" s="920" t="s">
        <v>270</v>
      </c>
      <c r="AU8" s="949" t="s">
        <v>1444</v>
      </c>
      <c r="AW8" s="949" t="s">
        <v>1445</v>
      </c>
      <c r="AX8" s="949" t="s">
        <v>1445</v>
      </c>
      <c r="AZ8" s="949" t="s">
        <v>54</v>
      </c>
      <c r="BB8" s="949" t="s">
        <v>1446</v>
      </c>
      <c r="BC8" s="949" t="s">
        <v>656</v>
      </c>
      <c r="BE8" s="949">
        <v>2004</v>
      </c>
      <c r="BF8" s="949" t="s">
        <v>1081</v>
      </c>
      <c r="BH8" s="900" t="s">
        <v>1447</v>
      </c>
      <c r="BJ8" s="900" t="s">
        <v>1448</v>
      </c>
      <c r="BL8" s="900" t="s">
        <v>1448</v>
      </c>
      <c r="BN8" s="900" t="s">
        <v>1080</v>
      </c>
      <c r="BQ8" s="1069">
        <v>4213776</v>
      </c>
      <c r="BR8" s="900" t="s">
        <v>252</v>
      </c>
      <c r="BS8" s="1217"/>
      <c r="BT8" s="1069">
        <v>64236874</v>
      </c>
      <c r="BU8" s="1083" t="s">
        <v>1449</v>
      </c>
      <c r="BV8" s="902"/>
      <c r="BW8" s="1482">
        <v>4213770</v>
      </c>
      <c r="BX8" s="1483" t="s">
        <v>1450</v>
      </c>
      <c r="BZ8" s="1069">
        <v>64237512</v>
      </c>
      <c r="CA8" s="900" t="s">
        <v>348</v>
      </c>
    </row>
    <row r="9" spans="1:79" ht="11.25" customHeight="1">
      <c r="A9" s="906" t="s">
        <v>1451</v>
      </c>
      <c r="B9" s="907">
        <v>2007</v>
      </c>
      <c r="E9" s="908" t="s">
        <v>1452</v>
      </c>
      <c r="F9" s="924"/>
      <c r="G9" s="899" t="s">
        <v>1453</v>
      </c>
      <c r="H9" s="899" t="s">
        <v>1454</v>
      </c>
      <c r="I9" s="908" t="s">
        <v>131</v>
      </c>
      <c r="O9" s="908" t="s">
        <v>1455</v>
      </c>
      <c r="V9" s="303" t="s">
        <v>131</v>
      </c>
      <c r="W9" s="916"/>
      <c r="X9" s="907" t="s">
        <v>276</v>
      </c>
      <c r="Y9" s="907" t="s">
        <v>1301</v>
      </c>
      <c r="Z9" s="922">
        <v>1</v>
      </c>
      <c r="AA9" s="925"/>
      <c r="AK9" s="908" t="s">
        <v>1456</v>
      </c>
      <c r="AP9" s="919" t="s">
        <v>1457</v>
      </c>
      <c r="AQ9" s="920" t="s">
        <v>1457</v>
      </c>
      <c r="AW9" s="949" t="s">
        <v>1458</v>
      </c>
      <c r="AX9" s="949" t="s">
        <v>1458</v>
      </c>
      <c r="AZ9" s="949" t="s">
        <v>1459</v>
      </c>
      <c r="BB9" s="949" t="s">
        <v>1460</v>
      </c>
      <c r="BC9" s="949" t="s">
        <v>656</v>
      </c>
      <c r="BE9" s="949">
        <v>2005</v>
      </c>
      <c r="BF9" s="949" t="s">
        <v>1461</v>
      </c>
      <c r="BH9" s="900" t="s">
        <v>1462</v>
      </c>
      <c r="BJ9" s="900" t="s">
        <v>1463</v>
      </c>
      <c r="BL9" s="900" t="s">
        <v>1463</v>
      </c>
      <c r="BN9" s="900" t="s">
        <v>1464</v>
      </c>
      <c r="BQ9" s="1069">
        <v>4213777</v>
      </c>
      <c r="BR9" s="900" t="s">
        <v>258</v>
      </c>
      <c r="BS9" s="1217"/>
      <c r="BT9" s="1069">
        <v>64236875</v>
      </c>
      <c r="BU9" s="900" t="s">
        <v>328</v>
      </c>
      <c r="BV9" s="902"/>
      <c r="BW9" s="1477"/>
      <c r="BX9" s="1477"/>
    </row>
    <row r="10" spans="1:79" ht="11.25" customHeight="1">
      <c r="A10" s="906" t="s">
        <v>1465</v>
      </c>
      <c r="B10" s="907">
        <v>2008</v>
      </c>
      <c r="E10" s="908" t="s">
        <v>1466</v>
      </c>
      <c r="F10" s="924"/>
      <c r="G10" s="908" t="s">
        <v>1467</v>
      </c>
      <c r="H10" s="908" t="s">
        <v>1468</v>
      </c>
      <c r="I10" s="908" t="s">
        <v>133</v>
      </c>
      <c r="J10" s="899" t="s">
        <v>1469</v>
      </c>
      <c r="K10" s="899" t="s">
        <v>1470</v>
      </c>
      <c r="O10" s="908" t="s">
        <v>1471</v>
      </c>
      <c r="V10" s="304" t="s">
        <v>133</v>
      </c>
      <c r="W10" s="928"/>
      <c r="X10" s="928" t="s">
        <v>1472</v>
      </c>
      <c r="Y10" s="929" t="s">
        <v>1473</v>
      </c>
      <c r="Z10" s="922"/>
      <c r="AP10" s="919" t="s">
        <v>1472</v>
      </c>
      <c r="AQ10" s="920" t="s">
        <v>1472</v>
      </c>
      <c r="AW10" s="949" t="s">
        <v>1474</v>
      </c>
      <c r="AX10" s="949" t="s">
        <v>1474</v>
      </c>
      <c r="AZ10" s="949" t="s">
        <v>1191</v>
      </c>
      <c r="BB10" s="949" t="s">
        <v>1475</v>
      </c>
      <c r="BC10" s="949" t="s">
        <v>656</v>
      </c>
      <c r="BE10" s="949">
        <v>2006</v>
      </c>
      <c r="BF10" s="949" t="s">
        <v>1476</v>
      </c>
      <c r="BH10" s="900" t="s">
        <v>1477</v>
      </c>
      <c r="BJ10" s="900" t="s">
        <v>1478</v>
      </c>
      <c r="BL10" s="900" t="s">
        <v>1478</v>
      </c>
      <c r="BN10" s="900" t="s">
        <v>1479</v>
      </c>
      <c r="BQ10" s="1069">
        <v>4213778</v>
      </c>
      <c r="BR10" s="900" t="s">
        <v>264</v>
      </c>
      <c r="BS10" s="1217"/>
      <c r="BT10" s="1069">
        <v>64236876</v>
      </c>
      <c r="BU10" s="900" t="s">
        <v>308</v>
      </c>
      <c r="BV10" s="902"/>
      <c r="BW10" s="1477"/>
      <c r="BX10" s="1477"/>
    </row>
    <row r="11" spans="1:79" ht="11.25" customHeight="1">
      <c r="A11" s="906" t="s">
        <v>1480</v>
      </c>
      <c r="B11" s="907">
        <v>2009</v>
      </c>
      <c r="E11" s="908" t="s">
        <v>1481</v>
      </c>
      <c r="F11" s="924"/>
      <c r="G11" s="908" t="s">
        <v>1482</v>
      </c>
      <c r="H11" s="908" t="s">
        <v>1483</v>
      </c>
      <c r="I11" s="908" t="s">
        <v>138</v>
      </c>
      <c r="J11" s="909" t="s">
        <v>1484</v>
      </c>
      <c r="K11" s="930" t="s">
        <v>1485</v>
      </c>
      <c r="O11" s="909" t="s">
        <v>991</v>
      </c>
      <c r="V11" s="303" t="s">
        <v>138</v>
      </c>
      <c r="W11" s="209"/>
      <c r="X11" s="916" t="s">
        <v>1457</v>
      </c>
      <c r="Y11" s="907" t="s">
        <v>1486</v>
      </c>
      <c r="Z11" s="922"/>
      <c r="AP11" s="919" t="s">
        <v>276</v>
      </c>
      <c r="AQ11" s="921" t="s">
        <v>276</v>
      </c>
      <c r="AW11" s="949" t="s">
        <v>1487</v>
      </c>
      <c r="AX11" s="949" t="s">
        <v>1487</v>
      </c>
      <c r="AZ11" s="949" t="s">
        <v>1488</v>
      </c>
      <c r="BB11" s="949" t="s">
        <v>655</v>
      </c>
      <c r="BC11" s="949" t="s">
        <v>656</v>
      </c>
      <c r="BE11" s="949">
        <v>2007</v>
      </c>
      <c r="BF11" s="949" t="s">
        <v>1085</v>
      </c>
      <c r="BH11" s="900" t="s">
        <v>1489</v>
      </c>
      <c r="BJ11" s="900" t="s">
        <v>1462</v>
      </c>
      <c r="BL11" s="900" t="s">
        <v>1462</v>
      </c>
      <c r="BN11" s="900" t="s">
        <v>1490</v>
      </c>
      <c r="BQ11" s="1069">
        <v>4213780</v>
      </c>
      <c r="BR11" s="900" t="s">
        <v>270</v>
      </c>
      <c r="BS11" s="1217"/>
      <c r="BW11" s="1477"/>
      <c r="BX11" s="1477"/>
    </row>
    <row r="12" spans="1:79" ht="11.25" customHeight="1">
      <c r="A12" s="906" t="s">
        <v>1491</v>
      </c>
      <c r="B12" s="907">
        <v>2010</v>
      </c>
      <c r="E12" s="908" t="s">
        <v>1492</v>
      </c>
      <c r="F12" s="924"/>
      <c r="G12" s="908" t="s">
        <v>1483</v>
      </c>
      <c r="I12" s="908" t="s">
        <v>140</v>
      </c>
      <c r="J12" s="909" t="s">
        <v>1493</v>
      </c>
      <c r="K12" s="930" t="s">
        <v>1494</v>
      </c>
      <c r="O12" s="909" t="s">
        <v>1295</v>
      </c>
      <c r="V12" s="303" t="s">
        <v>140</v>
      </c>
      <c r="W12" s="921"/>
      <c r="X12" s="916" t="s">
        <v>1495</v>
      </c>
      <c r="Y12" s="907" t="s">
        <v>1301</v>
      </c>
      <c r="AP12" s="919"/>
      <c r="AW12" s="949" t="s">
        <v>138</v>
      </c>
      <c r="AX12" s="949" t="s">
        <v>138</v>
      </c>
      <c r="AZ12" s="949" t="s">
        <v>1496</v>
      </c>
      <c r="BB12" s="949" t="s">
        <v>1497</v>
      </c>
      <c r="BC12" s="949" t="s">
        <v>656</v>
      </c>
      <c r="BE12" s="949">
        <v>2008</v>
      </c>
      <c r="BF12" s="949" t="s">
        <v>1498</v>
      </c>
      <c r="BH12" s="900" t="s">
        <v>1499</v>
      </c>
      <c r="BJ12" s="900" t="s">
        <v>1500</v>
      </c>
      <c r="BL12" s="900" t="s">
        <v>1500</v>
      </c>
      <c r="BN12" s="900" t="s">
        <v>1501</v>
      </c>
      <c r="BQ12" s="1069">
        <v>4213779</v>
      </c>
      <c r="BR12" s="900" t="s">
        <v>1457</v>
      </c>
      <c r="BS12" s="1217"/>
      <c r="BT12" s="902"/>
      <c r="BU12" s="902"/>
      <c r="BV12" s="902"/>
      <c r="BW12" s="1477"/>
      <c r="BX12" s="1477"/>
    </row>
    <row r="13" spans="1:79" ht="11.25" customHeight="1">
      <c r="A13" s="906" t="s">
        <v>1502</v>
      </c>
      <c r="B13" s="907">
        <v>2011</v>
      </c>
      <c r="E13" s="908" t="s">
        <v>1503</v>
      </c>
      <c r="F13" s="924"/>
      <c r="I13" s="908" t="s">
        <v>145</v>
      </c>
      <c r="K13" s="930" t="s">
        <v>1456</v>
      </c>
      <c r="V13" s="303" t="s">
        <v>145</v>
      </c>
      <c r="W13" s="921"/>
      <c r="X13" s="921"/>
      <c r="Y13" s="921"/>
      <c r="AW13" s="949" t="s">
        <v>140</v>
      </c>
      <c r="AX13" s="949" t="s">
        <v>140</v>
      </c>
      <c r="BB13" s="949" t="s">
        <v>1504</v>
      </c>
      <c r="BC13" s="949" t="s">
        <v>1505</v>
      </c>
      <c r="BE13" s="949">
        <v>2009</v>
      </c>
      <c r="BF13" s="949" t="s">
        <v>1086</v>
      </c>
      <c r="BH13" s="900" t="s">
        <v>1506</v>
      </c>
      <c r="BJ13" s="900" t="s">
        <v>1489</v>
      </c>
      <c r="BL13" s="900" t="s">
        <v>1489</v>
      </c>
      <c r="BN13" s="900" t="s">
        <v>1507</v>
      </c>
      <c r="BQ13" s="1069">
        <v>4213783</v>
      </c>
      <c r="BR13" s="900" t="s">
        <v>1472</v>
      </c>
      <c r="BS13" s="1217"/>
      <c r="BT13" s="902"/>
      <c r="BU13" s="902"/>
      <c r="BV13" s="902"/>
      <c r="BW13" s="1481"/>
      <c r="BX13" s="1477"/>
    </row>
    <row r="14" spans="1:79" ht="11.25" customHeight="1">
      <c r="A14" s="906" t="s">
        <v>1508</v>
      </c>
      <c r="B14" s="907">
        <v>2012</v>
      </c>
      <c r="I14" s="908" t="s">
        <v>150</v>
      </c>
      <c r="J14" s="899" t="s">
        <v>1509</v>
      </c>
      <c r="N14" s="899" t="s">
        <v>1510</v>
      </c>
      <c r="V14" s="915">
        <v>13</v>
      </c>
      <c r="W14" s="916"/>
      <c r="X14" s="916" t="s">
        <v>1332</v>
      </c>
      <c r="Y14" s="907" t="s">
        <v>1301</v>
      </c>
      <c r="AW14" s="949" t="s">
        <v>145</v>
      </c>
      <c r="AX14" s="949" t="s">
        <v>145</v>
      </c>
      <c r="AZ14" s="899" t="s">
        <v>1511</v>
      </c>
      <c r="BB14" s="949" t="s">
        <v>1512</v>
      </c>
      <c r="BC14" s="949" t="s">
        <v>1505</v>
      </c>
      <c r="BE14" s="949">
        <v>2010</v>
      </c>
      <c r="BF14" s="949" t="s">
        <v>1044</v>
      </c>
      <c r="BH14" s="900" t="s">
        <v>1435</v>
      </c>
      <c r="BJ14" s="1005" t="s">
        <v>1513</v>
      </c>
      <c r="BL14" s="1005" t="s">
        <v>1513</v>
      </c>
      <c r="BN14" s="900" t="s">
        <v>1514</v>
      </c>
      <c r="BQ14" s="1069">
        <v>4213782</v>
      </c>
      <c r="BR14" s="900" t="s">
        <v>276</v>
      </c>
      <c r="BS14" s="1217"/>
      <c r="BT14" s="902"/>
      <c r="BU14" s="902"/>
      <c r="BV14" s="902"/>
      <c r="BW14" s="1481"/>
      <c r="BX14" s="1477"/>
    </row>
    <row r="15" spans="1:79" ht="19.5" customHeight="1">
      <c r="A15" s="906" t="s">
        <v>1515</v>
      </c>
      <c r="B15" s="907">
        <v>2013</v>
      </c>
      <c r="E15" s="1485" t="s">
        <v>1516</v>
      </c>
      <c r="G15" s="899" t="s">
        <v>1517</v>
      </c>
      <c r="H15" s="899" t="s">
        <v>1518</v>
      </c>
      <c r="I15" s="910" t="s">
        <v>239</v>
      </c>
      <c r="J15" s="921" t="s">
        <v>679</v>
      </c>
      <c r="N15" s="959" t="s">
        <v>1519</v>
      </c>
      <c r="X15" s="919"/>
      <c r="AW15" s="949" t="s">
        <v>150</v>
      </c>
      <c r="AX15" s="949" t="s">
        <v>150</v>
      </c>
      <c r="AZ15" s="949" t="s">
        <v>54</v>
      </c>
      <c r="BB15" s="949" t="s">
        <v>1520</v>
      </c>
      <c r="BC15" s="949" t="s">
        <v>1505</v>
      </c>
      <c r="BE15" s="949">
        <v>2011</v>
      </c>
      <c r="BF15" s="949" t="s">
        <v>1057</v>
      </c>
      <c r="BH15" s="900" t="s">
        <v>1080</v>
      </c>
      <c r="BJ15" s="1005" t="s">
        <v>1521</v>
      </c>
      <c r="BL15" s="1005" t="s">
        <v>1521</v>
      </c>
      <c r="BN15" s="900" t="s">
        <v>1522</v>
      </c>
      <c r="BR15" s="902"/>
      <c r="BS15" s="1219"/>
      <c r="BT15" s="902"/>
      <c r="BU15" s="902"/>
      <c r="BV15" s="902"/>
      <c r="BW15" s="1481"/>
      <c r="BX15" s="1477"/>
    </row>
    <row r="16" spans="1:79" ht="21" customHeight="1">
      <c r="A16" s="1626" t="s">
        <v>1523</v>
      </c>
      <c r="B16" s="907">
        <v>2014</v>
      </c>
      <c r="E16" s="1486" t="s">
        <v>1524</v>
      </c>
      <c r="G16" s="908" t="s">
        <v>1525</v>
      </c>
      <c r="H16" s="908" t="s">
        <v>1526</v>
      </c>
      <c r="I16" s="910" t="s">
        <v>1527</v>
      </c>
      <c r="J16" s="921" t="s">
        <v>640</v>
      </c>
      <c r="N16" s="959" t="s">
        <v>1528</v>
      </c>
      <c r="AW16" s="949" t="s">
        <v>239</v>
      </c>
      <c r="AX16" s="949" t="s">
        <v>239</v>
      </c>
      <c r="AZ16" s="949" t="s">
        <v>1459</v>
      </c>
      <c r="BB16" s="949" t="s">
        <v>1529</v>
      </c>
      <c r="BC16" s="949" t="s">
        <v>1505</v>
      </c>
      <c r="BE16" s="949">
        <v>2012</v>
      </c>
      <c r="BH16" s="900" t="s">
        <v>1464</v>
      </c>
      <c r="BJ16" s="1005" t="s">
        <v>1530</v>
      </c>
      <c r="BL16" s="1005" t="s">
        <v>1530</v>
      </c>
      <c r="BN16" s="900" t="s">
        <v>1531</v>
      </c>
      <c r="BR16" s="902"/>
      <c r="BS16" s="1219"/>
      <c r="BT16" s="902"/>
      <c r="BU16" s="902"/>
      <c r="BV16" s="902"/>
      <c r="BW16" s="1481"/>
      <c r="BX16" s="1477"/>
    </row>
    <row r="17" spans="1:82" ht="21" customHeight="1">
      <c r="A17" s="906" t="s">
        <v>1532</v>
      </c>
      <c r="B17" s="907">
        <v>2015</v>
      </c>
      <c r="G17" s="908" t="s">
        <v>1483</v>
      </c>
      <c r="H17" s="908" t="s">
        <v>1483</v>
      </c>
      <c r="I17" s="908" t="s">
        <v>1533</v>
      </c>
      <c r="N17" s="959" t="s">
        <v>1534</v>
      </c>
      <c r="X17" s="919"/>
      <c r="AW17" s="949" t="s">
        <v>1527</v>
      </c>
      <c r="AX17" s="949" t="s">
        <v>1527</v>
      </c>
      <c r="AZ17" s="949" t="s">
        <v>1535</v>
      </c>
      <c r="BB17" s="949" t="s">
        <v>1536</v>
      </c>
      <c r="BC17" s="949" t="s">
        <v>656</v>
      </c>
      <c r="BE17" s="949">
        <v>2013</v>
      </c>
      <c r="BH17" s="900" t="s">
        <v>1479</v>
      </c>
      <c r="BJ17" s="1005" t="s">
        <v>1537</v>
      </c>
      <c r="BL17" s="1005" t="s">
        <v>1537</v>
      </c>
      <c r="BN17" s="900" t="s">
        <v>1538</v>
      </c>
      <c r="BR17" s="899" t="s">
        <v>1343</v>
      </c>
      <c r="BS17" s="1216"/>
      <c r="BU17" s="899" t="s">
        <v>1539</v>
      </c>
      <c r="BV17" s="902"/>
      <c r="BW17" s="1477"/>
      <c r="BX17" s="1479" t="s">
        <v>1540</v>
      </c>
      <c r="CA17" s="899" t="s">
        <v>1541</v>
      </c>
      <c r="CD17" s="899" t="s">
        <v>1542</v>
      </c>
    </row>
    <row r="18" spans="1:82" ht="21" customHeight="1">
      <c r="A18" s="906" t="s">
        <v>1543</v>
      </c>
      <c r="B18" s="907">
        <v>2016</v>
      </c>
      <c r="E18" s="1755" t="s">
        <v>1544</v>
      </c>
      <c r="I18" s="908" t="s">
        <v>92</v>
      </c>
      <c r="N18" s="959" t="s">
        <v>1545</v>
      </c>
      <c r="X18" s="919"/>
      <c r="AW18" s="949" t="s">
        <v>1533</v>
      </c>
      <c r="AX18" s="949" t="s">
        <v>1533</v>
      </c>
      <c r="BB18" s="949" t="s">
        <v>1546</v>
      </c>
      <c r="BC18" s="949" t="s">
        <v>656</v>
      </c>
      <c r="BE18" s="949">
        <v>2014</v>
      </c>
      <c r="BH18" s="900" t="s">
        <v>1490</v>
      </c>
      <c r="BJ18" s="1005" t="s">
        <v>1547</v>
      </c>
      <c r="BL18" s="1005" t="s">
        <v>1547</v>
      </c>
      <c r="BN18" s="900" t="s">
        <v>1548</v>
      </c>
      <c r="BQ18" s="1220" t="s">
        <v>1372</v>
      </c>
      <c r="BR18" s="960" t="s">
        <v>1373</v>
      </c>
      <c r="BS18" s="208"/>
      <c r="BT18" s="1220" t="s">
        <v>1549</v>
      </c>
      <c r="BU18" s="960" t="s">
        <v>1550</v>
      </c>
      <c r="BV18" s="902"/>
      <c r="BW18" s="1484" t="s">
        <v>1551</v>
      </c>
      <c r="BX18" s="1478" t="s">
        <v>1552</v>
      </c>
      <c r="BZ18" s="1220" t="s">
        <v>1553</v>
      </c>
      <c r="CA18" s="960" t="s">
        <v>1554</v>
      </c>
      <c r="CC18" s="1220" t="s">
        <v>1555</v>
      </c>
      <c r="CD18" s="960" t="s">
        <v>1556</v>
      </c>
    </row>
    <row r="19" spans="1:82" ht="21" customHeight="1">
      <c r="A19" s="1626" t="s">
        <v>1557</v>
      </c>
      <c r="B19" s="907">
        <v>2017</v>
      </c>
      <c r="E19" s="906" t="s">
        <v>251</v>
      </c>
      <c r="I19" s="908" t="s">
        <v>1558</v>
      </c>
      <c r="N19" s="959" t="s">
        <v>1559</v>
      </c>
      <c r="X19" s="919"/>
      <c r="AW19" s="949" t="s">
        <v>92</v>
      </c>
      <c r="AX19" s="949" t="s">
        <v>92</v>
      </c>
      <c r="AZ19" s="899" t="s">
        <v>1560</v>
      </c>
      <c r="BB19" s="949" t="s">
        <v>1561</v>
      </c>
      <c r="BC19" s="949" t="s">
        <v>656</v>
      </c>
      <c r="BE19" s="949">
        <v>2015</v>
      </c>
      <c r="BH19" s="900" t="s">
        <v>1562</v>
      </c>
      <c r="BJ19" s="1005" t="s">
        <v>1563</v>
      </c>
      <c r="BL19" s="1005" t="s">
        <v>1563</v>
      </c>
      <c r="BQ19" s="1069">
        <v>4190064</v>
      </c>
      <c r="BR19" s="900" t="s">
        <v>1564</v>
      </c>
      <c r="BS19" s="1217"/>
      <c r="BT19" s="1069">
        <v>4189671</v>
      </c>
      <c r="BU19" s="900" t="s">
        <v>1565</v>
      </c>
      <c r="BV19" s="902"/>
      <c r="BW19" s="1482">
        <v>4189706</v>
      </c>
      <c r="BX19" s="1480" t="s">
        <v>1566</v>
      </c>
      <c r="BZ19" s="1069">
        <v>4189714</v>
      </c>
      <c r="CA19" s="900" t="s">
        <v>1567</v>
      </c>
      <c r="CC19" s="1069">
        <v>4189708</v>
      </c>
      <c r="CD19" s="900" t="s">
        <v>1568</v>
      </c>
    </row>
    <row r="20" spans="1:82" ht="21" customHeight="1">
      <c r="A20" s="906" t="s">
        <v>1569</v>
      </c>
      <c r="B20" s="907">
        <v>2018</v>
      </c>
      <c r="E20" s="906" t="s">
        <v>1332</v>
      </c>
      <c r="I20" s="908" t="s">
        <v>1570</v>
      </c>
      <c r="N20" s="959" t="s">
        <v>1571</v>
      </c>
      <c r="AW20" s="949" t="s">
        <v>1558</v>
      </c>
      <c r="AX20" s="949" t="s">
        <v>1558</v>
      </c>
      <c r="AZ20" s="949" t="s">
        <v>1572</v>
      </c>
      <c r="BB20" s="949" t="s">
        <v>1573</v>
      </c>
      <c r="BC20" s="949" t="s">
        <v>1505</v>
      </c>
      <c r="BE20" s="949">
        <v>2016</v>
      </c>
      <c r="BH20" s="900" t="s">
        <v>1501</v>
      </c>
      <c r="BJ20" s="900" t="s">
        <v>1435</v>
      </c>
      <c r="BL20" s="900" t="s">
        <v>1435</v>
      </c>
      <c r="BQ20" s="1069">
        <v>4190065</v>
      </c>
      <c r="BR20" s="900" t="s">
        <v>1574</v>
      </c>
      <c r="BS20" s="1217"/>
      <c r="BT20" s="1069">
        <v>4189672</v>
      </c>
      <c r="BU20" s="900" t="s">
        <v>1575</v>
      </c>
      <c r="BV20" s="902"/>
      <c r="BW20" s="1482">
        <v>4189705</v>
      </c>
      <c r="BX20" s="1480" t="s">
        <v>1576</v>
      </c>
      <c r="BZ20" s="1069">
        <v>4189713</v>
      </c>
      <c r="CA20" s="900" t="s">
        <v>1576</v>
      </c>
      <c r="CC20" s="1069">
        <v>4189709</v>
      </c>
      <c r="CD20" s="900" t="s">
        <v>1577</v>
      </c>
    </row>
    <row r="21" spans="1:82" ht="21" customHeight="1">
      <c r="A21" s="906" t="s">
        <v>1578</v>
      </c>
      <c r="B21" s="907">
        <v>2019</v>
      </c>
      <c r="I21" s="908" t="s">
        <v>1579</v>
      </c>
      <c r="N21" s="959" t="s">
        <v>1580</v>
      </c>
      <c r="AW21" s="949" t="s">
        <v>1570</v>
      </c>
      <c r="AX21" s="949" t="s">
        <v>1570</v>
      </c>
      <c r="AZ21" s="949" t="s">
        <v>1581</v>
      </c>
      <c r="BB21" s="949" t="s">
        <v>1582</v>
      </c>
      <c r="BC21" s="949" t="s">
        <v>656</v>
      </c>
      <c r="BE21" s="949">
        <v>2017</v>
      </c>
      <c r="BH21" s="900" t="s">
        <v>1507</v>
      </c>
      <c r="BJ21" s="900" t="s">
        <v>1080</v>
      </c>
      <c r="BL21" s="900" t="s">
        <v>1080</v>
      </c>
      <c r="BQ21" s="1069">
        <v>4190066</v>
      </c>
      <c r="BR21" s="900" t="s">
        <v>1583</v>
      </c>
      <c r="BS21" s="1217"/>
      <c r="BT21" s="1069">
        <v>4189673</v>
      </c>
      <c r="BU21" s="900" t="s">
        <v>1584</v>
      </c>
      <c r="BV21" s="902"/>
      <c r="BW21" s="1482">
        <v>4189707</v>
      </c>
      <c r="BX21" s="1480" t="s">
        <v>1585</v>
      </c>
      <c r="BZ21" s="1069">
        <v>4189712</v>
      </c>
      <c r="CA21" s="900" t="s">
        <v>1586</v>
      </c>
      <c r="CC21" s="1069">
        <v>4189710</v>
      </c>
      <c r="CD21" s="900" t="s">
        <v>1587</v>
      </c>
    </row>
    <row r="22" spans="1:82" ht="21" customHeight="1">
      <c r="A22" s="906" t="s">
        <v>1588</v>
      </c>
      <c r="B22" s="907">
        <v>2020</v>
      </c>
      <c r="N22" s="959" t="s">
        <v>1589</v>
      </c>
      <c r="AW22" s="949" t="s">
        <v>1579</v>
      </c>
      <c r="AX22" s="949" t="s">
        <v>1579</v>
      </c>
      <c r="AZ22" s="949" t="s">
        <v>1590</v>
      </c>
      <c r="BB22" s="949" t="s">
        <v>1591</v>
      </c>
      <c r="BC22" s="949" t="s">
        <v>656</v>
      </c>
      <c r="BE22" s="949">
        <v>2018</v>
      </c>
      <c r="BH22" s="900" t="s">
        <v>1514</v>
      </c>
      <c r="BJ22" s="900" t="s">
        <v>1464</v>
      </c>
      <c r="BL22" s="900" t="s">
        <v>1464</v>
      </c>
      <c r="BQ22" s="1069">
        <v>4190067</v>
      </c>
      <c r="BR22" s="900" t="s">
        <v>1592</v>
      </c>
      <c r="BS22" s="1217"/>
      <c r="BT22" s="1069">
        <v>4189674</v>
      </c>
      <c r="BU22" s="900" t="s">
        <v>1593</v>
      </c>
      <c r="BV22" s="902"/>
      <c r="BW22" s="902"/>
      <c r="CC22" s="1069">
        <v>4189711</v>
      </c>
      <c r="CD22" s="900" t="s">
        <v>377</v>
      </c>
    </row>
    <row r="23" spans="1:82" ht="21" customHeight="1">
      <c r="A23" s="906" t="s">
        <v>1594</v>
      </c>
      <c r="B23" s="907">
        <v>2021</v>
      </c>
      <c r="AW23" s="949" t="s">
        <v>1003</v>
      </c>
      <c r="AX23" s="949" t="s">
        <v>1003</v>
      </c>
      <c r="AZ23" s="949" t="s">
        <v>1595</v>
      </c>
      <c r="BB23" s="949" t="s">
        <v>1596</v>
      </c>
      <c r="BC23" s="949" t="s">
        <v>654</v>
      </c>
      <c r="BE23" s="949">
        <v>2019</v>
      </c>
      <c r="BH23" s="900" t="s">
        <v>1522</v>
      </c>
      <c r="BJ23" s="900" t="s">
        <v>1479</v>
      </c>
      <c r="BL23" s="900" t="s">
        <v>1479</v>
      </c>
      <c r="BQ23" s="1069">
        <v>4190068</v>
      </c>
      <c r="BR23" s="900" t="s">
        <v>1597</v>
      </c>
      <c r="BS23" s="1217"/>
      <c r="BT23" s="1069">
        <v>4189675</v>
      </c>
      <c r="BU23" s="900" t="s">
        <v>1598</v>
      </c>
      <c r="BV23" s="902"/>
      <c r="BW23" s="902"/>
      <c r="CC23" s="1069">
        <v>5110778</v>
      </c>
      <c r="CD23" s="900" t="s">
        <v>1599</v>
      </c>
    </row>
    <row r="24" spans="1:82" ht="21" customHeight="1">
      <c r="A24" s="906" t="s">
        <v>1600</v>
      </c>
      <c r="B24" s="907">
        <v>2022</v>
      </c>
      <c r="AW24" s="949" t="s">
        <v>1601</v>
      </c>
      <c r="AX24" s="949" t="s">
        <v>1601</v>
      </c>
      <c r="AZ24" s="949" t="s">
        <v>1602</v>
      </c>
      <c r="BB24" s="949" t="s">
        <v>1603</v>
      </c>
      <c r="BC24" s="949" t="s">
        <v>1604</v>
      </c>
      <c r="BE24" s="949">
        <v>2020</v>
      </c>
      <c r="BH24" s="900" t="s">
        <v>1531</v>
      </c>
      <c r="BJ24" s="900" t="s">
        <v>1490</v>
      </c>
      <c r="BL24" s="900" t="s">
        <v>1490</v>
      </c>
      <c r="BQ24" s="1069">
        <v>4190069</v>
      </c>
      <c r="BR24" s="900" t="s">
        <v>1605</v>
      </c>
      <c r="BS24" s="1217"/>
      <c r="BT24" s="1069">
        <v>4189676</v>
      </c>
      <c r="BU24" s="900" t="s">
        <v>1606</v>
      </c>
      <c r="BV24" s="902"/>
      <c r="BW24" s="902"/>
      <c r="CC24" s="1069">
        <v>25575374</v>
      </c>
      <c r="CD24" s="900" t="s">
        <v>1607</v>
      </c>
    </row>
    <row r="25" spans="1:82" ht="11.25" customHeight="1">
      <c r="A25" s="906" t="s">
        <v>1608</v>
      </c>
      <c r="B25" s="907">
        <v>2023</v>
      </c>
      <c r="AW25" s="949" t="s">
        <v>1609</v>
      </c>
      <c r="AX25" s="949" t="s">
        <v>1609</v>
      </c>
      <c r="AZ25" s="949" t="s">
        <v>1610</v>
      </c>
      <c r="BB25" s="949" t="s">
        <v>1611</v>
      </c>
      <c r="BC25" s="949" t="s">
        <v>1604</v>
      </c>
      <c r="BE25" s="949">
        <v>2021</v>
      </c>
      <c r="BH25" s="900" t="s">
        <v>1538</v>
      </c>
      <c r="BJ25" s="900" t="s">
        <v>1562</v>
      </c>
      <c r="BL25" s="900" t="s">
        <v>1562</v>
      </c>
      <c r="BQ25" s="1069">
        <v>4190070</v>
      </c>
      <c r="BR25" s="900" t="s">
        <v>1612</v>
      </c>
      <c r="BS25" s="1217"/>
      <c r="BT25" s="1069">
        <v>4189677</v>
      </c>
      <c r="BU25" s="900" t="s">
        <v>1613</v>
      </c>
      <c r="BV25" s="902"/>
      <c r="BW25" s="902"/>
    </row>
    <row r="26" spans="1:82" ht="11.25" customHeight="1">
      <c r="A26" s="906" t="s">
        <v>1614</v>
      </c>
      <c r="B26" s="907">
        <v>2024</v>
      </c>
      <c r="J26" s="1490" t="s">
        <v>1615</v>
      </c>
      <c r="AX26" s="949" t="s">
        <v>1616</v>
      </c>
      <c r="AZ26" s="949" t="s">
        <v>991</v>
      </c>
      <c r="BB26" s="949" t="s">
        <v>1617</v>
      </c>
      <c r="BC26" s="949" t="s">
        <v>1604</v>
      </c>
      <c r="BE26" s="949">
        <v>2022</v>
      </c>
      <c r="BH26" s="900" t="s">
        <v>1548</v>
      </c>
      <c r="BJ26" s="900" t="s">
        <v>1501</v>
      </c>
      <c r="BL26" s="900" t="s">
        <v>1501</v>
      </c>
      <c r="BQ26" s="1069">
        <v>4190071</v>
      </c>
      <c r="BR26" s="900" t="s">
        <v>1618</v>
      </c>
      <c r="BS26" s="1217"/>
      <c r="BV26" s="902"/>
      <c r="BW26" s="902"/>
    </row>
    <row r="27" spans="1:82" ht="11.25" customHeight="1">
      <c r="A27" s="906" t="s">
        <v>1619</v>
      </c>
      <c r="B27" s="907">
        <v>2025</v>
      </c>
      <c r="J27" s="110" t="s">
        <v>90</v>
      </c>
      <c r="AX27" s="949" t="s">
        <v>1620</v>
      </c>
      <c r="BB27" s="949" t="s">
        <v>1621</v>
      </c>
      <c r="BC27" s="949" t="s">
        <v>1604</v>
      </c>
      <c r="BE27" s="949">
        <v>2023</v>
      </c>
      <c r="BH27" s="902" t="s">
        <v>9</v>
      </c>
      <c r="BJ27" s="900" t="s">
        <v>1507</v>
      </c>
      <c r="BL27" s="900" t="s">
        <v>1507</v>
      </c>
      <c r="BN27" s="902" t="s">
        <v>9</v>
      </c>
      <c r="BQ27" s="1069">
        <v>4190072</v>
      </c>
      <c r="BR27" s="900" t="s">
        <v>1622</v>
      </c>
      <c r="BS27" s="1217"/>
      <c r="BV27" s="902"/>
      <c r="BW27" s="902"/>
    </row>
    <row r="28" spans="1:82" ht="11.25" customHeight="1">
      <c r="A28" s="906" t="s">
        <v>1623</v>
      </c>
      <c r="D28" s="931"/>
      <c r="E28" s="932"/>
      <c r="F28" s="932"/>
      <c r="H28" s="933" t="s">
        <v>1624</v>
      </c>
      <c r="AX28" s="949" t="s">
        <v>1625</v>
      </c>
      <c r="AZ28" s="899" t="s">
        <v>1626</v>
      </c>
      <c r="BB28" s="949" t="s">
        <v>1627</v>
      </c>
      <c r="BC28" s="949" t="s">
        <v>1628</v>
      </c>
      <c r="BE28" s="949">
        <v>2024</v>
      </c>
      <c r="BH28" s="902" t="s">
        <v>9</v>
      </c>
      <c r="BJ28" s="900" t="s">
        <v>1514</v>
      </c>
      <c r="BL28" s="900" t="s">
        <v>1514</v>
      </c>
      <c r="BN28" s="902" t="s">
        <v>9</v>
      </c>
      <c r="BQ28" s="1069">
        <v>4190073</v>
      </c>
      <c r="BR28" s="900" t="s">
        <v>1629</v>
      </c>
      <c r="BS28" s="1217"/>
      <c r="BV28" s="902"/>
      <c r="BW28" s="902"/>
    </row>
    <row r="29" spans="1:82" ht="11.25" customHeight="1">
      <c r="A29" s="906" t="s">
        <v>1630</v>
      </c>
      <c r="D29" s="934" t="s">
        <v>1631</v>
      </c>
      <c r="E29" s="935" t="str">
        <f>IF(TEMPLATE_GROUP="","",INDEX(StartDateList,MATCH(TEMPLATE_GROUP,CodeTemplateList,0),1))</f>
        <v>01.01.2024</v>
      </c>
      <c r="F29" s="935" t="str">
        <f>IF(TEMPLATE_GROUP="","",INDEX(EndDateList,MATCH(TEMPLATE_GROUP,CodeTemplateList,0),1))</f>
        <v>31.12.2024</v>
      </c>
      <c r="H29" s="936" t="s">
        <v>1632</v>
      </c>
      <c r="AX29" s="949" t="s">
        <v>1032</v>
      </c>
      <c r="AZ29" s="949" t="s">
        <v>1296</v>
      </c>
      <c r="BB29" s="949" t="s">
        <v>991</v>
      </c>
      <c r="BC29" s="922"/>
      <c r="BE29" s="949">
        <v>2025</v>
      </c>
      <c r="BJ29" s="900" t="s">
        <v>1522</v>
      </c>
      <c r="BL29" s="900" t="s">
        <v>1522</v>
      </c>
    </row>
    <row r="30" spans="1:82" ht="11.25" customHeight="1">
      <c r="A30" s="906" t="s">
        <v>1633</v>
      </c>
      <c r="D30" s="937"/>
      <c r="E30" s="938"/>
      <c r="F30" s="938"/>
      <c r="AX30" s="949" t="s">
        <v>1634</v>
      </c>
      <c r="AZ30" s="949" t="s">
        <v>1321</v>
      </c>
      <c r="BE30" s="949">
        <v>2026</v>
      </c>
      <c r="BJ30" s="900" t="s">
        <v>1635</v>
      </c>
      <c r="BL30" s="900" t="s">
        <v>1635</v>
      </c>
    </row>
    <row r="31" spans="1:82" ht="12.75" customHeight="1">
      <c r="A31" s="906" t="s">
        <v>1636</v>
      </c>
      <c r="D31" s="931"/>
      <c r="E31" s="932"/>
      <c r="F31" s="932"/>
      <c r="H31" s="939"/>
      <c r="AX31" s="949" t="s">
        <v>1637</v>
      </c>
      <c r="AZ31" s="949" t="s">
        <v>1638</v>
      </c>
      <c r="BE31" s="949">
        <v>2027</v>
      </c>
      <c r="BJ31" s="900" t="s">
        <v>1639</v>
      </c>
      <c r="BL31" s="900" t="s">
        <v>1639</v>
      </c>
    </row>
    <row r="32" spans="1:82" ht="11.25" customHeight="1">
      <c r="A32" s="906" t="s">
        <v>1640</v>
      </c>
      <c r="D32" s="934" t="s">
        <v>1641</v>
      </c>
      <c r="E32" s="935" t="str">
        <f>IF(TEMPLATE_GROUP="","",INDEX(StartDateList,MATCH(TEMPLATE_GROUP,CodeTemplateList,0),1))</f>
        <v>01.01.2024</v>
      </c>
      <c r="F32" s="935" t="str">
        <f>IF(TEMPLATE_GROUP="","",INDEX(EndDateList,MATCH(TEMPLATE_GROUP,CodeTemplateList,0),1))</f>
        <v>31.12.2024</v>
      </c>
      <c r="H32" s="940" t="s">
        <v>1642</v>
      </c>
      <c r="O32" s="906" t="s">
        <v>1294</v>
      </c>
      <c r="AX32" s="949" t="s">
        <v>1643</v>
      </c>
      <c r="AZ32" s="949" t="s">
        <v>1388</v>
      </c>
      <c r="BE32" s="949">
        <v>2028</v>
      </c>
      <c r="BJ32" s="900" t="s">
        <v>1531</v>
      </c>
      <c r="BL32" s="900" t="s">
        <v>1531</v>
      </c>
    </row>
    <row r="33" spans="1:66" ht="11.25" customHeight="1">
      <c r="A33" s="906" t="s">
        <v>1644</v>
      </c>
      <c r="O33" s="906" t="s">
        <v>1318</v>
      </c>
      <c r="AX33" s="949" t="s">
        <v>1645</v>
      </c>
      <c r="AZ33" s="949" t="s">
        <v>1295</v>
      </c>
      <c r="BE33" s="949">
        <v>2029</v>
      </c>
      <c r="BJ33" s="900" t="s">
        <v>1538</v>
      </c>
      <c r="BL33" s="900" t="s">
        <v>1538</v>
      </c>
    </row>
    <row r="34" spans="1:66" ht="11.25" customHeight="1">
      <c r="A34" s="906" t="s">
        <v>1646</v>
      </c>
      <c r="O34" s="906" t="s">
        <v>1354</v>
      </c>
      <c r="AX34" s="949" t="s">
        <v>1647</v>
      </c>
      <c r="BE34" s="949">
        <v>2030</v>
      </c>
      <c r="BJ34" s="900" t="s">
        <v>1548</v>
      </c>
      <c r="BL34" s="900" t="s">
        <v>1548</v>
      </c>
    </row>
    <row r="35" spans="1:66" ht="11.25" customHeight="1">
      <c r="A35" s="906" t="s">
        <v>1648</v>
      </c>
      <c r="O35" s="906" t="s">
        <v>1386</v>
      </c>
      <c r="AX35" s="949" t="s">
        <v>1649</v>
      </c>
      <c r="AZ35" s="899" t="s">
        <v>1650</v>
      </c>
      <c r="BE35" s="949">
        <v>2031</v>
      </c>
      <c r="BL35" s="900" t="s">
        <v>1651</v>
      </c>
    </row>
    <row r="36" spans="1:66" ht="11.25" customHeight="1">
      <c r="A36" s="1626" t="s">
        <v>1652</v>
      </c>
      <c r="D36" s="941" t="s">
        <v>1653</v>
      </c>
      <c r="E36" s="942" t="s">
        <v>939</v>
      </c>
      <c r="F36" s="943" t="str">
        <f>INDEX(E37:E41,MATCH(TEMPLATE_SPHERE,F37:F41,0))</f>
        <v>теплоснабжения</v>
      </c>
      <c r="G36" s="943" t="str">
        <f>INDEX(G37:G41,MATCH(TEMPLATE_SPHERE,F37:F41,0))</f>
        <v>теплоснабжение</v>
      </c>
      <c r="O36" s="906" t="s">
        <v>1408</v>
      </c>
      <c r="AX36" s="949" t="s">
        <v>1654</v>
      </c>
      <c r="AZ36" s="949" t="s">
        <v>1295</v>
      </c>
      <c r="BE36" s="949">
        <v>2032</v>
      </c>
      <c r="BL36" s="900" t="s">
        <v>1655</v>
      </c>
    </row>
    <row r="37" spans="1:66" ht="11.25" customHeight="1">
      <c r="A37" s="906" t="s">
        <v>1656</v>
      </c>
      <c r="E37" s="340" t="s">
        <v>1657</v>
      </c>
      <c r="F37" s="944" t="s">
        <v>939</v>
      </c>
      <c r="G37" s="340" t="s">
        <v>1658</v>
      </c>
      <c r="O37" s="906" t="s">
        <v>1427</v>
      </c>
      <c r="AX37" s="949" t="s">
        <v>1659</v>
      </c>
      <c r="AZ37" s="949" t="s">
        <v>1320</v>
      </c>
      <c r="BE37" s="949">
        <v>2033</v>
      </c>
    </row>
    <row r="38" spans="1:66" ht="11.25" customHeight="1">
      <c r="A38" s="906" t="s">
        <v>1660</v>
      </c>
      <c r="E38" s="340" t="s">
        <v>1661</v>
      </c>
      <c r="F38" s="945" t="s">
        <v>952</v>
      </c>
      <c r="G38" s="340" t="s">
        <v>1662</v>
      </c>
      <c r="O38" s="906" t="s">
        <v>1442</v>
      </c>
      <c r="AX38" s="949" t="s">
        <v>1663</v>
      </c>
      <c r="AZ38" s="949" t="s">
        <v>1355</v>
      </c>
      <c r="BE38" s="949">
        <v>2034</v>
      </c>
      <c r="BH38" s="899" t="s">
        <v>1664</v>
      </c>
      <c r="BJ38" s="899" t="s">
        <v>1665</v>
      </c>
      <c r="BL38" s="899" t="s">
        <v>1666</v>
      </c>
      <c r="BN38" s="899" t="s">
        <v>1667</v>
      </c>
    </row>
    <row r="39" spans="1:66" ht="11.25" customHeight="1">
      <c r="A39" s="906" t="s">
        <v>1668</v>
      </c>
      <c r="E39" s="340" t="s">
        <v>1669</v>
      </c>
      <c r="F39" s="945" t="s">
        <v>960</v>
      </c>
      <c r="G39" s="340" t="s">
        <v>1670</v>
      </c>
      <c r="O39" s="906" t="s">
        <v>1455</v>
      </c>
      <c r="AX39" s="949" t="s">
        <v>1671</v>
      </c>
      <c r="AZ39" s="949" t="s">
        <v>1387</v>
      </c>
      <c r="BE39" s="949">
        <v>2035</v>
      </c>
      <c r="BH39" s="900" t="s">
        <v>1672</v>
      </c>
      <c r="BJ39" s="1005" t="s">
        <v>1672</v>
      </c>
      <c r="BL39" s="1005" t="s">
        <v>1672</v>
      </c>
      <c r="BN39" s="900" t="s">
        <v>1673</v>
      </c>
    </row>
    <row r="40" spans="1:66" ht="11.25" customHeight="1">
      <c r="A40" s="906" t="s">
        <v>1674</v>
      </c>
      <c r="E40" s="340" t="s">
        <v>1675</v>
      </c>
      <c r="F40" s="945" t="s">
        <v>959</v>
      </c>
      <c r="G40" s="340" t="s">
        <v>1676</v>
      </c>
      <c r="O40" s="906" t="s">
        <v>1471</v>
      </c>
      <c r="AX40" s="949" t="s">
        <v>135</v>
      </c>
      <c r="BE40" s="949">
        <v>2036</v>
      </c>
      <c r="BH40" s="900" t="s">
        <v>1677</v>
      </c>
      <c r="BJ40" s="1005" t="s">
        <v>1146</v>
      </c>
      <c r="BL40" s="1005" t="s">
        <v>1146</v>
      </c>
      <c r="BN40" s="900" t="s">
        <v>1180</v>
      </c>
    </row>
    <row r="41" spans="1:66" ht="11.25" customHeight="1">
      <c r="A41" s="906" t="s">
        <v>1678</v>
      </c>
      <c r="E41" s="340" t="s">
        <v>1679</v>
      </c>
      <c r="F41" s="945" t="s">
        <v>1680</v>
      </c>
      <c r="G41" s="340" t="s">
        <v>1679</v>
      </c>
      <c r="O41" s="906" t="s">
        <v>991</v>
      </c>
      <c r="AX41" s="949" t="s">
        <v>1681</v>
      </c>
      <c r="AZ41" s="899" t="s">
        <v>1682</v>
      </c>
      <c r="BE41" s="949">
        <v>2037</v>
      </c>
      <c r="BH41" s="900" t="s">
        <v>1683</v>
      </c>
      <c r="BJ41" s="1005" t="s">
        <v>1142</v>
      </c>
      <c r="BL41" s="1005" t="s">
        <v>1142</v>
      </c>
      <c r="BN41" s="900" t="s">
        <v>1167</v>
      </c>
    </row>
    <row r="42" spans="1:66" ht="11.25" customHeight="1">
      <c r="A42" s="906" t="s">
        <v>1684</v>
      </c>
      <c r="AX42" s="949" t="s">
        <v>1685</v>
      </c>
      <c r="AZ42" s="949" t="s">
        <v>1294</v>
      </c>
      <c r="BE42" s="949">
        <v>2038</v>
      </c>
      <c r="BH42" s="900" t="s">
        <v>1164</v>
      </c>
      <c r="BJ42" s="1005" t="s">
        <v>1144</v>
      </c>
      <c r="BL42" s="1005" t="s">
        <v>1144</v>
      </c>
      <c r="BN42" s="900" t="s">
        <v>1686</v>
      </c>
    </row>
    <row r="43" spans="1:66" ht="11.25" customHeight="1">
      <c r="A43" s="906" t="s">
        <v>1687</v>
      </c>
      <c r="AX43" s="949" t="s">
        <v>1688</v>
      </c>
      <c r="AZ43" s="949" t="s">
        <v>1318</v>
      </c>
      <c r="BE43" s="949">
        <v>2039</v>
      </c>
      <c r="BH43" s="900" t="s">
        <v>1689</v>
      </c>
      <c r="BJ43" s="1005" t="s">
        <v>1683</v>
      </c>
      <c r="BL43" s="1005" t="s">
        <v>1683</v>
      </c>
      <c r="BN43" s="900" t="s">
        <v>1690</v>
      </c>
    </row>
    <row r="44" spans="1:66" ht="11.25" customHeight="1">
      <c r="A44" s="906" t="s">
        <v>1691</v>
      </c>
      <c r="G44" s="925">
        <f ca="1">YEAR(TODAY())</f>
        <v>2025</v>
      </c>
      <c r="I44" s="698" t="s">
        <v>1692</v>
      </c>
      <c r="J44" s="921" t="s">
        <v>1693</v>
      </c>
      <c r="K44" s="921" t="s">
        <v>1694</v>
      </c>
      <c r="AX44" s="949" t="s">
        <v>1695</v>
      </c>
      <c r="AZ44" s="949" t="s">
        <v>1354</v>
      </c>
      <c r="BE44" s="949">
        <v>2040</v>
      </c>
      <c r="BH44" s="900" t="s">
        <v>1696</v>
      </c>
      <c r="BJ44" s="1005" t="s">
        <v>1164</v>
      </c>
      <c r="BL44" s="1005" t="s">
        <v>1164</v>
      </c>
      <c r="BN44" s="900" t="s">
        <v>1697</v>
      </c>
    </row>
    <row r="45" spans="1:66" ht="11.25" customHeight="1">
      <c r="A45" s="906" t="s">
        <v>1698</v>
      </c>
      <c r="D45" s="941" t="s">
        <v>1699</v>
      </c>
      <c r="E45" s="942" t="s">
        <v>1700</v>
      </c>
      <c r="F45" s="696" t="s">
        <v>1701</v>
      </c>
      <c r="G45" s="695" t="s">
        <v>1702</v>
      </c>
      <c r="H45" s="698" t="s">
        <v>1703</v>
      </c>
      <c r="I45" s="1500" t="b">
        <f>INDEX(PeriodIsEmptyList,MATCH(TEMPLATE_GROUP,CodeTemplateList,0),1)</f>
        <v>0</v>
      </c>
      <c r="J45" s="1503"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50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949" t="s">
        <v>1704</v>
      </c>
      <c r="AZ45" s="949" t="s">
        <v>1386</v>
      </c>
      <c r="BE45" s="949">
        <v>2041</v>
      </c>
      <c r="BH45" s="900" t="s">
        <v>1705</v>
      </c>
      <c r="BJ45" s="1005" t="s">
        <v>1158</v>
      </c>
      <c r="BL45" s="1005" t="s">
        <v>1158</v>
      </c>
      <c r="BN45" s="900" t="s">
        <v>1706</v>
      </c>
    </row>
    <row r="46" spans="1:66" ht="11.25" customHeight="1">
      <c r="A46" s="906" t="s">
        <v>1707</v>
      </c>
      <c r="E46" s="340" t="s">
        <v>14</v>
      </c>
      <c r="F46" s="944" t="s">
        <v>1708</v>
      </c>
      <c r="G46" s="946" t="str">
        <f ca="1">IFERROR(IF(TITLE_DATE_FIL="","01.01."&amp;CURRENT_YEAR,"01.01."&amp;YEAR(TITLE_DATE_FIL)),"01.01."&amp;CURRENT_YEAR)</f>
        <v>01.01.2025</v>
      </c>
      <c r="H46" s="946" t="str">
        <f ca="1">IFERROR(IF(TITLE_DATE_FIL="","31.12."&amp;CURRENT_YEAR,"31.12."&amp;YEAR(TITLE_DATE_FIL)),"31.12."&amp;CURRENT_YEAR)</f>
        <v>31.12.2025</v>
      </c>
      <c r="I46" s="1501" t="b">
        <f>IF(TITLE_DATE_FIL="",TRUE,FALSE)</f>
        <v>1</v>
      </c>
      <c r="J46" s="1504" t="str">
        <f>"Общая информация о регулируемой организации ("&amp;TEMPLATE_SPHERE_RUS&amp;")"</f>
        <v>Общая информация о регулируемой организации (теплоснабжения)</v>
      </c>
      <c r="K46" s="1505"/>
      <c r="AX46" s="949" t="s">
        <v>1709</v>
      </c>
      <c r="AZ46" s="949" t="s">
        <v>1408</v>
      </c>
      <c r="BE46" s="949">
        <v>2042</v>
      </c>
      <c r="BH46" s="900" t="s">
        <v>1167</v>
      </c>
      <c r="BJ46" s="1005" t="s">
        <v>1148</v>
      </c>
      <c r="BL46" s="1005" t="s">
        <v>1148</v>
      </c>
      <c r="BN46" s="900" t="s">
        <v>1710</v>
      </c>
    </row>
    <row r="47" spans="1:66" ht="11.25" customHeight="1">
      <c r="A47" s="906" t="s">
        <v>1711</v>
      </c>
      <c r="E47" s="340" t="s">
        <v>20</v>
      </c>
      <c r="F47" s="945" t="s">
        <v>1712</v>
      </c>
      <c r="G47" s="946" t="str">
        <f>IFERROR(IF(f_year="","01.01."&amp;CURRENT_YEAR,IF(LEN(f_quart)=0,"01.01."&amp;f_year,IF(f_quart="I квартал","01.01."&amp;f_year,IF(f_quart="II квартал","01.04."&amp;f_year,(IF(f_quart="III квартал","01.07."&amp;f_year,"01.10."&amp;f_year)))))),"01.01."&amp;CURRENT_YEAR)</f>
        <v>01.01.2024</v>
      </c>
      <c r="H47" s="946" t="str">
        <f>IFERROR(IF(f_year="","31.12."&amp;CURRENT_YEAR,IF(LEN(f_quart)=0,"31.12."&amp;f_year,IF(f_quart="I квартал","31.03."&amp;f_year,IF(f_quart="II квартал","30.06."&amp;f_year,(IF(f_quart="III квартал","30.09."&amp;f_year,"31.12."&amp;f_year)))))),"31.12."&amp;CURRENT_YEAR)</f>
        <v>31.12.2024</v>
      </c>
      <c r="I47" s="1502" t="b">
        <f>IF(OR(f_year="",f_quart=""),TRUE,FALSE)</f>
        <v>1</v>
      </c>
      <c r="J47" s="150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505"/>
      <c r="AX47" s="949" t="s">
        <v>122</v>
      </c>
      <c r="AZ47" s="949" t="s">
        <v>1427</v>
      </c>
      <c r="BE47" s="949">
        <v>2043</v>
      </c>
      <c r="BH47" s="900" t="s">
        <v>1686</v>
      </c>
      <c r="BJ47" s="1005" t="s">
        <v>1150</v>
      </c>
      <c r="BL47" s="1005" t="s">
        <v>1150</v>
      </c>
      <c r="BN47" s="900" t="s">
        <v>1713</v>
      </c>
    </row>
    <row r="48" spans="1:66" ht="11.25" customHeight="1">
      <c r="A48" s="906" t="s">
        <v>1714</v>
      </c>
      <c r="E48" s="340" t="s">
        <v>1715</v>
      </c>
      <c r="F48" s="945" t="s">
        <v>1700</v>
      </c>
      <c r="G48" s="946" t="str">
        <f>IFERROR(IF(f_year="","01.01."&amp;CURRENT_YEAR,"01.01."&amp;f_year),"01.01."&amp;CURRENT_YEAR)</f>
        <v>01.01.2024</v>
      </c>
      <c r="H48" s="946" t="str">
        <f>IFERROR(IF(f_year="","31.12."&amp;CURRENT_YEAR,"31.12."&amp;f_year),"31.12."&amp;CURRENT_YEAR)</f>
        <v>31.12.2024</v>
      </c>
      <c r="I48" s="1501" t="b">
        <f>IF(f_year="",TRUE,FALSE)</f>
        <v>0</v>
      </c>
      <c r="J48" s="1504" t="s">
        <v>1716</v>
      </c>
      <c r="K48" s="1505"/>
      <c r="AX48" s="949" t="s">
        <v>1717</v>
      </c>
      <c r="AZ48" s="949" t="s">
        <v>1442</v>
      </c>
      <c r="BE48" s="949">
        <v>2044</v>
      </c>
      <c r="BH48" s="900" t="s">
        <v>1690</v>
      </c>
      <c r="BJ48" s="1005" t="s">
        <v>1152</v>
      </c>
      <c r="BL48" s="1005" t="s">
        <v>1152</v>
      </c>
      <c r="BN48" s="900" t="s">
        <v>1718</v>
      </c>
    </row>
    <row r="49" spans="1:64" ht="11.25" customHeight="1">
      <c r="A49" s="906" t="s">
        <v>1719</v>
      </c>
      <c r="E49" s="340" t="s">
        <v>1720</v>
      </c>
      <c r="F49" s="945" t="s">
        <v>1721</v>
      </c>
      <c r="G49" s="946" t="str">
        <f>IFERROR(IF(f_year="","01.01."&amp;CURRENT_YEAR,"01.01."&amp;f_year),"01.01."&amp;CURRENT_YEAR)</f>
        <v>01.01.2024</v>
      </c>
      <c r="H49" s="946" t="str">
        <f>IFERROR(IF(f_year="","31.12."&amp;CURRENT_YEAR,"31.12."&amp;f_year),"31.12."&amp;CURRENT_YEAR)</f>
        <v>31.12.2024</v>
      </c>
      <c r="I49" s="1501" t="b">
        <f>IF(f_year="",TRUE,FALSE)</f>
        <v>0</v>
      </c>
      <c r="J49" s="150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505"/>
      <c r="AX49" s="949" t="s">
        <v>1722</v>
      </c>
      <c r="AZ49" s="949" t="s">
        <v>1455</v>
      </c>
      <c r="BE49" s="949">
        <v>2045</v>
      </c>
      <c r="BH49" s="900" t="s">
        <v>1168</v>
      </c>
      <c r="BJ49" s="1005" t="s">
        <v>1154</v>
      </c>
      <c r="BL49" s="1005" t="s">
        <v>1154</v>
      </c>
    </row>
    <row r="50" spans="1:64" ht="11.25" customHeight="1">
      <c r="A50" s="906" t="s">
        <v>1723</v>
      </c>
      <c r="E50" s="340" t="s">
        <v>1724</v>
      </c>
      <c r="F50" s="945" t="s">
        <v>1138</v>
      </c>
      <c r="G50" s="946" t="str">
        <f>IFERROR(IF(f_year="","01.01."&amp;CURRENT_YEAR,"01.01."&amp;f_year),"01.01."&amp;CURRENT_YEAR)</f>
        <v>01.01.2024</v>
      </c>
      <c r="H50" s="946" t="str">
        <f>IFERROR(IF(f_year="","31.12."&amp;CURRENT_YEAR,"31.12."&amp;f_year),"31.12."&amp;CURRENT_YEAR)</f>
        <v>31.12.2024</v>
      </c>
      <c r="I50" s="1501" t="b">
        <f>IF(f_year="",TRUE,FALSE)</f>
        <v>0</v>
      </c>
      <c r="J50" s="150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505"/>
      <c r="AX50" s="949" t="s">
        <v>1022</v>
      </c>
      <c r="AZ50" s="949" t="s">
        <v>1471</v>
      </c>
      <c r="BE50" s="949">
        <v>2046</v>
      </c>
      <c r="BH50" s="900" t="s">
        <v>1697</v>
      </c>
      <c r="BJ50" s="1005" t="s">
        <v>1156</v>
      </c>
      <c r="BL50" s="1005" t="s">
        <v>1156</v>
      </c>
    </row>
    <row r="51" spans="1:64" ht="11.25" customHeight="1">
      <c r="A51" s="906" t="s">
        <v>1725</v>
      </c>
      <c r="E51" s="340" t="s">
        <v>1726</v>
      </c>
      <c r="F51" s="945" t="s">
        <v>1727</v>
      </c>
      <c r="G51" s="946" t="str">
        <f ca="1">IFERROR(IF(TITLE_PERIOD_START="","01.01."&amp;CURRENT_YEAR,"01.01."&amp;YEAR(TITLE_PERIOD_START)),"01.01."&amp;CURRENT_YEAR)</f>
        <v>01.01.2025</v>
      </c>
      <c r="H51" s="946" t="str">
        <f ca="1">IFERROR(IF(TITLE_PERIOD_END="","31.12."&amp;CURRENT_YEAR,"31.12."&amp;YEAR(TITLE_PERIOD_END)),"31.12."&amp;CURRENT_YEAR)</f>
        <v>31.12.2025</v>
      </c>
      <c r="I51" s="1502" t="b">
        <f>IF(OR(TITLE_PERIOD_START="",TITLE_PERIOD_END=""),TRUE,FALSE)</f>
        <v>1</v>
      </c>
      <c r="J51" s="150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505"/>
      <c r="AX51" s="949" t="s">
        <v>1728</v>
      </c>
      <c r="AZ51" s="949" t="s">
        <v>991</v>
      </c>
      <c r="BE51" s="949">
        <v>2047</v>
      </c>
      <c r="BH51" s="900" t="s">
        <v>1706</v>
      </c>
      <c r="BJ51" s="1005" t="s">
        <v>1729</v>
      </c>
      <c r="BL51" s="1005" t="s">
        <v>1729</v>
      </c>
    </row>
    <row r="52" spans="1:64" ht="11.25" customHeight="1">
      <c r="A52" s="906" t="s">
        <v>1730</v>
      </c>
      <c r="E52" s="340" t="s">
        <v>1731</v>
      </c>
      <c r="F52" s="945" t="s">
        <v>1732</v>
      </c>
      <c r="G52" s="946" t="str">
        <f ca="1">IFERROR(IF(TITLE_PERIOD_START="","01.01."&amp;CURRENT_YEAR,"01.01."&amp;YEAR(TITLE_PERIOD_START)),"01.01."&amp;CURRENT_YEAR)</f>
        <v>01.01.2025</v>
      </c>
      <c r="H52" s="946" t="str">
        <f ca="1">IFERROR(IF(TITLE_PERIOD_END="","31.12."&amp;CURRENT_YEAR,"31.12."&amp;YEAR(TITLE_PERIOD_END)),"31.12."&amp;CURRENT_YEAR)</f>
        <v>31.12.2025</v>
      </c>
      <c r="I52" s="1502" t="b">
        <f>IF(OR(TITLE_PERIOD_START="",TITLE_PERIOD_END=""),TRUE,FALSE)</f>
        <v>1</v>
      </c>
      <c r="J52" s="1504" t="str">
        <f>"Показатели, подлежащие раскрытию в сфере "&amp;TEMPLATE_SPHERE_RUS&amp;" (цены и тарифы)"</f>
        <v>Показатели, подлежащие раскрытию в сфере теплоснабжения (цены и тарифы)</v>
      </c>
      <c r="K52" s="1505"/>
      <c r="AX52" s="949" t="s">
        <v>1733</v>
      </c>
      <c r="AZ52" s="949" t="s">
        <v>1295</v>
      </c>
      <c r="BE52" s="949">
        <v>2048</v>
      </c>
      <c r="BH52" s="900" t="s">
        <v>1710</v>
      </c>
      <c r="BJ52" s="1005" t="s">
        <v>1167</v>
      </c>
      <c r="BL52" s="1005" t="s">
        <v>1167</v>
      </c>
    </row>
    <row r="53" spans="1:64" ht="11.25" customHeight="1">
      <c r="A53" s="906" t="s">
        <v>1734</v>
      </c>
      <c r="E53" s="340" t="s">
        <v>1735</v>
      </c>
      <c r="F53" s="945" t="s">
        <v>1735</v>
      </c>
      <c r="G53" s="946" t="str">
        <f>IFERROR(IF(f_year="","01.01."&amp;CURRENT_YEAR,"01.01."&amp;f_year),"01.01."&amp;CURRENT_YEAR)</f>
        <v>01.01.2024</v>
      </c>
      <c r="H53" s="946" t="str">
        <f>IFERROR(IF(f_year="","31.12."&amp;CURRENT_YEAR,"31.12."&amp;f_year),"31.12."&amp;CURRENT_YEAR)</f>
        <v>31.12.2024</v>
      </c>
      <c r="I53" s="1501" t="b">
        <f>IF(AND(f_year="",TITLE_DATE_FIL=""),TRUE,FALSE)</f>
        <v>0</v>
      </c>
      <c r="J53" s="1504" t="s">
        <v>1736</v>
      </c>
      <c r="K53" s="1505"/>
      <c r="AX53" s="949" t="s">
        <v>1737</v>
      </c>
      <c r="BE53" s="949">
        <v>2049</v>
      </c>
      <c r="BH53" s="900" t="s">
        <v>1713</v>
      </c>
      <c r="BJ53" s="1005" t="s">
        <v>1686</v>
      </c>
      <c r="BL53" s="1005" t="s">
        <v>1686</v>
      </c>
    </row>
    <row r="54" spans="1:64" ht="11.25" customHeight="1">
      <c r="A54" s="906" t="s">
        <v>1738</v>
      </c>
      <c r="AX54" s="949" t="s">
        <v>125</v>
      </c>
      <c r="AZ54" s="899" t="s">
        <v>1739</v>
      </c>
      <c r="BE54" s="949">
        <v>2050</v>
      </c>
      <c r="BH54" s="900" t="s">
        <v>1718</v>
      </c>
      <c r="BJ54" s="1005" t="s">
        <v>1690</v>
      </c>
      <c r="BL54" s="1005" t="s">
        <v>1690</v>
      </c>
    </row>
    <row r="55" spans="1:64" ht="11.25" customHeight="1">
      <c r="A55" s="906" t="s">
        <v>1740</v>
      </c>
      <c r="AX55" s="949" t="s">
        <v>1741</v>
      </c>
      <c r="AZ55" s="949" t="s">
        <v>1297</v>
      </c>
      <c r="BE55" s="949">
        <v>2051</v>
      </c>
      <c r="BH55" s="902" t="s">
        <v>9</v>
      </c>
      <c r="BJ55" s="1005" t="s">
        <v>1168</v>
      </c>
      <c r="BL55" s="1005" t="s">
        <v>1168</v>
      </c>
    </row>
    <row r="56" spans="1:64" ht="11.25" customHeight="1">
      <c r="A56" s="906" t="s">
        <v>1742</v>
      </c>
      <c r="D56" s="948" t="s">
        <v>1743</v>
      </c>
      <c r="E56" s="926" t="s">
        <v>1744</v>
      </c>
      <c r="F56" s="906" t="s">
        <v>1745</v>
      </c>
      <c r="AX56" s="949" t="s">
        <v>1746</v>
      </c>
      <c r="AZ56" s="949" t="s">
        <v>1322</v>
      </c>
      <c r="BE56" s="949">
        <v>2052</v>
      </c>
      <c r="BH56" s="902" t="s">
        <v>9</v>
      </c>
      <c r="BJ56" s="1005" t="s">
        <v>1697</v>
      </c>
      <c r="BL56" s="1005" t="s">
        <v>1697</v>
      </c>
    </row>
    <row r="57" spans="1:64" ht="11.25" customHeight="1">
      <c r="A57" s="906" t="s">
        <v>1747</v>
      </c>
      <c r="D57" s="948" t="s">
        <v>1748</v>
      </c>
      <c r="E57" s="926" t="s">
        <v>1749</v>
      </c>
      <c r="F57" s="906" t="s">
        <v>1745</v>
      </c>
      <c r="AX57" s="949" t="s">
        <v>1750</v>
      </c>
      <c r="AZ57" s="949" t="s">
        <v>1357</v>
      </c>
      <c r="BE57" s="949">
        <v>2053</v>
      </c>
      <c r="BJ57" s="1005" t="s">
        <v>1706</v>
      </c>
      <c r="BL57" s="1005" t="s">
        <v>1706</v>
      </c>
    </row>
    <row r="58" spans="1:64" ht="11.25" customHeight="1">
      <c r="A58" s="906" t="s">
        <v>1751</v>
      </c>
      <c r="D58" s="948" t="s">
        <v>1752</v>
      </c>
      <c r="E58" s="926" t="s">
        <v>1753</v>
      </c>
      <c r="F58" s="906" t="s">
        <v>1745</v>
      </c>
      <c r="AX58" s="949" t="s">
        <v>1754</v>
      </c>
      <c r="BE58" s="949">
        <v>2054</v>
      </c>
      <c r="BJ58" s="1005" t="s">
        <v>1710</v>
      </c>
      <c r="BL58" s="1005" t="s">
        <v>1710</v>
      </c>
    </row>
    <row r="59" spans="1:64" ht="11.25" customHeight="1">
      <c r="A59" s="906" t="s">
        <v>1755</v>
      </c>
      <c r="D59" s="948" t="s">
        <v>222</v>
      </c>
      <c r="E59" s="926" t="s">
        <v>1643</v>
      </c>
      <c r="F59" s="906" t="s">
        <v>1756</v>
      </c>
      <c r="AX59" s="949" t="s">
        <v>1757</v>
      </c>
      <c r="AZ59" s="899" t="s">
        <v>1758</v>
      </c>
      <c r="BE59" s="949">
        <v>2055</v>
      </c>
      <c r="BJ59" s="1005" t="s">
        <v>1713</v>
      </c>
      <c r="BL59" s="1005" t="s">
        <v>1713</v>
      </c>
    </row>
    <row r="60" spans="1:64" ht="11.25" customHeight="1">
      <c r="A60" s="906" t="s">
        <v>1759</v>
      </c>
      <c r="D60" s="948" t="s">
        <v>1760</v>
      </c>
      <c r="E60" s="926" t="s">
        <v>1643</v>
      </c>
      <c r="F60" s="906" t="s">
        <v>1756</v>
      </c>
      <c r="AX60" s="949" t="s">
        <v>109</v>
      </c>
      <c r="AZ60" s="949" t="s">
        <v>1298</v>
      </c>
      <c r="BE60" s="949">
        <v>2056</v>
      </c>
      <c r="BJ60" s="1005" t="s">
        <v>1718</v>
      </c>
      <c r="BL60" s="1005" t="s">
        <v>1718</v>
      </c>
    </row>
    <row r="61" spans="1:64" ht="11.25" customHeight="1">
      <c r="A61" s="906" t="s">
        <v>1761</v>
      </c>
      <c r="D61" s="948" t="s">
        <v>1762</v>
      </c>
      <c r="E61" s="926" t="s">
        <v>1643</v>
      </c>
      <c r="F61" s="906" t="s">
        <v>1756</v>
      </c>
      <c r="AX61" s="949" t="s">
        <v>1763</v>
      </c>
      <c r="AZ61" s="949" t="s">
        <v>1323</v>
      </c>
      <c r="BE61" s="949">
        <v>2057</v>
      </c>
      <c r="BL61" s="1005" t="s">
        <v>1160</v>
      </c>
    </row>
    <row r="62" spans="1:64" ht="11.25" customHeight="1">
      <c r="A62" s="906" t="s">
        <v>1764</v>
      </c>
      <c r="D62" s="948" t="s">
        <v>221</v>
      </c>
      <c r="E62" s="926">
        <v>30</v>
      </c>
      <c r="F62" s="906" t="s">
        <v>1756</v>
      </c>
      <c r="AZ62" s="949" t="s">
        <v>1358</v>
      </c>
      <c r="BE62" s="949">
        <v>2058</v>
      </c>
      <c r="BL62" s="1005" t="s">
        <v>1162</v>
      </c>
    </row>
    <row r="63" spans="1:64" ht="11.25" customHeight="1">
      <c r="A63" s="906" t="s">
        <v>1765</v>
      </c>
      <c r="D63" s="948" t="s">
        <v>1766</v>
      </c>
      <c r="E63" s="926">
        <v>30</v>
      </c>
      <c r="F63" s="906" t="s">
        <v>1756</v>
      </c>
      <c r="AZ63" s="949" t="s">
        <v>1389</v>
      </c>
      <c r="BE63" s="949">
        <v>2059</v>
      </c>
    </row>
    <row r="64" spans="1:64" ht="11.25" customHeight="1">
      <c r="A64" s="906" t="s">
        <v>1767</v>
      </c>
      <c r="D64" s="948" t="s">
        <v>1768</v>
      </c>
      <c r="E64" s="926">
        <v>30</v>
      </c>
      <c r="F64" s="906" t="s">
        <v>1756</v>
      </c>
      <c r="AZ64" s="949" t="s">
        <v>1409</v>
      </c>
      <c r="BE64" s="949">
        <v>2060</v>
      </c>
    </row>
    <row r="65" spans="1:66" ht="11.25" customHeight="1">
      <c r="A65" s="906" t="s">
        <v>1769</v>
      </c>
      <c r="D65" s="906"/>
      <c r="BE65" s="949">
        <v>2061</v>
      </c>
    </row>
    <row r="66" spans="1:66" ht="11.25" customHeight="1">
      <c r="A66" s="906" t="s">
        <v>1770</v>
      </c>
      <c r="AZ66" s="899" t="s">
        <v>1771</v>
      </c>
      <c r="BE66" s="949">
        <v>2062</v>
      </c>
    </row>
    <row r="67" spans="1:66" ht="11.25" customHeight="1">
      <c r="A67" s="906" t="s">
        <v>1772</v>
      </c>
      <c r="AZ67" s="949" t="s">
        <v>1299</v>
      </c>
      <c r="BE67" s="949">
        <v>2063</v>
      </c>
    </row>
    <row r="68" spans="1:66" ht="11.25" customHeight="1">
      <c r="A68" s="906" t="s">
        <v>1773</v>
      </c>
      <c r="AZ68" s="949" t="s">
        <v>1324</v>
      </c>
      <c r="BE68" s="949">
        <v>2064</v>
      </c>
      <c r="BH68" s="899" t="s">
        <v>1774</v>
      </c>
      <c r="BJ68" s="899" t="s">
        <v>1775</v>
      </c>
      <c r="BL68" s="899" t="s">
        <v>1776</v>
      </c>
      <c r="BN68" s="899" t="s">
        <v>1777</v>
      </c>
    </row>
    <row r="69" spans="1:66" ht="11.25" customHeight="1">
      <c r="A69" s="906" t="s">
        <v>1778</v>
      </c>
      <c r="AZ69" s="949" t="s">
        <v>1359</v>
      </c>
      <c r="BE69" s="949">
        <v>2065</v>
      </c>
      <c r="BH69" s="900" t="s">
        <v>1779</v>
      </c>
      <c r="BI69" s="947" t="s">
        <v>161</v>
      </c>
      <c r="BJ69" s="900" t="s">
        <v>1780</v>
      </c>
      <c r="BK69" s="947" t="s">
        <v>161</v>
      </c>
      <c r="BL69" s="900" t="s">
        <v>1781</v>
      </c>
      <c r="BM69" s="902" t="s">
        <v>161</v>
      </c>
      <c r="BN69" s="900" t="s">
        <v>1782</v>
      </c>
    </row>
    <row r="70" spans="1:66" ht="11.25" customHeight="1">
      <c r="A70" s="906" t="s">
        <v>1783</v>
      </c>
      <c r="AZ70" s="949" t="s">
        <v>1390</v>
      </c>
      <c r="BE70" s="949">
        <v>2066</v>
      </c>
      <c r="BH70" s="900" t="s">
        <v>1784</v>
      </c>
      <c r="BJ70" s="900" t="s">
        <v>1785</v>
      </c>
      <c r="BL70" s="900" t="s">
        <v>1786</v>
      </c>
      <c r="BN70" s="900" t="s">
        <v>1787</v>
      </c>
    </row>
    <row r="71" spans="1:66" ht="11.25" customHeight="1">
      <c r="A71" s="906" t="s">
        <v>1788</v>
      </c>
      <c r="AZ71" s="949" t="s">
        <v>1392</v>
      </c>
      <c r="BE71" s="949">
        <v>2067</v>
      </c>
      <c r="BH71" s="900" t="s">
        <v>1789</v>
      </c>
      <c r="BI71" s="947" t="s">
        <v>77</v>
      </c>
      <c r="BJ71" s="900" t="s">
        <v>1790</v>
      </c>
      <c r="BK71" s="947" t="s">
        <v>77</v>
      </c>
      <c r="BL71" s="900" t="s">
        <v>1791</v>
      </c>
      <c r="BM71" s="902" t="s">
        <v>77</v>
      </c>
      <c r="BN71" s="900" t="s">
        <v>1792</v>
      </c>
    </row>
    <row r="72" spans="1:66" ht="11.25" customHeight="1">
      <c r="A72" s="906" t="s">
        <v>1793</v>
      </c>
      <c r="AZ72" s="949" t="s">
        <v>6</v>
      </c>
      <c r="BE72" s="949">
        <v>2068</v>
      </c>
      <c r="BH72" s="900" t="s">
        <v>1794</v>
      </c>
      <c r="BJ72" s="900" t="s">
        <v>1794</v>
      </c>
      <c r="BL72" s="900" t="s">
        <v>1794</v>
      </c>
      <c r="BN72" s="900" t="s">
        <v>1795</v>
      </c>
    </row>
    <row r="73" spans="1:66" ht="11.25" customHeight="1">
      <c r="A73" s="906" t="s">
        <v>1796</v>
      </c>
      <c r="BE73" s="949">
        <v>2069</v>
      </c>
      <c r="BH73" s="900" t="s">
        <v>1797</v>
      </c>
      <c r="BI73" s="947" t="s">
        <v>115</v>
      </c>
      <c r="BJ73" s="900" t="s">
        <v>1798</v>
      </c>
      <c r="BK73" s="947" t="s">
        <v>115</v>
      </c>
      <c r="BL73" s="900" t="s">
        <v>1799</v>
      </c>
      <c r="BM73" s="902" t="s">
        <v>115</v>
      </c>
      <c r="BN73" s="900" t="s">
        <v>1800</v>
      </c>
    </row>
    <row r="74" spans="1:66" ht="11.25" customHeight="1">
      <c r="A74" s="906" t="s">
        <v>3</v>
      </c>
      <c r="BE74" s="949">
        <v>2070</v>
      </c>
      <c r="BH74" s="900" t="s">
        <v>1801</v>
      </c>
      <c r="BJ74" s="900" t="s">
        <v>1802</v>
      </c>
      <c r="BL74" s="900" t="s">
        <v>1803</v>
      </c>
      <c r="BN74" s="900" t="s">
        <v>1804</v>
      </c>
    </row>
    <row r="75" spans="1:66" ht="11.25" customHeight="1">
      <c r="A75" s="906" t="s">
        <v>1805</v>
      </c>
      <c r="AZ75" s="899" t="s">
        <v>1806</v>
      </c>
      <c r="BH75" s="900" t="s">
        <v>1807</v>
      </c>
      <c r="BJ75" s="900" t="s">
        <v>1807</v>
      </c>
      <c r="BL75" s="900" t="s">
        <v>1807</v>
      </c>
    </row>
    <row r="76" spans="1:66" ht="11.25" customHeight="1">
      <c r="A76" s="906" t="s">
        <v>1808</v>
      </c>
      <c r="AZ76" s="949" t="s">
        <v>1308</v>
      </c>
      <c r="BH76" s="900" t="s">
        <v>1809</v>
      </c>
      <c r="BJ76" s="900" t="s">
        <v>1810</v>
      </c>
      <c r="BL76" s="900" t="s">
        <v>1811</v>
      </c>
    </row>
    <row r="77" spans="1:66" ht="11.25" customHeight="1">
      <c r="A77" s="906" t="s">
        <v>1812</v>
      </c>
      <c r="AZ77" s="949" t="s">
        <v>1334</v>
      </c>
    </row>
    <row r="78" spans="1:66" ht="11.25" customHeight="1">
      <c r="A78" s="906" t="s">
        <v>1813</v>
      </c>
      <c r="AZ78" s="949" t="s">
        <v>1366</v>
      </c>
    </row>
    <row r="79" spans="1:66" ht="11.25" customHeight="1">
      <c r="A79" s="906" t="s">
        <v>1814</v>
      </c>
      <c r="AZ79" s="949" t="s">
        <v>1396</v>
      </c>
      <c r="BH79" s="899" t="s">
        <v>1815</v>
      </c>
      <c r="BJ79" s="899" t="s">
        <v>1816</v>
      </c>
      <c r="BL79" s="899" t="s">
        <v>1817</v>
      </c>
    </row>
    <row r="80" spans="1:66" ht="11.25" customHeight="1">
      <c r="A80" s="906" t="s">
        <v>1818</v>
      </c>
      <c r="AZ80" s="949" t="s">
        <v>1414</v>
      </c>
      <c r="BH80" s="900" t="s">
        <v>1819</v>
      </c>
      <c r="BJ80" s="900" t="s">
        <v>1820</v>
      </c>
      <c r="BL80" s="900" t="s">
        <v>1821</v>
      </c>
    </row>
    <row r="81" spans="1:66" ht="11.25" customHeight="1">
      <c r="A81" s="906" t="s">
        <v>1822</v>
      </c>
      <c r="AZ81" s="949" t="s">
        <v>1431</v>
      </c>
      <c r="BH81" s="900" t="s">
        <v>1823</v>
      </c>
      <c r="BJ81" s="900" t="s">
        <v>1824</v>
      </c>
      <c r="BL81" s="900" t="s">
        <v>1825</v>
      </c>
    </row>
    <row r="82" spans="1:66" ht="11.25" customHeight="1">
      <c r="A82" s="906" t="s">
        <v>1826</v>
      </c>
      <c r="AZ82" s="949" t="s">
        <v>1444</v>
      </c>
      <c r="BH82" s="900" t="s">
        <v>1827</v>
      </c>
      <c r="BJ82" s="900" t="s">
        <v>1828</v>
      </c>
      <c r="BL82" s="900" t="s">
        <v>1829</v>
      </c>
    </row>
    <row r="83" spans="1:66" ht="11.25" customHeight="1">
      <c r="A83" s="906" t="s">
        <v>1830</v>
      </c>
      <c r="BH83" s="900" t="s">
        <v>1831</v>
      </c>
      <c r="BJ83" s="900" t="s">
        <v>1832</v>
      </c>
      <c r="BL83" s="900" t="s">
        <v>1833</v>
      </c>
    </row>
    <row r="84" spans="1:66" ht="11.25" customHeight="1">
      <c r="A84" s="906" t="s">
        <v>1834</v>
      </c>
      <c r="AZ84" s="899" t="s">
        <v>1835</v>
      </c>
    </row>
    <row r="85" spans="1:66" ht="11.25" customHeight="1">
      <c r="A85" s="1626" t="s">
        <v>1836</v>
      </c>
      <c r="AZ85" s="949" t="s">
        <v>1837</v>
      </c>
    </row>
    <row r="86" spans="1:66" ht="11.25" customHeight="1">
      <c r="A86" s="906" t="s">
        <v>1838</v>
      </c>
      <c r="AZ86" s="949" t="s">
        <v>1839</v>
      </c>
      <c r="BH86" s="899" t="s">
        <v>1840</v>
      </c>
      <c r="BJ86" s="899" t="s">
        <v>1841</v>
      </c>
      <c r="BL86" s="899" t="s">
        <v>1842</v>
      </c>
    </row>
    <row r="87" spans="1:66" ht="11.25" customHeight="1">
      <c r="A87" s="906" t="s">
        <v>1843</v>
      </c>
      <c r="AZ87" s="949" t="s">
        <v>1844</v>
      </c>
      <c r="BH87" s="900" t="s">
        <v>1845</v>
      </c>
      <c r="BJ87" s="900" t="s">
        <v>1846</v>
      </c>
      <c r="BL87" s="900" t="s">
        <v>1847</v>
      </c>
    </row>
    <row r="88" spans="1:66" ht="11.25" customHeight="1">
      <c r="A88" s="906" t="s">
        <v>1848</v>
      </c>
      <c r="AZ88" s="1394"/>
      <c r="BH88" s="900" t="s">
        <v>1849</v>
      </c>
      <c r="BJ88" s="900" t="s">
        <v>1850</v>
      </c>
      <c r="BL88" s="900" t="s">
        <v>1851</v>
      </c>
    </row>
    <row r="89" spans="1:66" ht="11.25" customHeight="1">
      <c r="A89" s="906" t="s">
        <v>1852</v>
      </c>
      <c r="AZ89" s="899" t="s">
        <v>1853</v>
      </c>
    </row>
    <row r="90" spans="1:66" ht="11.25" customHeight="1">
      <c r="A90" s="906" t="s">
        <v>1854</v>
      </c>
      <c r="AZ90" s="949" t="s">
        <v>1138</v>
      </c>
    </row>
    <row r="91" spans="1:66" ht="11.25" customHeight="1">
      <c r="A91" s="906" t="s">
        <v>1855</v>
      </c>
      <c r="AZ91" s="949" t="s">
        <v>1174</v>
      </c>
      <c r="BH91" s="899" t="s">
        <v>1856</v>
      </c>
      <c r="BJ91" s="899" t="s">
        <v>1857</v>
      </c>
      <c r="BL91" s="899" t="s">
        <v>1858</v>
      </c>
    </row>
    <row r="92" spans="1:66" ht="11.25" customHeight="1">
      <c r="AZ92" s="949" t="s">
        <v>1859</v>
      </c>
      <c r="BH92" s="900" t="s">
        <v>1860</v>
      </c>
      <c r="BJ92" s="900" t="s">
        <v>1861</v>
      </c>
      <c r="BL92" s="900" t="s">
        <v>1862</v>
      </c>
    </row>
    <row r="93" spans="1:66" ht="11.25" customHeight="1">
      <c r="AZ93" s="949" t="s">
        <v>1863</v>
      </c>
      <c r="BH93" s="900" t="s">
        <v>1864</v>
      </c>
      <c r="BJ93" s="900" t="s">
        <v>1865</v>
      </c>
      <c r="BL93" s="900" t="s">
        <v>1866</v>
      </c>
    </row>
    <row r="94" spans="1:66" ht="11.25" customHeight="1">
      <c r="AZ94" s="949" t="s">
        <v>1867</v>
      </c>
    </row>
    <row r="96" spans="1:66" ht="11.25" customHeight="1">
      <c r="AZ96" s="899" t="s">
        <v>1868</v>
      </c>
      <c r="BH96" s="899" t="s">
        <v>1869</v>
      </c>
      <c r="BJ96" s="899" t="s">
        <v>1870</v>
      </c>
      <c r="BL96" s="899" t="s">
        <v>1871</v>
      </c>
      <c r="BN96" s="899" t="s">
        <v>1872</v>
      </c>
    </row>
    <row r="97" spans="52:66" ht="11.25" customHeight="1">
      <c r="AZ97" s="1654" t="s">
        <v>1873</v>
      </c>
      <c r="BA97" s="1655" t="s">
        <v>1874</v>
      </c>
      <c r="BH97" s="900" t="s">
        <v>1875</v>
      </c>
      <c r="BJ97" s="900" t="s">
        <v>1876</v>
      </c>
      <c r="BL97" s="900" t="s">
        <v>1877</v>
      </c>
      <c r="BN97" s="900" t="s">
        <v>1878</v>
      </c>
    </row>
    <row r="98" spans="52:66" ht="11.25" customHeight="1">
      <c r="AZ98" s="1654" t="s">
        <v>1879</v>
      </c>
      <c r="BA98" s="1655" t="s">
        <v>1880</v>
      </c>
      <c r="BH98" s="900" t="s">
        <v>1881</v>
      </c>
      <c r="BJ98" s="900" t="s">
        <v>1882</v>
      </c>
      <c r="BL98" s="900" t="s">
        <v>1883</v>
      </c>
      <c r="BN98" s="900" t="s">
        <v>1884</v>
      </c>
    </row>
    <row r="99" spans="52:66" ht="22.5" customHeight="1">
      <c r="AZ99" s="1654" t="s">
        <v>1885</v>
      </c>
      <c r="BA99" s="1655" t="str">
        <f>"не позднее чем за "&amp;IF(TEMPLATE_SPHERE="TKO","3","10")&amp;" дней до дня проведения заседания правления"</f>
        <v>не позднее чем за 10 дней до дня проведения заседания правления</v>
      </c>
      <c r="BH99" s="900" t="s">
        <v>1886</v>
      </c>
      <c r="BJ99" s="900" t="s">
        <v>1887</v>
      </c>
      <c r="BL99" s="900" t="s">
        <v>1888</v>
      </c>
      <c r="BN99" s="900" t="s">
        <v>1889</v>
      </c>
    </row>
    <row r="100" spans="52:66" ht="22.5" customHeight="1">
      <c r="AZ100" s="1654" t="s">
        <v>1890</v>
      </c>
      <c r="BA100" s="165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00" t="s">
        <v>991</v>
      </c>
      <c r="BL100" s="900" t="s">
        <v>991</v>
      </c>
      <c r="BN100" s="900" t="s">
        <v>1891</v>
      </c>
    </row>
    <row r="101" spans="52:66" ht="22.5" customHeight="1">
      <c r="AZ101" s="1654" t="s">
        <v>1892</v>
      </c>
      <c r="BA101" s="1655" t="s">
        <v>1893</v>
      </c>
      <c r="BN101" s="900" t="s">
        <v>1894</v>
      </c>
    </row>
    <row r="102" spans="52:66" ht="22.5" customHeight="1">
      <c r="AZ102" s="1654" t="s">
        <v>1895</v>
      </c>
      <c r="BA102" s="165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00" t="s">
        <v>1896</v>
      </c>
    </row>
    <row r="103" spans="52:66" ht="11.25" customHeight="1">
      <c r="AZ103" s="1654" t="s">
        <v>1897</v>
      </c>
      <c r="BA103" s="1655" t="s">
        <v>1898</v>
      </c>
      <c r="BN103" s="900" t="s">
        <v>1899</v>
      </c>
    </row>
    <row r="104" spans="52:66" ht="11.25" customHeight="1">
      <c r="BN104" s="900" t="s">
        <v>1900</v>
      </c>
    </row>
    <row r="105" spans="52:66" ht="11.25" customHeight="1">
      <c r="AZ105" s="1479" t="s">
        <v>1901</v>
      </c>
    </row>
    <row r="106" spans="52:66" ht="11.25" customHeight="1">
      <c r="AZ106" s="949" t="s">
        <v>1902</v>
      </c>
    </row>
    <row r="107" spans="52:66" ht="11.25" customHeight="1">
      <c r="AZ107" s="949" t="s">
        <v>1903</v>
      </c>
      <c r="BH107" s="899" t="s">
        <v>1904</v>
      </c>
      <c r="BJ107" s="899" t="s">
        <v>1905</v>
      </c>
      <c r="BL107" s="899" t="s">
        <v>1906</v>
      </c>
      <c r="BN107" s="899" t="s">
        <v>1907</v>
      </c>
    </row>
    <row r="108" spans="52:66" ht="11.25" customHeight="1">
      <c r="AZ108" s="949" t="s">
        <v>660</v>
      </c>
      <c r="BH108" s="900" t="s">
        <v>1908</v>
      </c>
      <c r="BJ108" s="900" t="s">
        <v>1909</v>
      </c>
      <c r="BL108" s="900" t="s">
        <v>1567</v>
      </c>
      <c r="BN108" s="900" t="s">
        <v>1910</v>
      </c>
    </row>
    <row r="109" spans="52:66" ht="11.25" customHeight="1">
      <c r="BH109" s="900" t="s">
        <v>1911</v>
      </c>
    </row>
    <row r="110" spans="52:66" ht="11.25" customHeight="1">
      <c r="AZ110" s="1479" t="s">
        <v>1912</v>
      </c>
      <c r="BH110" s="900" t="s">
        <v>1911</v>
      </c>
    </row>
    <row r="111" spans="52:66" ht="11.25" customHeight="1">
      <c r="AZ111" s="1654" t="s">
        <v>1873</v>
      </c>
      <c r="BA111" s="1655" t="s">
        <v>1874</v>
      </c>
    </row>
    <row r="112" spans="52:66" ht="11.25" customHeight="1">
      <c r="AZ112" s="1654" t="s">
        <v>1879</v>
      </c>
      <c r="BA112" s="1655" t="s">
        <v>1880</v>
      </c>
    </row>
    <row r="113" spans="52:60" ht="22.5" customHeight="1">
      <c r="AZ113" s="1654" t="s">
        <v>1885</v>
      </c>
      <c r="BA113" s="1655"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654" t="s">
        <v>1890</v>
      </c>
      <c r="BA114" s="165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899" t="s">
        <v>1913</v>
      </c>
    </row>
    <row r="115" spans="52:60" ht="22.5" customHeight="1">
      <c r="AZ115" s="1654" t="s">
        <v>1895</v>
      </c>
      <c r="BA115" s="165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00" t="s">
        <v>1295</v>
      </c>
    </row>
    <row r="116" spans="52:60" ht="11.25" customHeight="1">
      <c r="AZ116" s="1654" t="s">
        <v>1897</v>
      </c>
      <c r="BA116" s="1655" t="s">
        <v>1898</v>
      </c>
      <c r="BH116" s="900" t="s">
        <v>1320</v>
      </c>
    </row>
    <row r="117" spans="52:60" ht="11.25" customHeight="1">
      <c r="BH117" s="900" t="s">
        <v>1355</v>
      </c>
    </row>
    <row r="118" spans="52:60" ht="11.25" customHeight="1">
      <c r="BH118" s="900" t="s">
        <v>1387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4" hidden="1" customWidth="1"/>
    <col min="3" max="3" width="3" style="388" customWidth="1"/>
    <col min="4" max="4" width="6" style="389" customWidth="1"/>
    <col min="5" max="5" width="52" style="388" customWidth="1"/>
    <col min="6" max="6" width="48" style="388" customWidth="1"/>
    <col min="7" max="7" width="93" style="388" customWidth="1"/>
    <col min="8" max="8" width="8" style="388" customWidth="1"/>
    <col min="9" max="9" width="64" style="388" customWidth="1"/>
    <col min="10" max="10" width="9.140625" style="388" hidden="1"/>
  </cols>
  <sheetData>
    <row r="1" spans="1:10" ht="11.25" hidden="1" customHeight="1">
      <c r="A1" s="434" t="s">
        <v>383</v>
      </c>
      <c r="J1" s="388" t="s">
        <v>1</v>
      </c>
    </row>
    <row r="2" spans="1:10" ht="22.5" hidden="1" customHeight="1">
      <c r="A2" s="435"/>
      <c r="B2" s="435"/>
      <c r="C2" s="1489" t="s">
        <v>90</v>
      </c>
      <c r="D2" s="1308"/>
      <c r="E2" s="1314"/>
      <c r="F2" s="1337"/>
      <c r="H2" s="408"/>
      <c r="J2" s="388">
        <v>0</v>
      </c>
    </row>
    <row r="3" spans="1:10" ht="11.25" hidden="1" customHeight="1">
      <c r="J3" s="388">
        <v>0</v>
      </c>
    </row>
    <row r="4" spans="1:10" ht="11.45" customHeight="1">
      <c r="A4" s="1338"/>
      <c r="B4" s="1338"/>
      <c r="J4" s="388">
        <v>11</v>
      </c>
    </row>
    <row r="5" spans="1:10" ht="27.4" customHeight="1">
      <c r="D5" s="225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60"/>
      <c r="F5" s="2261"/>
      <c r="I5" s="633"/>
      <c r="J5" s="388">
        <v>26</v>
      </c>
    </row>
    <row r="6" spans="1:10" ht="18" customHeight="1">
      <c r="D6" s="2349" t="str">
        <f>IF(region_name=0,"Не определено",region_name)</f>
        <v>Смоленская область</v>
      </c>
      <c r="E6" s="2349"/>
      <c r="F6" s="2349"/>
      <c r="I6" s="633"/>
      <c r="J6" s="388">
        <v>17</v>
      </c>
    </row>
    <row r="7" spans="1:10" s="410" customFormat="1" ht="11.45" customHeight="1">
      <c r="A7" s="434"/>
      <c r="B7" s="434"/>
      <c r="D7" s="632"/>
      <c r="E7" s="632"/>
      <c r="F7" s="659"/>
      <c r="G7" s="632"/>
      <c r="J7" s="410">
        <v>11</v>
      </c>
    </row>
    <row r="8" spans="1:10" ht="11.25" hidden="1" customHeight="1">
      <c r="A8" s="435"/>
      <c r="B8" s="435"/>
      <c r="C8" s="390"/>
      <c r="D8" s="396"/>
      <c r="E8" s="2355"/>
      <c r="F8" s="2355"/>
      <c r="J8" s="388">
        <v>0</v>
      </c>
    </row>
    <row r="9" spans="1:10" ht="11.45" customHeight="1">
      <c r="A9" s="435"/>
      <c r="B9" s="435"/>
      <c r="C9" s="390"/>
      <c r="D9" s="2352" t="s">
        <v>384</v>
      </c>
      <c r="E9" s="2353"/>
      <c r="F9" s="2353"/>
      <c r="G9" s="2356" t="s">
        <v>385</v>
      </c>
      <c r="J9" s="388">
        <v>11</v>
      </c>
    </row>
    <row r="10" spans="1:10" ht="11.45" customHeight="1">
      <c r="A10" s="435"/>
      <c r="B10" s="435"/>
      <c r="C10" s="390"/>
      <c r="D10" s="1262" t="s">
        <v>75</v>
      </c>
      <c r="E10" s="1264" t="s">
        <v>386</v>
      </c>
      <c r="F10" s="1264" t="s">
        <v>387</v>
      </c>
      <c r="G10" s="2357"/>
      <c r="J10" s="388">
        <v>11</v>
      </c>
    </row>
    <row r="11" spans="1:10" ht="1.1499999999999999" customHeight="1">
      <c r="A11" s="435"/>
      <c r="B11" s="435"/>
      <c r="C11" s="390"/>
      <c r="D11" s="397"/>
      <c r="E11" s="397"/>
      <c r="F11" s="397"/>
      <c r="G11" s="397"/>
      <c r="J11" s="388">
        <v>1</v>
      </c>
    </row>
    <row r="12" spans="1:10" ht="24" customHeight="1">
      <c r="A12" s="435"/>
      <c r="B12" s="435"/>
      <c r="C12" s="390"/>
      <c r="D12" s="1308">
        <v>1</v>
      </c>
      <c r="E12" s="407"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661" t="str">
        <f>IF(org="","",org)</f>
        <v>ООО "Смоленскрегионтеплоэнерго"</v>
      </c>
      <c r="G12" s="407"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321"/>
      <c r="J12" s="388">
        <v>23</v>
      </c>
    </row>
    <row r="13" spans="1:10" ht="19.899999999999999" customHeight="1">
      <c r="A13" s="435"/>
      <c r="B13" s="435"/>
      <c r="C13" s="390"/>
      <c r="D13" s="1308">
        <v>2</v>
      </c>
      <c r="E13" s="1315" t="s">
        <v>1914</v>
      </c>
      <c r="F13" s="1309" t="s">
        <v>390</v>
      </c>
      <c r="G13" s="407"/>
      <c r="H13" s="1321"/>
      <c r="J13" s="388">
        <v>19</v>
      </c>
    </row>
    <row r="14" spans="1:10" ht="19.899999999999999" customHeight="1">
      <c r="A14" s="435"/>
      <c r="B14" s="435"/>
      <c r="C14" s="390"/>
      <c r="D14" s="1311" t="s">
        <v>823</v>
      </c>
      <c r="E14" s="1312" t="s">
        <v>1915</v>
      </c>
      <c r="F14" s="1314"/>
      <c r="G14" s="1313" t="s">
        <v>1916</v>
      </c>
      <c r="H14" s="1321"/>
      <c r="J14" s="388">
        <v>19</v>
      </c>
    </row>
    <row r="15" spans="1:10" ht="19.899999999999999" customHeight="1">
      <c r="A15" s="435"/>
      <c r="B15" s="435"/>
      <c r="C15" s="390"/>
      <c r="D15" s="1311" t="s">
        <v>391</v>
      </c>
      <c r="E15" s="1312" t="s">
        <v>1917</v>
      </c>
      <c r="F15" s="1314"/>
      <c r="G15" s="1313" t="s">
        <v>1918</v>
      </c>
      <c r="H15" s="1321"/>
      <c r="J15" s="388">
        <v>19</v>
      </c>
    </row>
    <row r="16" spans="1:10" ht="24" customHeight="1">
      <c r="A16" s="435"/>
      <c r="B16" s="435"/>
      <c r="C16" s="390"/>
      <c r="D16" s="1311" t="s">
        <v>394</v>
      </c>
      <c r="E16" s="1310" t="s">
        <v>1919</v>
      </c>
      <c r="F16" s="1319"/>
      <c r="G16" s="407" t="s">
        <v>1920</v>
      </c>
      <c r="H16" s="1321"/>
      <c r="J16" s="388">
        <v>23</v>
      </c>
    </row>
    <row r="17" spans="1:10" ht="48.2" customHeight="1">
      <c r="A17" s="435"/>
      <c r="B17" s="435"/>
      <c r="C17" s="390"/>
      <c r="D17" s="1308">
        <v>3</v>
      </c>
      <c r="E17" s="1315" t="s">
        <v>1921</v>
      </c>
      <c r="F17" s="1314"/>
      <c r="G17" s="407" t="s">
        <v>1922</v>
      </c>
      <c r="H17" s="1321"/>
      <c r="J17" s="388">
        <v>46</v>
      </c>
    </row>
    <row r="18" spans="1:10" ht="48.2" customHeight="1">
      <c r="A18" s="1263">
        <v>1</v>
      </c>
      <c r="B18" s="435"/>
      <c r="C18" s="1265"/>
      <c r="D18" s="1308" t="s">
        <v>78</v>
      </c>
      <c r="E18" s="1315" t="s">
        <v>1923</v>
      </c>
      <c r="F18" s="1314"/>
      <c r="G18" s="407" t="s">
        <v>1922</v>
      </c>
      <c r="H18" s="1321"/>
      <c r="I18" s="751"/>
      <c r="J18" s="388">
        <v>46</v>
      </c>
    </row>
    <row r="19" spans="1:10" ht="23.25" customHeight="1">
      <c r="A19" s="435"/>
      <c r="B19" s="435"/>
      <c r="C19" s="390"/>
      <c r="D19" s="1308" t="s">
        <v>115</v>
      </c>
      <c r="E19" s="1315" t="s">
        <v>1924</v>
      </c>
      <c r="F19" s="1309" t="s">
        <v>390</v>
      </c>
      <c r="G19" s="2575" t="s">
        <v>1925</v>
      </c>
      <c r="H19" s="408"/>
      <c r="J19" s="388">
        <v>22</v>
      </c>
    </row>
    <row r="20" spans="1:10" s="1318" customFormat="1" ht="5.25" hidden="1" customHeight="1">
      <c r="A20" s="435"/>
      <c r="B20" s="435"/>
      <c r="C20" s="1317"/>
      <c r="D20" s="1316" t="s">
        <v>1194</v>
      </c>
      <c r="E20" s="866"/>
      <c r="F20" s="865"/>
      <c r="G20" s="2576"/>
      <c r="J20" s="1318">
        <v>0</v>
      </c>
    </row>
    <row r="21" spans="1:10" ht="15.75" customHeight="1">
      <c r="A21" s="435"/>
      <c r="B21" s="435"/>
      <c r="C21" s="390"/>
      <c r="D21" s="400"/>
      <c r="E21" s="348" t="s">
        <v>423</v>
      </c>
      <c r="F21" s="402"/>
      <c r="G21" s="2577"/>
      <c r="H21" s="1321"/>
      <c r="J21" s="388">
        <v>15</v>
      </c>
    </row>
    <row r="22" spans="1:10" s="434" customFormat="1" ht="26.25" customHeight="1">
      <c r="A22" s="435"/>
      <c r="B22" s="435"/>
      <c r="C22" s="435"/>
      <c r="D22" s="1308" t="s">
        <v>79</v>
      </c>
      <c r="E22" s="407" t="s">
        <v>1926</v>
      </c>
      <c r="F22" s="1314"/>
      <c r="G22" s="407" t="s">
        <v>1927</v>
      </c>
      <c r="H22" s="1320"/>
      <c r="J22" s="434">
        <v>25</v>
      </c>
    </row>
    <row r="23" spans="1:10" s="434" customFormat="1" ht="19.899999999999999" customHeight="1">
      <c r="A23" s="435"/>
      <c r="B23" s="435"/>
      <c r="C23" s="435"/>
      <c r="D23" s="1308" t="s">
        <v>80</v>
      </c>
      <c r="E23" s="1315" t="s">
        <v>1928</v>
      </c>
      <c r="F23" s="1319"/>
      <c r="G23" s="407" t="s">
        <v>1929</v>
      </c>
      <c r="H23" s="1320"/>
      <c r="J23" s="434">
        <v>19</v>
      </c>
    </row>
    <row r="24" spans="1:10" s="434" customFormat="1" ht="144" hidden="1" customHeight="1">
      <c r="A24" s="435"/>
      <c r="B24" s="435"/>
      <c r="C24" s="435"/>
      <c r="D24" s="1308" t="s">
        <v>131</v>
      </c>
      <c r="E24" s="165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651"/>
      <c r="G24" s="164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320"/>
      <c r="J24" s="434">
        <v>0</v>
      </c>
    </row>
    <row r="25" spans="1:10" ht="11.25" hidden="1" customHeight="1">
      <c r="A25" s="434" t="s">
        <v>69</v>
      </c>
      <c r="B25" s="434">
        <v>0</v>
      </c>
      <c r="C25" s="388">
        <v>3</v>
      </c>
      <c r="D25" s="389">
        <v>6</v>
      </c>
      <c r="E25" s="388">
        <v>52</v>
      </c>
      <c r="F25" s="388">
        <v>48</v>
      </c>
      <c r="G25" s="388">
        <v>93</v>
      </c>
      <c r="H25" s="388">
        <v>8</v>
      </c>
      <c r="I25" s="388">
        <v>64</v>
      </c>
      <c r="J25" s="388">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423" hidden="1"/>
    <col min="2" max="2" width="9.140625" style="1154" hidden="1"/>
    <col min="3" max="3" width="3.7109375" style="1423" hidden="1" customWidth="1"/>
    <col min="4" max="4" width="3" style="1598" customWidth="1"/>
    <col min="5" max="5" width="6" style="1423" customWidth="1"/>
    <col min="6" max="6" width="46" style="1423" customWidth="1"/>
    <col min="7" max="8" width="16" style="1423" customWidth="1"/>
    <col min="9" max="9" width="35" style="1423" customWidth="1"/>
    <col min="10" max="10" width="89" style="1423" customWidth="1"/>
    <col min="11" max="11" width="3" style="1412" customWidth="1"/>
    <col min="12" max="14" width="8" style="1412" customWidth="1"/>
    <col min="15" max="15" width="25" style="1412" customWidth="1"/>
    <col min="16" max="16" width="14" style="1412" customWidth="1"/>
    <col min="17" max="20" width="8" style="159" customWidth="1"/>
    <col min="21" max="254" width="8" style="1423" customWidth="1"/>
    <col min="255" max="255" width="9.140625" style="1423" hidden="1"/>
  </cols>
  <sheetData>
    <row r="1" spans="1:255" ht="22.5" hidden="1" customHeight="1">
      <c r="F1" s="1419" t="s">
        <v>1930</v>
      </c>
      <c r="G1" s="1419" t="s">
        <v>34</v>
      </c>
      <c r="H1" s="1419" t="s">
        <v>36</v>
      </c>
      <c r="IU1" s="956" t="s">
        <v>1</v>
      </c>
    </row>
    <row r="2" spans="1:255" s="1606" customFormat="1" ht="22.5" hidden="1" customHeight="1">
      <c r="A2" s="730"/>
      <c r="B2" s="961">
        <v>1</v>
      </c>
      <c r="C2" s="961"/>
      <c r="D2" s="1678" t="s">
        <v>90</v>
      </c>
      <c r="E2" s="1272"/>
      <c r="F2" s="1279"/>
      <c r="G2" s="1279"/>
      <c r="H2" s="1279"/>
      <c r="I2" s="1734"/>
      <c r="J2" s="1735"/>
      <c r="K2" s="1323"/>
      <c r="L2" s="444"/>
      <c r="M2" s="444"/>
      <c r="N2" s="433" t="str">
        <f t="array" ref="N2">IF(ISERROR(MATCH(MID(O2,1,250),MID(note_ter,1,250),0)),"n","y")</f>
        <v>n</v>
      </c>
      <c r="O2" s="444"/>
      <c r="P2" s="433" t="str">
        <f>G2&amp;"("&amp;J2&amp;")"</f>
        <v>()</v>
      </c>
      <c r="Q2" s="961"/>
      <c r="R2" s="961"/>
      <c r="S2" s="353"/>
      <c r="T2" s="961"/>
      <c r="U2" s="961"/>
      <c r="V2" s="961"/>
      <c r="W2" s="355"/>
      <c r="X2" s="355"/>
      <c r="Y2" s="352"/>
      <c r="Z2" s="352"/>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5"/>
      <c r="BU2" s="355"/>
      <c r="BV2" s="355"/>
      <c r="BW2" s="355"/>
      <c r="BX2" s="355"/>
      <c r="BY2" s="355"/>
      <c r="BZ2" s="355"/>
      <c r="CA2" s="355"/>
      <c r="CB2" s="355"/>
      <c r="CC2" s="355"/>
      <c r="IU2" s="356">
        <v>0</v>
      </c>
    </row>
    <row r="3" spans="1:255" s="1430" customFormat="1" ht="4.1500000000000004" customHeight="1">
      <c r="A3" s="429"/>
      <c r="D3" s="427"/>
      <c r="F3" s="181" t="s">
        <v>70</v>
      </c>
      <c r="G3" s="427" t="s">
        <v>71</v>
      </c>
      <c r="H3" s="427"/>
      <c r="I3" s="427"/>
      <c r="J3" s="161" t="s">
        <v>72</v>
      </c>
      <c r="K3" s="181" t="s">
        <v>70</v>
      </c>
      <c r="L3" s="181"/>
      <c r="M3" s="181"/>
      <c r="N3" s="181"/>
      <c r="O3" s="182"/>
      <c r="P3" s="181"/>
      <c r="Q3" s="181"/>
      <c r="R3" s="181"/>
      <c r="S3" s="181"/>
      <c r="T3" s="18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1"/>
      <c r="BI3" s="161"/>
      <c r="BJ3" s="161"/>
      <c r="BK3" s="161"/>
      <c r="BL3" s="161"/>
      <c r="BM3" s="161"/>
      <c r="BN3" s="161"/>
      <c r="BO3" s="161"/>
      <c r="BP3" s="161"/>
      <c r="BQ3" s="161"/>
      <c r="BR3" s="161"/>
      <c r="BS3" s="161"/>
      <c r="BT3" s="161"/>
      <c r="BU3" s="161"/>
      <c r="BV3" s="161"/>
      <c r="BW3" s="161"/>
      <c r="BX3" s="161"/>
      <c r="BY3" s="161"/>
      <c r="BZ3" s="161"/>
      <c r="CA3" s="161"/>
      <c r="CB3" s="161"/>
      <c r="CC3" s="161"/>
      <c r="CD3" s="161"/>
      <c r="CE3" s="161"/>
      <c r="CF3" s="161"/>
      <c r="CG3" s="161"/>
      <c r="CH3" s="161"/>
      <c r="CI3" s="161"/>
      <c r="CJ3" s="161"/>
      <c r="CK3" s="161"/>
      <c r="CL3" s="161"/>
      <c r="CM3" s="161"/>
      <c r="CN3" s="161"/>
      <c r="CO3" s="161"/>
      <c r="CP3" s="161"/>
      <c r="CQ3" s="161"/>
      <c r="CR3" s="161"/>
      <c r="CS3" s="161"/>
      <c r="CT3" s="161"/>
      <c r="CU3" s="161"/>
      <c r="CV3" s="161"/>
      <c r="CW3" s="161"/>
      <c r="CX3" s="161"/>
      <c r="CY3" s="161"/>
      <c r="CZ3" s="161"/>
      <c r="DA3" s="161"/>
      <c r="DB3" s="161"/>
      <c r="DC3" s="161"/>
      <c r="DD3" s="161"/>
      <c r="DE3" s="161"/>
      <c r="DF3" s="161"/>
      <c r="DG3" s="161"/>
      <c r="DH3" s="161"/>
      <c r="DI3" s="161"/>
      <c r="DJ3" s="161"/>
      <c r="DK3" s="161"/>
      <c r="DL3" s="161"/>
      <c r="DM3" s="161"/>
      <c r="DN3" s="161"/>
      <c r="DO3" s="161"/>
      <c r="DP3" s="161"/>
      <c r="DQ3" s="161"/>
      <c r="DR3" s="161"/>
      <c r="DS3" s="161"/>
      <c r="DT3" s="161"/>
      <c r="DU3" s="161"/>
      <c r="DV3" s="161"/>
      <c r="DW3" s="161"/>
      <c r="DX3" s="161"/>
      <c r="DY3" s="161"/>
      <c r="DZ3" s="161"/>
      <c r="EA3" s="161"/>
      <c r="EB3" s="161"/>
      <c r="EC3" s="161"/>
      <c r="ED3" s="161"/>
      <c r="EE3" s="161"/>
      <c r="EF3" s="161"/>
      <c r="EG3" s="161"/>
      <c r="EH3" s="161"/>
      <c r="EI3" s="161"/>
      <c r="EJ3" s="161"/>
      <c r="EK3" s="161"/>
      <c r="EL3" s="161"/>
      <c r="EM3" s="161"/>
      <c r="EN3" s="161"/>
      <c r="EO3" s="161"/>
      <c r="EP3" s="161"/>
      <c r="EQ3" s="161"/>
      <c r="ER3" s="161"/>
      <c r="ES3" s="161"/>
      <c r="ET3" s="161"/>
      <c r="EU3" s="161"/>
      <c r="EV3" s="161"/>
      <c r="EW3" s="161"/>
      <c r="EX3" s="161"/>
      <c r="EY3" s="161"/>
      <c r="EZ3" s="161"/>
      <c r="FA3" s="161"/>
      <c r="FB3" s="161"/>
      <c r="FC3" s="161"/>
      <c r="FD3" s="161"/>
      <c r="FE3" s="161"/>
      <c r="FF3" s="161"/>
      <c r="FG3" s="161"/>
      <c r="FH3" s="161"/>
      <c r="FI3" s="161"/>
      <c r="FJ3" s="161"/>
      <c r="FK3" s="161"/>
      <c r="FL3" s="161"/>
      <c r="FM3" s="161"/>
      <c r="FN3" s="161"/>
      <c r="FO3" s="161"/>
      <c r="FP3" s="161"/>
      <c r="FQ3" s="161"/>
      <c r="FR3" s="161"/>
      <c r="FS3" s="161"/>
      <c r="FT3" s="161"/>
      <c r="FU3" s="161"/>
      <c r="FV3" s="161"/>
      <c r="FW3" s="161"/>
      <c r="FX3" s="161"/>
      <c r="FY3" s="161"/>
      <c r="FZ3" s="161"/>
      <c r="GA3" s="161"/>
      <c r="GB3" s="161"/>
      <c r="GC3" s="161"/>
      <c r="GD3" s="161"/>
      <c r="GE3" s="161"/>
      <c r="GF3" s="161"/>
      <c r="GG3" s="161"/>
      <c r="GH3" s="161"/>
      <c r="GI3" s="161"/>
      <c r="GJ3" s="161"/>
      <c r="GK3" s="161"/>
      <c r="GL3" s="161"/>
      <c r="GM3" s="161"/>
      <c r="GN3" s="161"/>
      <c r="GO3" s="161"/>
      <c r="GP3" s="161"/>
      <c r="GQ3" s="161"/>
      <c r="GR3" s="161"/>
      <c r="GS3" s="161"/>
      <c r="GT3" s="161"/>
      <c r="GU3" s="161"/>
      <c r="GV3" s="161"/>
      <c r="GW3" s="161"/>
      <c r="GX3" s="161"/>
      <c r="GY3" s="161"/>
      <c r="GZ3" s="161"/>
      <c r="HA3" s="161"/>
      <c r="HB3" s="161"/>
      <c r="HC3" s="161"/>
      <c r="HD3" s="161"/>
      <c r="HE3" s="161"/>
      <c r="HF3" s="161"/>
      <c r="HG3" s="161"/>
      <c r="HH3" s="161"/>
      <c r="HI3" s="161"/>
      <c r="HJ3" s="161"/>
      <c r="HK3" s="161"/>
      <c r="HL3" s="161"/>
      <c r="HM3" s="161"/>
      <c r="HN3" s="161"/>
      <c r="HO3" s="161"/>
      <c r="HP3" s="161"/>
      <c r="HQ3" s="161"/>
      <c r="HR3" s="161"/>
      <c r="HS3" s="161"/>
      <c r="HT3" s="161"/>
      <c r="HU3" s="161"/>
      <c r="HV3" s="161"/>
      <c r="HW3" s="161"/>
      <c r="HX3" s="161"/>
      <c r="HY3" s="161"/>
      <c r="HZ3" s="161"/>
      <c r="IA3" s="161"/>
      <c r="IB3" s="161"/>
      <c r="IC3" s="161"/>
      <c r="ID3" s="161"/>
      <c r="IE3" s="161"/>
      <c r="IF3" s="161"/>
      <c r="IG3" s="161"/>
      <c r="IH3" s="161"/>
      <c r="II3" s="161"/>
      <c r="IJ3" s="161"/>
      <c r="IK3" s="161"/>
      <c r="IL3" s="161"/>
      <c r="IM3" s="161"/>
      <c r="IN3" s="161"/>
      <c r="IO3" s="161"/>
      <c r="IP3" s="161"/>
      <c r="IQ3" s="161"/>
      <c r="IR3" s="161"/>
      <c r="IS3" s="161"/>
      <c r="IT3" s="161"/>
      <c r="IU3" s="444">
        <v>4</v>
      </c>
    </row>
    <row r="4" spans="1:255" s="1578" customFormat="1" ht="14.65" customHeight="1">
      <c r="A4" s="956"/>
      <c r="B4" s="961"/>
      <c r="C4" s="956"/>
      <c r="D4" s="1283"/>
      <c r="E4" s="442"/>
      <c r="F4" s="1430"/>
      <c r="G4" s="442"/>
      <c r="H4" s="442"/>
      <c r="I4" s="442"/>
      <c r="J4" s="100"/>
      <c r="K4" s="181"/>
      <c r="L4" s="433"/>
      <c r="M4" s="433"/>
      <c r="N4" s="433"/>
      <c r="O4" s="160"/>
      <c r="P4" s="433"/>
      <c r="Q4" s="159"/>
      <c r="R4" s="159"/>
      <c r="S4" s="159"/>
      <c r="T4" s="159"/>
      <c r="IU4" s="440">
        <v>14</v>
      </c>
    </row>
    <row r="5" spans="1:255" s="1578" customFormat="1" ht="27.4" customHeight="1">
      <c r="A5" s="956"/>
      <c r="B5" s="961"/>
      <c r="C5" s="956"/>
      <c r="D5" s="1283"/>
      <c r="E5" s="225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51"/>
      <c r="G5" s="2251"/>
      <c r="H5" s="2251"/>
      <c r="I5" s="2251"/>
      <c r="J5" s="2251"/>
      <c r="K5" s="181"/>
      <c r="L5" s="433"/>
      <c r="M5" s="433"/>
      <c r="N5" s="433"/>
      <c r="O5" s="160"/>
      <c r="P5" s="433"/>
      <c r="Q5" s="159"/>
      <c r="R5" s="159"/>
      <c r="S5" s="159"/>
      <c r="T5" s="159"/>
      <c r="IU5" s="440">
        <v>26</v>
      </c>
    </row>
    <row r="6" spans="1:255" s="1578" customFormat="1" ht="14.65" customHeight="1">
      <c r="A6" s="956"/>
      <c r="B6" s="961"/>
      <c r="C6" s="956"/>
      <c r="D6" s="1283"/>
      <c r="E6" s="442"/>
      <c r="F6" s="101"/>
      <c r="G6" s="101"/>
      <c r="H6" s="101"/>
      <c r="I6" s="101"/>
      <c r="J6" s="102"/>
      <c r="K6" s="433"/>
      <c r="L6" s="433"/>
      <c r="M6" s="433"/>
      <c r="N6" s="433"/>
      <c r="O6" s="160"/>
      <c r="P6" s="433"/>
      <c r="Q6" s="159"/>
      <c r="R6" s="159"/>
      <c r="S6" s="159"/>
      <c r="T6" s="159"/>
      <c r="IU6" s="440">
        <v>14</v>
      </c>
    </row>
    <row r="7" spans="1:255" s="1578" customFormat="1" ht="14.65" customHeight="1">
      <c r="A7" s="956"/>
      <c r="B7" s="961"/>
      <c r="C7" s="956"/>
      <c r="D7" s="1283"/>
      <c r="E7" s="2247" t="s">
        <v>384</v>
      </c>
      <c r="F7" s="2252"/>
      <c r="G7" s="2252"/>
      <c r="H7" s="2252"/>
      <c r="I7" s="2252"/>
      <c r="J7" s="2578" t="s">
        <v>385</v>
      </c>
      <c r="K7" s="433"/>
      <c r="L7" s="433"/>
      <c r="M7" s="433"/>
      <c r="N7" s="433"/>
      <c r="O7" s="160"/>
      <c r="P7" s="433"/>
      <c r="Q7" s="159"/>
      <c r="R7" s="159"/>
      <c r="S7" s="159"/>
      <c r="T7" s="159"/>
      <c r="IU7" s="440">
        <v>14</v>
      </c>
    </row>
    <row r="8" spans="1:255" s="1578" customFormat="1" ht="21" customHeight="1">
      <c r="A8" s="956"/>
      <c r="B8" s="961"/>
      <c r="C8" s="956"/>
      <c r="D8" s="1283"/>
      <c r="E8" s="1336" t="s">
        <v>75</v>
      </c>
      <c r="F8" s="1328" t="s">
        <v>1930</v>
      </c>
      <c r="G8" s="1328" t="s">
        <v>34</v>
      </c>
      <c r="H8" s="1328" t="s">
        <v>36</v>
      </c>
      <c r="I8" s="1328" t="s">
        <v>1931</v>
      </c>
      <c r="J8" s="2579"/>
      <c r="K8" s="433"/>
      <c r="L8" s="433"/>
      <c r="M8" s="433"/>
      <c r="N8" s="433"/>
      <c r="O8" s="160"/>
      <c r="P8" s="433"/>
      <c r="Q8" s="159"/>
      <c r="R8" s="159"/>
      <c r="S8" s="159"/>
      <c r="T8" s="159"/>
      <c r="IU8" s="440">
        <v>20</v>
      </c>
    </row>
    <row r="9" spans="1:255" s="1606" customFormat="1" ht="23.25" customHeight="1">
      <c r="A9" s="1419"/>
      <c r="B9" s="961">
        <v>1</v>
      </c>
      <c r="C9" s="961"/>
      <c r="D9" s="700"/>
      <c r="E9" s="1272">
        <v>1</v>
      </c>
      <c r="F9" s="1335"/>
      <c r="G9" s="1279"/>
      <c r="H9" s="1279"/>
      <c r="I9" s="1326"/>
      <c r="J9" s="231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323"/>
      <c r="L9" s="444"/>
      <c r="M9" s="444"/>
      <c r="N9" s="433" t="str">
        <f t="array" ref="N9">IF(ISERROR(MATCH(MID(O9,1,250),MID(note_ter,1,250),0)),"n","y")</f>
        <v>n</v>
      </c>
      <c r="O9" s="444"/>
      <c r="P9" s="433"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961"/>
      <c r="R9" s="961"/>
      <c r="S9" s="353"/>
      <c r="T9" s="961"/>
      <c r="U9" s="961"/>
      <c r="V9" s="961"/>
      <c r="W9" s="355"/>
      <c r="X9" s="355"/>
      <c r="Y9" s="352"/>
      <c r="Z9" s="352"/>
      <c r="AA9" s="352"/>
      <c r="AB9" s="352"/>
      <c r="AC9" s="352"/>
      <c r="AD9" s="352"/>
      <c r="AE9" s="352"/>
      <c r="AF9" s="352"/>
      <c r="AG9" s="352"/>
      <c r="AH9" s="352"/>
      <c r="AI9" s="352"/>
      <c r="AJ9" s="352"/>
      <c r="AK9" s="352"/>
      <c r="AL9" s="352"/>
      <c r="AM9" s="352"/>
      <c r="AN9" s="352"/>
      <c r="AO9" s="352"/>
      <c r="AP9" s="352"/>
      <c r="AQ9" s="352"/>
      <c r="AR9" s="352"/>
      <c r="AS9" s="352"/>
      <c r="AT9" s="352"/>
      <c r="AU9" s="352"/>
      <c r="AV9" s="352"/>
      <c r="AW9" s="352"/>
      <c r="AX9" s="352"/>
      <c r="AY9" s="352"/>
      <c r="AZ9" s="352"/>
      <c r="BA9" s="352"/>
      <c r="BB9" s="352"/>
      <c r="BC9" s="352"/>
      <c r="BD9" s="352"/>
      <c r="BE9" s="352"/>
      <c r="BF9" s="352"/>
      <c r="BG9" s="352"/>
      <c r="BH9" s="352"/>
      <c r="BI9" s="352"/>
      <c r="BJ9" s="352"/>
      <c r="BK9" s="352"/>
      <c r="BL9" s="352"/>
      <c r="BM9" s="352"/>
      <c r="BN9" s="352"/>
      <c r="BO9" s="352"/>
      <c r="BP9" s="352"/>
      <c r="BQ9" s="352"/>
      <c r="BR9" s="352"/>
      <c r="BS9" s="352"/>
      <c r="BT9" s="355"/>
      <c r="BU9" s="355"/>
      <c r="BV9" s="355"/>
      <c r="BW9" s="355"/>
      <c r="BX9" s="355"/>
      <c r="BY9" s="355"/>
      <c r="BZ9" s="355"/>
      <c r="CA9" s="355"/>
      <c r="CB9" s="355"/>
      <c r="CC9" s="355"/>
      <c r="IU9" s="356">
        <v>22</v>
      </c>
    </row>
    <row r="10" spans="1:255" s="1606" customFormat="1" ht="15.75" customHeight="1">
      <c r="A10" s="1419"/>
      <c r="B10" s="961"/>
      <c r="C10" s="345"/>
      <c r="D10" s="700"/>
      <c r="E10" s="1329"/>
      <c r="F10" s="1288" t="s">
        <v>1932</v>
      </c>
      <c r="G10" s="1330"/>
      <c r="H10" s="1330"/>
      <c r="I10" s="1652"/>
      <c r="J10" s="2314"/>
      <c r="K10" s="1324"/>
      <c r="L10" s="444"/>
      <c r="M10" s="444"/>
      <c r="N10" s="444"/>
      <c r="O10" s="433"/>
      <c r="P10" s="444"/>
      <c r="Q10" s="961"/>
      <c r="R10" s="961"/>
      <c r="S10" s="353"/>
      <c r="T10" s="961"/>
      <c r="U10" s="961"/>
      <c r="V10" s="961"/>
      <c r="W10" s="355"/>
      <c r="X10" s="355"/>
      <c r="Y10" s="352"/>
      <c r="Z10" s="352"/>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5"/>
      <c r="BU10" s="355"/>
      <c r="BV10" s="355"/>
      <c r="BW10" s="355"/>
      <c r="BX10" s="355"/>
      <c r="BY10" s="355"/>
      <c r="BZ10" s="355"/>
      <c r="CA10" s="355"/>
      <c r="CB10" s="355"/>
      <c r="CC10" s="355"/>
      <c r="IU10" s="356">
        <v>15</v>
      </c>
    </row>
    <row r="11" spans="1:255" s="1578" customFormat="1" ht="21.95" customHeight="1">
      <c r="A11" s="956"/>
      <c r="B11" s="961"/>
      <c r="C11" s="956"/>
      <c r="D11" s="384"/>
      <c r="E11" s="114"/>
      <c r="F11" s="114"/>
      <c r="G11" s="114"/>
      <c r="H11" s="114"/>
      <c r="I11" s="114"/>
      <c r="J11" s="114"/>
      <c r="K11" s="433"/>
      <c r="L11" s="433"/>
      <c r="M11" s="433"/>
      <c r="N11" s="433"/>
      <c r="O11" s="160"/>
      <c r="P11" s="433"/>
      <c r="Q11" s="159"/>
      <c r="R11" s="159"/>
      <c r="S11" s="159"/>
      <c r="T11" s="159"/>
      <c r="IU11" s="440">
        <v>21</v>
      </c>
    </row>
    <row r="12" spans="1:255" s="1578" customFormat="1" ht="14.65" customHeight="1">
      <c r="A12" s="956"/>
      <c r="B12" s="961"/>
      <c r="C12" s="956"/>
      <c r="D12" s="384"/>
      <c r="E12" s="956"/>
      <c r="F12" s="956"/>
      <c r="G12" s="956"/>
      <c r="H12" s="956"/>
      <c r="I12" s="956"/>
      <c r="J12" s="956"/>
      <c r="K12" s="433"/>
      <c r="L12" s="433"/>
      <c r="M12" s="433"/>
      <c r="N12" s="433"/>
      <c r="O12" s="160"/>
      <c r="P12" s="433"/>
      <c r="Q12" s="159"/>
      <c r="R12" s="159"/>
      <c r="S12" s="159"/>
      <c r="T12" s="159"/>
      <c r="IU12" s="440">
        <v>14</v>
      </c>
    </row>
    <row r="13" spans="1:255" s="1578" customFormat="1" ht="1.1499999999999999" customHeight="1">
      <c r="A13" s="956"/>
      <c r="B13" s="961"/>
      <c r="C13" s="956"/>
      <c r="D13" s="384"/>
      <c r="E13" s="956"/>
      <c r="F13" s="956"/>
      <c r="G13" s="956"/>
      <c r="H13" s="956"/>
      <c r="I13" s="956"/>
      <c r="J13" s="956"/>
      <c r="K13" s="433"/>
      <c r="L13" s="433"/>
      <c r="M13" s="433"/>
      <c r="N13" s="433"/>
      <c r="O13" s="160"/>
      <c r="P13" s="433"/>
      <c r="Q13" s="159"/>
      <c r="R13" s="159"/>
      <c r="S13" s="159"/>
      <c r="T13" s="159"/>
      <c r="IU13" s="440">
        <v>1</v>
      </c>
    </row>
    <row r="14" spans="1:255" s="897" customFormat="1" ht="10.5" customHeight="1">
      <c r="B14" s="733"/>
      <c r="D14" s="116"/>
      <c r="K14" s="433"/>
      <c r="L14" s="433"/>
      <c r="M14" s="433"/>
      <c r="N14" s="433"/>
      <c r="O14" s="160"/>
      <c r="P14" s="433"/>
      <c r="Q14" s="159"/>
      <c r="R14" s="159"/>
      <c r="S14" s="159"/>
      <c r="T14" s="159"/>
      <c r="IU14" s="115">
        <v>10</v>
      </c>
    </row>
    <row r="15" spans="1:255" s="897" customFormat="1" ht="10.5" customHeight="1">
      <c r="B15" s="733"/>
      <c r="D15" s="116"/>
      <c r="K15" s="433"/>
      <c r="L15" s="433"/>
      <c r="M15" s="433"/>
      <c r="N15" s="433"/>
      <c r="O15" s="160"/>
      <c r="P15" s="433"/>
      <c r="Q15" s="159"/>
      <c r="R15" s="159"/>
      <c r="S15" s="159"/>
      <c r="T15" s="159"/>
      <c r="IU15" s="115">
        <v>10</v>
      </c>
    </row>
    <row r="16" spans="1:255" ht="14.65" customHeight="1">
      <c r="IU16" s="956">
        <v>14</v>
      </c>
    </row>
    <row r="17" spans="1:255" ht="14.65" customHeight="1">
      <c r="IU17" s="956">
        <v>14</v>
      </c>
    </row>
    <row r="18" spans="1:255" ht="14.65" customHeight="1">
      <c r="IU18" s="956">
        <v>14</v>
      </c>
    </row>
    <row r="19" spans="1:255" ht="14.65" customHeight="1">
      <c r="G19" s="306"/>
      <c r="H19" s="306"/>
      <c r="I19" s="306"/>
      <c r="IU19" s="956">
        <v>14</v>
      </c>
    </row>
    <row r="20" spans="1:255" ht="14.65" customHeight="1">
      <c r="IU20" s="956">
        <v>14</v>
      </c>
    </row>
    <row r="21" spans="1:255" ht="14.65" customHeight="1">
      <c r="IU21" s="956">
        <v>14</v>
      </c>
    </row>
    <row r="22" spans="1:255" ht="14.65" customHeight="1">
      <c r="IU22" s="956">
        <v>14</v>
      </c>
    </row>
    <row r="23" spans="1:255" ht="14.65" customHeight="1">
      <c r="K23" s="956"/>
      <c r="L23" s="956"/>
      <c r="M23" s="956"/>
      <c r="IU23" s="956">
        <v>14</v>
      </c>
    </row>
    <row r="24" spans="1:255" ht="22.5" hidden="1" customHeight="1">
      <c r="A24" s="956" t="s">
        <v>69</v>
      </c>
      <c r="B24" s="961">
        <v>0</v>
      </c>
      <c r="C24" s="956">
        <v>0</v>
      </c>
      <c r="D24" s="384">
        <v>3</v>
      </c>
      <c r="E24" s="956">
        <v>6</v>
      </c>
      <c r="F24" s="956">
        <v>46</v>
      </c>
      <c r="G24" s="956">
        <v>16</v>
      </c>
      <c r="H24" s="956">
        <v>16</v>
      </c>
      <c r="I24" s="956">
        <v>35</v>
      </c>
      <c r="J24" s="956">
        <v>89</v>
      </c>
      <c r="K24" s="433">
        <v>3</v>
      </c>
      <c r="L24" s="433">
        <v>8</v>
      </c>
      <c r="M24" s="433">
        <v>8</v>
      </c>
      <c r="N24" s="433">
        <v>8</v>
      </c>
      <c r="O24" s="160">
        <v>25</v>
      </c>
      <c r="P24" s="433">
        <v>14</v>
      </c>
      <c r="Q24" s="159">
        <v>8</v>
      </c>
      <c r="R24" s="159">
        <v>8</v>
      </c>
      <c r="S24" s="159">
        <v>8</v>
      </c>
      <c r="T24" s="159">
        <v>8</v>
      </c>
      <c r="U24" s="956">
        <v>8</v>
      </c>
      <c r="V24" s="956">
        <v>8</v>
      </c>
      <c r="W24" s="956">
        <v>8</v>
      </c>
      <c r="X24" s="956">
        <v>8</v>
      </c>
      <c r="Y24" s="956">
        <v>8</v>
      </c>
      <c r="Z24" s="956">
        <v>8</v>
      </c>
      <c r="AA24" s="956">
        <v>8</v>
      </c>
      <c r="AB24" s="956">
        <v>8</v>
      </c>
      <c r="AC24" s="956">
        <v>8</v>
      </c>
      <c r="AD24" s="956">
        <v>8</v>
      </c>
      <c r="AE24" s="956">
        <v>8</v>
      </c>
      <c r="AF24" s="956">
        <v>8</v>
      </c>
      <c r="AG24" s="956">
        <v>8</v>
      </c>
      <c r="AH24" s="956">
        <v>8</v>
      </c>
      <c r="AI24" s="956">
        <v>8</v>
      </c>
      <c r="AJ24" s="956">
        <v>8</v>
      </c>
      <c r="AK24" s="956">
        <v>8</v>
      </c>
      <c r="AL24" s="956">
        <v>8</v>
      </c>
      <c r="AM24" s="956">
        <v>8</v>
      </c>
      <c r="AN24" s="956">
        <v>8</v>
      </c>
      <c r="AO24" s="956">
        <v>8</v>
      </c>
      <c r="AP24" s="956">
        <v>8</v>
      </c>
      <c r="AQ24" s="956">
        <v>8</v>
      </c>
      <c r="AR24" s="956">
        <v>8</v>
      </c>
      <c r="AS24" s="956">
        <v>8</v>
      </c>
      <c r="AT24" s="956">
        <v>8</v>
      </c>
      <c r="AU24" s="956">
        <v>8</v>
      </c>
      <c r="AV24" s="956">
        <v>8</v>
      </c>
      <c r="AW24" s="956">
        <v>8</v>
      </c>
      <c r="AX24" s="956">
        <v>8</v>
      </c>
      <c r="AY24" s="956">
        <v>8</v>
      </c>
      <c r="AZ24" s="956">
        <v>8</v>
      </c>
      <c r="BA24" s="956">
        <v>8</v>
      </c>
      <c r="BB24" s="956">
        <v>8</v>
      </c>
      <c r="BC24" s="956">
        <v>8</v>
      </c>
      <c r="BD24" s="956">
        <v>8</v>
      </c>
      <c r="BE24" s="956">
        <v>8</v>
      </c>
      <c r="BF24" s="956">
        <v>8</v>
      </c>
      <c r="BG24" s="956">
        <v>8</v>
      </c>
      <c r="BH24" s="956">
        <v>8</v>
      </c>
      <c r="BI24" s="956">
        <v>8</v>
      </c>
      <c r="BJ24" s="956">
        <v>8</v>
      </c>
      <c r="BK24" s="956">
        <v>8</v>
      </c>
      <c r="BL24" s="956">
        <v>8</v>
      </c>
      <c r="BM24" s="956">
        <v>8</v>
      </c>
      <c r="BN24" s="956">
        <v>8</v>
      </c>
      <c r="BO24" s="956">
        <v>8</v>
      </c>
      <c r="BP24" s="956">
        <v>8</v>
      </c>
      <c r="BQ24" s="956">
        <v>8</v>
      </c>
      <c r="BR24" s="956">
        <v>8</v>
      </c>
      <c r="BS24" s="956">
        <v>8</v>
      </c>
      <c r="BT24" s="956">
        <v>8</v>
      </c>
      <c r="BU24" s="956">
        <v>8</v>
      </c>
      <c r="BV24" s="956">
        <v>8</v>
      </c>
      <c r="BW24" s="956">
        <v>8</v>
      </c>
      <c r="BX24" s="956">
        <v>8</v>
      </c>
      <c r="BY24" s="956">
        <v>8</v>
      </c>
      <c r="BZ24" s="956">
        <v>8</v>
      </c>
      <c r="CA24" s="956">
        <v>8</v>
      </c>
      <c r="CB24" s="956">
        <v>8</v>
      </c>
      <c r="CC24" s="956">
        <v>8</v>
      </c>
      <c r="CD24" s="956">
        <v>8</v>
      </c>
      <c r="CE24" s="956">
        <v>8</v>
      </c>
      <c r="CF24" s="956">
        <v>8</v>
      </c>
      <c r="CG24" s="956">
        <v>8</v>
      </c>
      <c r="CH24" s="956">
        <v>8</v>
      </c>
      <c r="CI24" s="956">
        <v>8</v>
      </c>
      <c r="CJ24" s="956">
        <v>8</v>
      </c>
      <c r="CK24" s="956">
        <v>8</v>
      </c>
      <c r="CL24" s="956">
        <v>8</v>
      </c>
      <c r="CM24" s="956">
        <v>8</v>
      </c>
      <c r="CN24" s="956">
        <v>8</v>
      </c>
      <c r="CO24" s="956">
        <v>8</v>
      </c>
      <c r="CP24" s="956">
        <v>8</v>
      </c>
      <c r="CQ24" s="956">
        <v>8</v>
      </c>
      <c r="CR24" s="956">
        <v>8</v>
      </c>
      <c r="CS24" s="956">
        <v>8</v>
      </c>
      <c r="CT24" s="956">
        <v>8</v>
      </c>
      <c r="CU24" s="956">
        <v>8</v>
      </c>
      <c r="CV24" s="956">
        <v>8</v>
      </c>
      <c r="CW24" s="956">
        <v>8</v>
      </c>
      <c r="CX24" s="956">
        <v>8</v>
      </c>
      <c r="CY24" s="956">
        <v>8</v>
      </c>
      <c r="CZ24" s="956">
        <v>8</v>
      </c>
      <c r="DA24" s="956">
        <v>8</v>
      </c>
      <c r="DB24" s="956">
        <v>8</v>
      </c>
      <c r="DC24" s="956">
        <v>8</v>
      </c>
      <c r="DD24" s="956">
        <v>8</v>
      </c>
      <c r="DE24" s="956">
        <v>8</v>
      </c>
      <c r="DF24" s="956">
        <v>8</v>
      </c>
      <c r="DG24" s="956">
        <v>8</v>
      </c>
      <c r="DH24" s="956">
        <v>8</v>
      </c>
      <c r="DI24" s="956">
        <v>8</v>
      </c>
      <c r="DJ24" s="956">
        <v>8</v>
      </c>
      <c r="DK24" s="956">
        <v>8</v>
      </c>
      <c r="DL24" s="956">
        <v>8</v>
      </c>
      <c r="DM24" s="956">
        <v>8</v>
      </c>
      <c r="DN24" s="956">
        <v>8</v>
      </c>
      <c r="DO24" s="956">
        <v>8</v>
      </c>
      <c r="DP24" s="956">
        <v>8</v>
      </c>
      <c r="DQ24" s="956">
        <v>8</v>
      </c>
      <c r="DR24" s="956">
        <v>8</v>
      </c>
      <c r="DS24" s="956">
        <v>8</v>
      </c>
      <c r="DT24" s="956">
        <v>8</v>
      </c>
      <c r="DU24" s="956">
        <v>8</v>
      </c>
      <c r="DV24" s="956">
        <v>8</v>
      </c>
      <c r="DW24" s="956">
        <v>8</v>
      </c>
      <c r="DX24" s="956">
        <v>8</v>
      </c>
      <c r="DY24" s="956">
        <v>8</v>
      </c>
      <c r="DZ24" s="956">
        <v>8</v>
      </c>
      <c r="EA24" s="956">
        <v>8</v>
      </c>
      <c r="EB24" s="956">
        <v>8</v>
      </c>
      <c r="EC24" s="956">
        <v>8</v>
      </c>
      <c r="ED24" s="956">
        <v>8</v>
      </c>
      <c r="EE24" s="956">
        <v>8</v>
      </c>
      <c r="EF24" s="956">
        <v>8</v>
      </c>
      <c r="EG24" s="956">
        <v>8</v>
      </c>
      <c r="EH24" s="956">
        <v>8</v>
      </c>
      <c r="EI24" s="956">
        <v>8</v>
      </c>
      <c r="EJ24" s="956">
        <v>8</v>
      </c>
      <c r="EK24" s="956">
        <v>8</v>
      </c>
      <c r="EL24" s="956">
        <v>8</v>
      </c>
      <c r="EM24" s="956">
        <v>8</v>
      </c>
      <c r="EN24" s="956">
        <v>8</v>
      </c>
      <c r="EO24" s="956">
        <v>8</v>
      </c>
      <c r="EP24" s="956">
        <v>8</v>
      </c>
      <c r="EQ24" s="956">
        <v>8</v>
      </c>
      <c r="ER24" s="956">
        <v>8</v>
      </c>
      <c r="ES24" s="956">
        <v>8</v>
      </c>
      <c r="ET24" s="956">
        <v>8</v>
      </c>
      <c r="EU24" s="956">
        <v>8</v>
      </c>
      <c r="EV24" s="956">
        <v>8</v>
      </c>
      <c r="EW24" s="956">
        <v>8</v>
      </c>
      <c r="EX24" s="956">
        <v>8</v>
      </c>
      <c r="EY24" s="956">
        <v>8</v>
      </c>
      <c r="EZ24" s="956">
        <v>8</v>
      </c>
      <c r="FA24" s="956">
        <v>8</v>
      </c>
      <c r="FB24" s="956">
        <v>8</v>
      </c>
      <c r="FC24" s="956">
        <v>8</v>
      </c>
      <c r="FD24" s="956">
        <v>8</v>
      </c>
      <c r="FE24" s="956">
        <v>8</v>
      </c>
      <c r="FF24" s="956">
        <v>8</v>
      </c>
      <c r="FG24" s="956">
        <v>8</v>
      </c>
      <c r="FH24" s="956">
        <v>8</v>
      </c>
      <c r="FI24" s="956">
        <v>8</v>
      </c>
      <c r="FJ24" s="956">
        <v>8</v>
      </c>
      <c r="FK24" s="956">
        <v>8</v>
      </c>
      <c r="FL24" s="956">
        <v>8</v>
      </c>
      <c r="FM24" s="956">
        <v>8</v>
      </c>
      <c r="FN24" s="956">
        <v>8</v>
      </c>
      <c r="FO24" s="956">
        <v>8</v>
      </c>
      <c r="FP24" s="956">
        <v>8</v>
      </c>
      <c r="FQ24" s="956">
        <v>8</v>
      </c>
      <c r="FR24" s="956">
        <v>8</v>
      </c>
      <c r="FS24" s="956">
        <v>8</v>
      </c>
      <c r="FT24" s="956">
        <v>8</v>
      </c>
      <c r="FU24" s="956">
        <v>8</v>
      </c>
      <c r="FV24" s="956">
        <v>8</v>
      </c>
      <c r="FW24" s="956">
        <v>8</v>
      </c>
      <c r="FX24" s="956">
        <v>8</v>
      </c>
      <c r="FY24" s="956">
        <v>8</v>
      </c>
      <c r="FZ24" s="956">
        <v>8</v>
      </c>
      <c r="GA24" s="956">
        <v>8</v>
      </c>
      <c r="GB24" s="956">
        <v>8</v>
      </c>
      <c r="GC24" s="956">
        <v>8</v>
      </c>
      <c r="GD24" s="956">
        <v>8</v>
      </c>
      <c r="GE24" s="956">
        <v>8</v>
      </c>
      <c r="GF24" s="956">
        <v>8</v>
      </c>
      <c r="GG24" s="956">
        <v>8</v>
      </c>
      <c r="GH24" s="956">
        <v>8</v>
      </c>
      <c r="GI24" s="956">
        <v>8</v>
      </c>
      <c r="GJ24" s="956">
        <v>8</v>
      </c>
      <c r="GK24" s="956">
        <v>8</v>
      </c>
      <c r="GL24" s="956">
        <v>8</v>
      </c>
      <c r="GM24" s="956">
        <v>8</v>
      </c>
      <c r="GN24" s="956">
        <v>8</v>
      </c>
      <c r="GO24" s="956">
        <v>8</v>
      </c>
      <c r="GP24" s="956">
        <v>8</v>
      </c>
      <c r="GQ24" s="956">
        <v>8</v>
      </c>
      <c r="GR24" s="956">
        <v>8</v>
      </c>
      <c r="GS24" s="956">
        <v>8</v>
      </c>
      <c r="GT24" s="956">
        <v>8</v>
      </c>
      <c r="GU24" s="956">
        <v>8</v>
      </c>
      <c r="GV24" s="956">
        <v>8</v>
      </c>
      <c r="GW24" s="956">
        <v>8</v>
      </c>
      <c r="GX24" s="956">
        <v>8</v>
      </c>
      <c r="GY24" s="956">
        <v>8</v>
      </c>
      <c r="GZ24" s="956">
        <v>8</v>
      </c>
      <c r="HA24" s="956">
        <v>8</v>
      </c>
      <c r="HB24" s="956">
        <v>8</v>
      </c>
      <c r="HC24" s="956">
        <v>8</v>
      </c>
      <c r="HD24" s="956">
        <v>8</v>
      </c>
      <c r="HE24" s="956">
        <v>8</v>
      </c>
      <c r="HF24" s="956">
        <v>8</v>
      </c>
      <c r="HG24" s="956">
        <v>8</v>
      </c>
      <c r="HH24" s="956">
        <v>8</v>
      </c>
      <c r="HI24" s="956">
        <v>8</v>
      </c>
      <c r="HJ24" s="956">
        <v>8</v>
      </c>
      <c r="HK24" s="956">
        <v>8</v>
      </c>
      <c r="HL24" s="956">
        <v>8</v>
      </c>
      <c r="HM24" s="956">
        <v>8</v>
      </c>
      <c r="HN24" s="956">
        <v>8</v>
      </c>
      <c r="HO24" s="956">
        <v>8</v>
      </c>
      <c r="HP24" s="956">
        <v>8</v>
      </c>
      <c r="HQ24" s="956">
        <v>8</v>
      </c>
      <c r="HR24" s="956">
        <v>8</v>
      </c>
      <c r="HS24" s="956">
        <v>8</v>
      </c>
      <c r="HT24" s="956">
        <v>8</v>
      </c>
      <c r="HU24" s="956">
        <v>8</v>
      </c>
      <c r="HV24" s="956">
        <v>8</v>
      </c>
      <c r="HW24" s="956">
        <v>8</v>
      </c>
      <c r="HX24" s="956">
        <v>8</v>
      </c>
      <c r="HY24" s="956">
        <v>8</v>
      </c>
      <c r="HZ24" s="956">
        <v>8</v>
      </c>
      <c r="IA24" s="956">
        <v>8</v>
      </c>
      <c r="IB24" s="956">
        <v>8</v>
      </c>
      <c r="IC24" s="956">
        <v>8</v>
      </c>
      <c r="ID24" s="956">
        <v>8</v>
      </c>
      <c r="IE24" s="956">
        <v>8</v>
      </c>
      <c r="IF24" s="956">
        <v>8</v>
      </c>
      <c r="IG24" s="956">
        <v>8</v>
      </c>
      <c r="IH24" s="956">
        <v>8</v>
      </c>
      <c r="II24" s="956">
        <v>8</v>
      </c>
      <c r="IJ24" s="956">
        <v>8</v>
      </c>
      <c r="IK24" s="956">
        <v>8</v>
      </c>
      <c r="IL24" s="956">
        <v>8</v>
      </c>
      <c r="IM24" s="956">
        <v>8</v>
      </c>
      <c r="IN24" s="956">
        <v>8</v>
      </c>
      <c r="IO24" s="956">
        <v>8</v>
      </c>
      <c r="IP24" s="956">
        <v>8</v>
      </c>
      <c r="IQ24" s="956">
        <v>8</v>
      </c>
      <c r="IR24" s="956">
        <v>8</v>
      </c>
      <c r="IS24" s="956">
        <v>8</v>
      </c>
      <c r="IT24" s="956">
        <v>8</v>
      </c>
      <c r="IU24" s="956">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423" hidden="1"/>
    <col min="2" max="2" width="9.140625" style="1154" hidden="1"/>
    <col min="3" max="3" width="3.7109375" style="1423" hidden="1" customWidth="1"/>
    <col min="4" max="4" width="3" style="1598" customWidth="1"/>
    <col min="5" max="5" width="6" style="1423" customWidth="1"/>
    <col min="6" max="6" width="27" style="1423" customWidth="1"/>
    <col min="7" max="7" width="16" style="1423" customWidth="1"/>
    <col min="8" max="8" width="12" style="1423" customWidth="1"/>
    <col min="9" max="9" width="32" style="1423" customWidth="1"/>
    <col min="10" max="11" width="41" style="1423" customWidth="1"/>
    <col min="12" max="12" width="89" style="1423" customWidth="1"/>
    <col min="13" max="13" width="3" style="1412" customWidth="1"/>
    <col min="14" max="16" width="8" style="1412" customWidth="1"/>
    <col min="17" max="17" width="25" style="1412" customWidth="1"/>
    <col min="18" max="18" width="14" style="1412" customWidth="1"/>
    <col min="19" max="22" width="8" style="159" customWidth="1"/>
    <col min="23" max="256" width="8" style="1423" customWidth="1"/>
    <col min="257" max="257" width="9.140625" style="1423" hidden="1"/>
  </cols>
  <sheetData>
    <row r="1" spans="1:257" ht="22.5" hidden="1" customHeight="1">
      <c r="IW1" s="956" t="s">
        <v>1</v>
      </c>
    </row>
    <row r="2" spans="1:257" s="1606" customFormat="1" ht="22.5" hidden="1" customHeight="1">
      <c r="A2" s="730"/>
      <c r="B2" s="961">
        <v>1</v>
      </c>
      <c r="C2" s="961"/>
      <c r="D2" s="1678" t="s">
        <v>90</v>
      </c>
      <c r="E2" s="1642"/>
      <c r="F2" s="1645" t="str">
        <f>IF(ROIV_INFO_NAME="","",ROIV_INFO_NAME)</f>
        <v>ООО "Смоленскрегионтеплоэнерго"</v>
      </c>
      <c r="G2" s="1670" t="s">
        <v>9</v>
      </c>
      <c r="H2" s="1669"/>
      <c r="I2" s="1326"/>
      <c r="J2" s="717"/>
      <c r="K2" s="717"/>
      <c r="L2" s="162"/>
      <c r="M2" s="1323" t="e">
        <f ca="1">MERGEVALUE(F2)</f>
        <v>#NAME?</v>
      </c>
      <c r="N2" s="444"/>
      <c r="O2" s="444"/>
      <c r="P2" s="433" t="str">
        <f t="array" ref="P2">IF(ISERROR(MATCH(MID(Q2,1,250),MID(note_ter,1,250),0)),"n","y")</f>
        <v>n</v>
      </c>
      <c r="Q2" s="444"/>
      <c r="R2" s="433" t="str">
        <f>G2&amp;"("&amp;L2&amp;")"</f>
        <v>()</v>
      </c>
      <c r="S2" s="961"/>
      <c r="T2" s="961"/>
      <c r="U2" s="353"/>
      <c r="V2" s="961"/>
      <c r="W2" s="961"/>
      <c r="X2" s="961"/>
      <c r="Y2" s="355"/>
      <c r="Z2" s="355"/>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2"/>
      <c r="BU2" s="352"/>
      <c r="BV2" s="355"/>
      <c r="BW2" s="355"/>
      <c r="BX2" s="355"/>
      <c r="BY2" s="355"/>
      <c r="BZ2" s="355"/>
      <c r="CA2" s="355"/>
      <c r="CB2" s="355"/>
      <c r="CC2" s="355"/>
      <c r="CD2" s="355"/>
      <c r="CE2" s="355"/>
      <c r="IW2" s="356">
        <v>0</v>
      </c>
    </row>
    <row r="3" spans="1:257" s="1430" customFormat="1" ht="5.25" hidden="1" customHeight="1">
      <c r="A3" s="429"/>
      <c r="D3" s="427"/>
      <c r="F3" s="181" t="s">
        <v>70</v>
      </c>
      <c r="G3" s="1494" t="s">
        <v>71</v>
      </c>
      <c r="H3" s="427"/>
      <c r="I3" s="427"/>
      <c r="J3" s="427"/>
      <c r="K3" s="427"/>
      <c r="L3" s="161" t="s">
        <v>72</v>
      </c>
      <c r="M3" s="181" t="s">
        <v>70</v>
      </c>
      <c r="N3" s="181"/>
      <c r="O3" s="181"/>
      <c r="P3" s="181"/>
      <c r="Q3" s="182"/>
      <c r="R3" s="181"/>
      <c r="S3" s="181"/>
      <c r="T3" s="181"/>
      <c r="U3" s="181"/>
      <c r="V3" s="181"/>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1"/>
      <c r="BI3" s="161"/>
      <c r="BJ3" s="161"/>
      <c r="BK3" s="161"/>
      <c r="BL3" s="161"/>
      <c r="BM3" s="161"/>
      <c r="BN3" s="161"/>
      <c r="BO3" s="161"/>
      <c r="BP3" s="161"/>
      <c r="BQ3" s="161"/>
      <c r="BR3" s="161"/>
      <c r="BS3" s="161"/>
      <c r="BT3" s="161"/>
      <c r="BU3" s="161"/>
      <c r="BV3" s="161"/>
      <c r="BW3" s="161"/>
      <c r="BX3" s="161"/>
      <c r="BY3" s="161"/>
      <c r="BZ3" s="161"/>
      <c r="CA3" s="161"/>
      <c r="CB3" s="161"/>
      <c r="CC3" s="161"/>
      <c r="CD3" s="161"/>
      <c r="CE3" s="161"/>
      <c r="CF3" s="161"/>
      <c r="CG3" s="161"/>
      <c r="CH3" s="161"/>
      <c r="CI3" s="161"/>
      <c r="CJ3" s="161"/>
      <c r="CK3" s="161"/>
      <c r="CL3" s="161"/>
      <c r="CM3" s="161"/>
      <c r="CN3" s="161"/>
      <c r="CO3" s="161"/>
      <c r="CP3" s="161"/>
      <c r="CQ3" s="161"/>
      <c r="CR3" s="161"/>
      <c r="CS3" s="161"/>
      <c r="CT3" s="161"/>
      <c r="CU3" s="161"/>
      <c r="CV3" s="161"/>
      <c r="CW3" s="161"/>
      <c r="CX3" s="161"/>
      <c r="CY3" s="161"/>
      <c r="CZ3" s="161"/>
      <c r="DA3" s="161"/>
      <c r="DB3" s="161"/>
      <c r="DC3" s="161"/>
      <c r="DD3" s="161"/>
      <c r="DE3" s="161"/>
      <c r="DF3" s="161"/>
      <c r="DG3" s="161"/>
      <c r="DH3" s="161"/>
      <c r="DI3" s="161"/>
      <c r="DJ3" s="161"/>
      <c r="DK3" s="161"/>
      <c r="DL3" s="161"/>
      <c r="DM3" s="161"/>
      <c r="DN3" s="161"/>
      <c r="DO3" s="161"/>
      <c r="DP3" s="161"/>
      <c r="DQ3" s="161"/>
      <c r="DR3" s="161"/>
      <c r="DS3" s="161"/>
      <c r="DT3" s="161"/>
      <c r="DU3" s="161"/>
      <c r="DV3" s="161"/>
      <c r="DW3" s="161"/>
      <c r="DX3" s="161"/>
      <c r="DY3" s="161"/>
      <c r="DZ3" s="161"/>
      <c r="EA3" s="161"/>
      <c r="EB3" s="161"/>
      <c r="EC3" s="161"/>
      <c r="ED3" s="161"/>
      <c r="EE3" s="161"/>
      <c r="EF3" s="161"/>
      <c r="EG3" s="161"/>
      <c r="EH3" s="161"/>
      <c r="EI3" s="161"/>
      <c r="EJ3" s="161"/>
      <c r="EK3" s="161"/>
      <c r="EL3" s="161"/>
      <c r="EM3" s="161"/>
      <c r="EN3" s="161"/>
      <c r="EO3" s="161"/>
      <c r="EP3" s="161"/>
      <c r="EQ3" s="161"/>
      <c r="ER3" s="161"/>
      <c r="ES3" s="161"/>
      <c r="ET3" s="161"/>
      <c r="EU3" s="161"/>
      <c r="EV3" s="161"/>
      <c r="EW3" s="161"/>
      <c r="EX3" s="161"/>
      <c r="EY3" s="161"/>
      <c r="EZ3" s="161"/>
      <c r="FA3" s="161"/>
      <c r="FB3" s="161"/>
      <c r="FC3" s="161"/>
      <c r="FD3" s="161"/>
      <c r="FE3" s="161"/>
      <c r="FF3" s="161"/>
      <c r="FG3" s="161"/>
      <c r="FH3" s="161"/>
      <c r="FI3" s="161"/>
      <c r="FJ3" s="161"/>
      <c r="FK3" s="161"/>
      <c r="FL3" s="161"/>
      <c r="FM3" s="161"/>
      <c r="FN3" s="161"/>
      <c r="FO3" s="161"/>
      <c r="FP3" s="161"/>
      <c r="FQ3" s="161"/>
      <c r="FR3" s="161"/>
      <c r="FS3" s="161"/>
      <c r="FT3" s="161"/>
      <c r="FU3" s="161"/>
      <c r="FV3" s="161"/>
      <c r="FW3" s="161"/>
      <c r="FX3" s="161"/>
      <c r="FY3" s="161"/>
      <c r="FZ3" s="161"/>
      <c r="GA3" s="161"/>
      <c r="GB3" s="161"/>
      <c r="GC3" s="161"/>
      <c r="GD3" s="161"/>
      <c r="GE3" s="161"/>
      <c r="GF3" s="161"/>
      <c r="GG3" s="161"/>
      <c r="GH3" s="161"/>
      <c r="GI3" s="161"/>
      <c r="GJ3" s="161"/>
      <c r="GK3" s="161"/>
      <c r="GL3" s="161"/>
      <c r="GM3" s="161"/>
      <c r="GN3" s="161"/>
      <c r="GO3" s="161"/>
      <c r="GP3" s="161"/>
      <c r="GQ3" s="161"/>
      <c r="GR3" s="161"/>
      <c r="GS3" s="161"/>
      <c r="GT3" s="161"/>
      <c r="GU3" s="161"/>
      <c r="GV3" s="161"/>
      <c r="GW3" s="161"/>
      <c r="GX3" s="161"/>
      <c r="GY3" s="161"/>
      <c r="GZ3" s="161"/>
      <c r="HA3" s="161"/>
      <c r="HB3" s="161"/>
      <c r="HC3" s="161"/>
      <c r="HD3" s="161"/>
      <c r="HE3" s="161"/>
      <c r="HF3" s="161"/>
      <c r="HG3" s="161"/>
      <c r="HH3" s="161"/>
      <c r="HI3" s="161"/>
      <c r="HJ3" s="161"/>
      <c r="HK3" s="161"/>
      <c r="HL3" s="161"/>
      <c r="HM3" s="161"/>
      <c r="HN3" s="161"/>
      <c r="HO3" s="161"/>
      <c r="HP3" s="161"/>
      <c r="HQ3" s="161"/>
      <c r="HR3" s="161"/>
      <c r="HS3" s="161"/>
      <c r="HT3" s="161"/>
      <c r="HU3" s="161"/>
      <c r="HV3" s="161"/>
      <c r="HW3" s="161"/>
      <c r="HX3" s="161"/>
      <c r="HY3" s="161"/>
      <c r="HZ3" s="161"/>
      <c r="IA3" s="161"/>
      <c r="IB3" s="161"/>
      <c r="IC3" s="161"/>
      <c r="ID3" s="161"/>
      <c r="IE3" s="161"/>
      <c r="IF3" s="161"/>
      <c r="IG3" s="161"/>
      <c r="IH3" s="161"/>
      <c r="II3" s="161"/>
      <c r="IJ3" s="161"/>
      <c r="IK3" s="161"/>
      <c r="IL3" s="161"/>
      <c r="IM3" s="161"/>
      <c r="IN3" s="161"/>
      <c r="IO3" s="161"/>
      <c r="IP3" s="161"/>
      <c r="IQ3" s="161"/>
      <c r="IR3" s="161"/>
      <c r="IS3" s="161"/>
      <c r="IT3" s="161"/>
      <c r="IU3" s="161"/>
      <c r="IV3" s="161"/>
      <c r="IW3" s="444">
        <v>0</v>
      </c>
    </row>
    <row r="4" spans="1:257" s="1578" customFormat="1" ht="14.65" customHeight="1">
      <c r="A4" s="956"/>
      <c r="B4" s="961"/>
      <c r="C4" s="956"/>
      <c r="D4" s="1283"/>
      <c r="E4" s="442"/>
      <c r="F4" s="442"/>
      <c r="G4" s="442"/>
      <c r="H4" s="442"/>
      <c r="I4" s="442"/>
      <c r="J4" s="442"/>
      <c r="K4" s="442"/>
      <c r="L4" s="100"/>
      <c r="M4" s="181"/>
      <c r="N4" s="433"/>
      <c r="O4" s="433"/>
      <c r="P4" s="433"/>
      <c r="Q4" s="160"/>
      <c r="R4" s="433"/>
      <c r="S4" s="159"/>
      <c r="T4" s="159"/>
      <c r="U4" s="159"/>
      <c r="V4" s="159"/>
      <c r="IW4" s="440">
        <v>14</v>
      </c>
    </row>
    <row r="5" spans="1:257" s="1578" customFormat="1" ht="27.4" customHeight="1">
      <c r="A5" s="956"/>
      <c r="B5" s="961"/>
      <c r="C5" s="956"/>
      <c r="D5" s="1283"/>
      <c r="E5" s="225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51"/>
      <c r="G5" s="2251"/>
      <c r="H5" s="2251"/>
      <c r="I5" s="2251"/>
      <c r="J5" s="2251"/>
      <c r="K5" s="2251"/>
      <c r="L5" s="519"/>
      <c r="M5" s="181"/>
      <c r="N5" s="433"/>
      <c r="O5" s="433"/>
      <c r="P5" s="433"/>
      <c r="Q5" s="160"/>
      <c r="R5" s="433"/>
      <c r="S5" s="159"/>
      <c r="T5" s="159"/>
      <c r="U5" s="159"/>
      <c r="V5" s="159"/>
      <c r="IW5" s="440">
        <v>26</v>
      </c>
    </row>
    <row r="6" spans="1:257" s="1578" customFormat="1" ht="14.65" customHeight="1">
      <c r="A6" s="956"/>
      <c r="B6" s="961"/>
      <c r="C6" s="956"/>
      <c r="D6" s="1283"/>
      <c r="E6" s="442"/>
      <c r="F6" s="101"/>
      <c r="G6" s="101"/>
      <c r="H6" s="101"/>
      <c r="I6" s="101"/>
      <c r="J6" s="101"/>
      <c r="K6" s="101"/>
      <c r="L6" s="102"/>
      <c r="M6" s="433"/>
      <c r="N6" s="433"/>
      <c r="O6" s="433"/>
      <c r="P6" s="433"/>
      <c r="Q6" s="160"/>
      <c r="R6" s="433"/>
      <c r="S6" s="159"/>
      <c r="T6" s="159"/>
      <c r="U6" s="159"/>
      <c r="V6" s="159"/>
      <c r="IW6" s="440">
        <v>14</v>
      </c>
    </row>
    <row r="7" spans="1:257" s="1578" customFormat="1" ht="14.65" customHeight="1">
      <c r="A7" s="956"/>
      <c r="B7" s="961"/>
      <c r="C7" s="956"/>
      <c r="D7" s="1283"/>
      <c r="E7" s="2247" t="s">
        <v>384</v>
      </c>
      <c r="F7" s="2252"/>
      <c r="G7" s="2252"/>
      <c r="H7" s="2252"/>
      <c r="I7" s="2252"/>
      <c r="J7" s="2252"/>
      <c r="K7" s="2252"/>
      <c r="L7" s="2578" t="s">
        <v>385</v>
      </c>
      <c r="M7" s="433"/>
      <c r="N7" s="433"/>
      <c r="O7" s="433"/>
      <c r="P7" s="433"/>
      <c r="Q7" s="160"/>
      <c r="R7" s="433"/>
      <c r="S7" s="159"/>
      <c r="T7" s="159"/>
      <c r="U7" s="159"/>
      <c r="V7" s="159"/>
      <c r="IW7" s="440">
        <v>14</v>
      </c>
    </row>
    <row r="8" spans="1:257" s="1578" customFormat="1" ht="67.150000000000006" customHeight="1">
      <c r="A8" s="956"/>
      <c r="B8" s="961"/>
      <c r="C8" s="956"/>
      <c r="D8" s="1283"/>
      <c r="E8" s="2582" t="s">
        <v>75</v>
      </c>
      <c r="F8" s="258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8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85"/>
      <c r="I8" s="2586"/>
      <c r="J8" s="258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8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80"/>
      <c r="M8" s="433"/>
      <c r="N8" s="433"/>
      <c r="O8" s="433"/>
      <c r="P8" s="433"/>
      <c r="Q8" s="160"/>
      <c r="R8" s="433"/>
      <c r="S8" s="159"/>
      <c r="T8" s="159"/>
      <c r="U8" s="159"/>
      <c r="V8" s="159"/>
      <c r="IW8" s="440">
        <v>64</v>
      </c>
    </row>
    <row r="9" spans="1:257" s="1578" customFormat="1" ht="29.25" customHeight="1">
      <c r="A9" s="956"/>
      <c r="B9" s="961"/>
      <c r="C9" s="956"/>
      <c r="D9" s="1283"/>
      <c r="E9" s="2583"/>
      <c r="F9" s="2583"/>
      <c r="G9" s="1325" t="s">
        <v>1933</v>
      </c>
      <c r="H9" s="1325" t="s">
        <v>1934</v>
      </c>
      <c r="I9" s="1325" t="s">
        <v>1935</v>
      </c>
      <c r="J9" s="2583"/>
      <c r="K9" s="2583"/>
      <c r="L9" s="2579"/>
      <c r="M9" s="433"/>
      <c r="N9" s="433"/>
      <c r="O9" s="433"/>
      <c r="P9" s="433"/>
      <c r="Q9" s="160"/>
      <c r="R9" s="433"/>
      <c r="S9" s="159"/>
      <c r="T9" s="159"/>
      <c r="U9" s="159"/>
      <c r="V9" s="159"/>
      <c r="IW9" s="440">
        <v>28</v>
      </c>
    </row>
    <row r="10" spans="1:257" s="1606" customFormat="1" ht="23.25" customHeight="1">
      <c r="A10" s="2250"/>
      <c r="B10" s="961">
        <v>1</v>
      </c>
      <c r="C10" s="961"/>
      <c r="D10" s="699"/>
      <c r="E10" s="697">
        <v>1</v>
      </c>
      <c r="F10" s="1327" t="str">
        <f>IF(ROIV_INFO_NAME="","",ROIV_INFO_NAME)</f>
        <v>ООО "Смоленскрегионтеплоэнерго"</v>
      </c>
      <c r="G10" s="1491" t="s">
        <v>9</v>
      </c>
      <c r="H10" s="1669"/>
      <c r="I10" s="1322"/>
      <c r="J10" s="717"/>
      <c r="K10" s="717"/>
      <c r="L10" s="256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323" t="e">
        <f ca="1">MERGEVALUE(F10)</f>
        <v>#NAME?</v>
      </c>
      <c r="N10" s="444"/>
      <c r="O10" s="444"/>
      <c r="P10" s="433" t="str">
        <f t="array" ref="P10">IF(ISERROR(MATCH(MID(Q10,1,250),MID(note_ter,1,250),0)),"n","y")</f>
        <v>n</v>
      </c>
      <c r="Q10" s="444"/>
      <c r="R10" s="43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961"/>
      <c r="T10" s="961"/>
      <c r="U10" s="353"/>
      <c r="V10" s="961"/>
      <c r="W10" s="961"/>
      <c r="X10" s="961"/>
      <c r="Y10" s="355"/>
      <c r="Z10" s="355"/>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2"/>
      <c r="BU10" s="352"/>
      <c r="BV10" s="355"/>
      <c r="BW10" s="355"/>
      <c r="BX10" s="355"/>
      <c r="BY10" s="355"/>
      <c r="BZ10" s="355"/>
      <c r="CA10" s="355"/>
      <c r="CB10" s="355"/>
      <c r="CC10" s="355"/>
      <c r="CD10" s="355"/>
      <c r="CE10" s="355"/>
      <c r="IW10" s="356">
        <v>22</v>
      </c>
    </row>
    <row r="11" spans="1:257" s="1606" customFormat="1" ht="15.75" customHeight="1">
      <c r="A11" s="2250"/>
      <c r="B11" s="961"/>
      <c r="C11" s="345"/>
      <c r="D11" s="700"/>
      <c r="E11" s="354"/>
      <c r="F11" s="349" t="s">
        <v>1936</v>
      </c>
      <c r="G11" s="121"/>
      <c r="H11" s="121"/>
      <c r="I11" s="121"/>
      <c r="J11" s="121"/>
      <c r="K11" s="357"/>
      <c r="L11" s="2581"/>
      <c r="M11" s="1324"/>
      <c r="N11" s="444"/>
      <c r="O11" s="444"/>
      <c r="P11" s="444"/>
      <c r="Q11" s="433"/>
      <c r="R11" s="444"/>
      <c r="S11" s="961"/>
      <c r="T11" s="961"/>
      <c r="U11" s="353"/>
      <c r="V11" s="961"/>
      <c r="W11" s="961"/>
      <c r="X11" s="961"/>
      <c r="Y11" s="355"/>
      <c r="Z11" s="355"/>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5"/>
      <c r="BW11" s="355"/>
      <c r="BX11" s="355"/>
      <c r="BY11" s="355"/>
      <c r="BZ11" s="355"/>
      <c r="CA11" s="355"/>
      <c r="CB11" s="355"/>
      <c r="CC11" s="355"/>
      <c r="CD11" s="355"/>
      <c r="CE11" s="355"/>
      <c r="IW11" s="356">
        <v>15</v>
      </c>
    </row>
    <row r="12" spans="1:257" s="1578" customFormat="1" ht="21.95" customHeight="1">
      <c r="A12" s="956"/>
      <c r="B12" s="961"/>
      <c r="C12" s="956"/>
      <c r="D12" s="384"/>
      <c r="E12" s="114"/>
      <c r="F12" s="114"/>
      <c r="G12" s="114"/>
      <c r="H12" s="114"/>
      <c r="I12" s="114"/>
      <c r="J12" s="114"/>
      <c r="K12" s="114"/>
      <c r="L12" s="114"/>
      <c r="M12" s="433"/>
      <c r="N12" s="433"/>
      <c r="O12" s="433"/>
      <c r="P12" s="433"/>
      <c r="Q12" s="160"/>
      <c r="R12" s="433"/>
      <c r="S12" s="159"/>
      <c r="T12" s="159"/>
      <c r="U12" s="159"/>
      <c r="V12" s="159"/>
      <c r="IW12" s="440">
        <v>21</v>
      </c>
    </row>
    <row r="13" spans="1:257" s="1578" customFormat="1" ht="14.65" customHeight="1">
      <c r="A13" s="956"/>
      <c r="B13" s="961"/>
      <c r="C13" s="956"/>
      <c r="D13" s="384"/>
      <c r="E13" s="956"/>
      <c r="F13" s="956"/>
      <c r="G13" s="956"/>
      <c r="H13" s="956"/>
      <c r="I13" s="956"/>
      <c r="J13" s="956"/>
      <c r="K13" s="956"/>
      <c r="L13" s="956"/>
      <c r="M13" s="433"/>
      <c r="N13" s="433"/>
      <c r="O13" s="433"/>
      <c r="P13" s="433"/>
      <c r="Q13" s="160"/>
      <c r="R13" s="433"/>
      <c r="S13" s="159"/>
      <c r="T13" s="159"/>
      <c r="U13" s="159"/>
      <c r="V13" s="159"/>
      <c r="IW13" s="440">
        <v>14</v>
      </c>
    </row>
    <row r="14" spans="1:257" s="1578" customFormat="1" ht="1.1499999999999999" customHeight="1">
      <c r="A14" s="956"/>
      <c r="B14" s="961"/>
      <c r="C14" s="956"/>
      <c r="D14" s="384"/>
      <c r="E14" s="956"/>
      <c r="F14" s="956"/>
      <c r="G14" s="956"/>
      <c r="H14" s="956"/>
      <c r="I14" s="956"/>
      <c r="J14" s="956"/>
      <c r="K14" s="956"/>
      <c r="L14" s="956"/>
      <c r="M14" s="433"/>
      <c r="N14" s="433"/>
      <c r="O14" s="433"/>
      <c r="P14" s="433"/>
      <c r="Q14" s="160"/>
      <c r="R14" s="433"/>
      <c r="S14" s="159"/>
      <c r="T14" s="159"/>
      <c r="U14" s="159"/>
      <c r="V14" s="159"/>
      <c r="IW14" s="440">
        <v>1</v>
      </c>
    </row>
    <row r="15" spans="1:257" ht="22.5" hidden="1" customHeight="1">
      <c r="A15" s="956" t="s">
        <v>69</v>
      </c>
      <c r="B15" s="961">
        <v>0</v>
      </c>
      <c r="C15" s="956">
        <v>0</v>
      </c>
      <c r="D15" s="384">
        <v>3</v>
      </c>
      <c r="E15" s="956">
        <v>6</v>
      </c>
      <c r="F15" s="956">
        <v>27</v>
      </c>
      <c r="G15" s="956">
        <v>16</v>
      </c>
      <c r="H15" s="956">
        <v>12</v>
      </c>
      <c r="I15" s="956">
        <v>32</v>
      </c>
      <c r="J15" s="956">
        <v>41</v>
      </c>
      <c r="K15" s="956">
        <v>41</v>
      </c>
      <c r="L15" s="956">
        <v>89</v>
      </c>
      <c r="M15" s="433">
        <v>3</v>
      </c>
      <c r="N15" s="433">
        <v>8</v>
      </c>
      <c r="O15" s="433">
        <v>8</v>
      </c>
      <c r="P15" s="433">
        <v>8</v>
      </c>
      <c r="Q15" s="160">
        <v>25</v>
      </c>
      <c r="R15" s="433">
        <v>14</v>
      </c>
      <c r="S15" s="159">
        <v>8</v>
      </c>
      <c r="T15" s="159">
        <v>8</v>
      </c>
      <c r="U15" s="159">
        <v>8</v>
      </c>
      <c r="V15" s="159">
        <v>8</v>
      </c>
      <c r="W15" s="956">
        <v>8</v>
      </c>
      <c r="X15" s="956">
        <v>8</v>
      </c>
      <c r="Y15" s="956">
        <v>8</v>
      </c>
      <c r="Z15" s="956">
        <v>8</v>
      </c>
      <c r="AA15" s="956">
        <v>8</v>
      </c>
      <c r="AB15" s="956">
        <v>8</v>
      </c>
      <c r="AC15" s="956">
        <v>8</v>
      </c>
      <c r="AD15" s="956">
        <v>8</v>
      </c>
      <c r="AE15" s="956">
        <v>8</v>
      </c>
      <c r="AF15" s="956">
        <v>8</v>
      </c>
      <c r="AG15" s="956">
        <v>8</v>
      </c>
      <c r="AH15" s="956">
        <v>8</v>
      </c>
      <c r="AI15" s="956">
        <v>8</v>
      </c>
      <c r="AJ15" s="956">
        <v>8</v>
      </c>
      <c r="AK15" s="956">
        <v>8</v>
      </c>
      <c r="AL15" s="956">
        <v>8</v>
      </c>
      <c r="AM15" s="956">
        <v>8</v>
      </c>
      <c r="AN15" s="956">
        <v>8</v>
      </c>
      <c r="AO15" s="956">
        <v>8</v>
      </c>
      <c r="AP15" s="956">
        <v>8</v>
      </c>
      <c r="AQ15" s="956">
        <v>8</v>
      </c>
      <c r="AR15" s="956">
        <v>8</v>
      </c>
      <c r="AS15" s="956">
        <v>8</v>
      </c>
      <c r="AT15" s="956">
        <v>8</v>
      </c>
      <c r="AU15" s="956">
        <v>8</v>
      </c>
      <c r="AV15" s="956">
        <v>8</v>
      </c>
      <c r="AW15" s="956">
        <v>8</v>
      </c>
      <c r="AX15" s="956">
        <v>8</v>
      </c>
      <c r="AY15" s="956">
        <v>8</v>
      </c>
      <c r="AZ15" s="956">
        <v>8</v>
      </c>
      <c r="BA15" s="956">
        <v>8</v>
      </c>
      <c r="BB15" s="956">
        <v>8</v>
      </c>
      <c r="BC15" s="956">
        <v>8</v>
      </c>
      <c r="BD15" s="956">
        <v>8</v>
      </c>
      <c r="BE15" s="956">
        <v>8</v>
      </c>
      <c r="BF15" s="956">
        <v>8</v>
      </c>
      <c r="BG15" s="956">
        <v>8</v>
      </c>
      <c r="BH15" s="956">
        <v>8</v>
      </c>
      <c r="BI15" s="956">
        <v>8</v>
      </c>
      <c r="BJ15" s="956">
        <v>8</v>
      </c>
      <c r="BK15" s="956">
        <v>8</v>
      </c>
      <c r="BL15" s="956">
        <v>8</v>
      </c>
      <c r="BM15" s="956">
        <v>8</v>
      </c>
      <c r="BN15" s="956">
        <v>8</v>
      </c>
      <c r="BO15" s="956">
        <v>8</v>
      </c>
      <c r="BP15" s="956">
        <v>8</v>
      </c>
      <c r="BQ15" s="956">
        <v>8</v>
      </c>
      <c r="BR15" s="956">
        <v>8</v>
      </c>
      <c r="BS15" s="956">
        <v>8</v>
      </c>
      <c r="BT15" s="956">
        <v>8</v>
      </c>
      <c r="BU15" s="956">
        <v>8</v>
      </c>
      <c r="BV15" s="956">
        <v>8</v>
      </c>
      <c r="BW15" s="956">
        <v>8</v>
      </c>
      <c r="BX15" s="956">
        <v>8</v>
      </c>
      <c r="BY15" s="956">
        <v>8</v>
      </c>
      <c r="BZ15" s="956">
        <v>8</v>
      </c>
      <c r="CA15" s="956">
        <v>8</v>
      </c>
      <c r="CB15" s="956">
        <v>8</v>
      </c>
      <c r="CC15" s="956">
        <v>8</v>
      </c>
      <c r="CD15" s="956">
        <v>8</v>
      </c>
      <c r="CE15" s="956">
        <v>8</v>
      </c>
      <c r="CF15" s="956">
        <v>8</v>
      </c>
      <c r="CG15" s="956">
        <v>8</v>
      </c>
      <c r="CH15" s="956">
        <v>8</v>
      </c>
      <c r="CI15" s="956">
        <v>8</v>
      </c>
      <c r="CJ15" s="956">
        <v>8</v>
      </c>
      <c r="CK15" s="956">
        <v>8</v>
      </c>
      <c r="CL15" s="956">
        <v>8</v>
      </c>
      <c r="CM15" s="956">
        <v>8</v>
      </c>
      <c r="CN15" s="956">
        <v>8</v>
      </c>
      <c r="CO15" s="956">
        <v>8</v>
      </c>
      <c r="CP15" s="956">
        <v>8</v>
      </c>
      <c r="CQ15" s="956">
        <v>8</v>
      </c>
      <c r="CR15" s="956">
        <v>8</v>
      </c>
      <c r="CS15" s="956">
        <v>8</v>
      </c>
      <c r="CT15" s="956">
        <v>8</v>
      </c>
      <c r="CU15" s="956">
        <v>8</v>
      </c>
      <c r="CV15" s="956">
        <v>8</v>
      </c>
      <c r="CW15" s="956">
        <v>8</v>
      </c>
      <c r="CX15" s="956">
        <v>8</v>
      </c>
      <c r="CY15" s="956">
        <v>8</v>
      </c>
      <c r="CZ15" s="956">
        <v>8</v>
      </c>
      <c r="DA15" s="956">
        <v>8</v>
      </c>
      <c r="DB15" s="956">
        <v>8</v>
      </c>
      <c r="DC15" s="956">
        <v>8</v>
      </c>
      <c r="DD15" s="956">
        <v>8</v>
      </c>
      <c r="DE15" s="956">
        <v>8</v>
      </c>
      <c r="DF15" s="956">
        <v>8</v>
      </c>
      <c r="DG15" s="956">
        <v>8</v>
      </c>
      <c r="DH15" s="956">
        <v>8</v>
      </c>
      <c r="DI15" s="956">
        <v>8</v>
      </c>
      <c r="DJ15" s="956">
        <v>8</v>
      </c>
      <c r="DK15" s="956">
        <v>8</v>
      </c>
      <c r="DL15" s="956">
        <v>8</v>
      </c>
      <c r="DM15" s="956">
        <v>8</v>
      </c>
      <c r="DN15" s="956">
        <v>8</v>
      </c>
      <c r="DO15" s="956">
        <v>8</v>
      </c>
      <c r="DP15" s="956">
        <v>8</v>
      </c>
      <c r="DQ15" s="956">
        <v>8</v>
      </c>
      <c r="DR15" s="956">
        <v>8</v>
      </c>
      <c r="DS15" s="956">
        <v>8</v>
      </c>
      <c r="DT15" s="956">
        <v>8</v>
      </c>
      <c r="DU15" s="956">
        <v>8</v>
      </c>
      <c r="DV15" s="956">
        <v>8</v>
      </c>
      <c r="DW15" s="956">
        <v>8</v>
      </c>
      <c r="DX15" s="956">
        <v>8</v>
      </c>
      <c r="DY15" s="956">
        <v>8</v>
      </c>
      <c r="DZ15" s="956">
        <v>8</v>
      </c>
      <c r="EA15" s="956">
        <v>8</v>
      </c>
      <c r="EB15" s="956">
        <v>8</v>
      </c>
      <c r="EC15" s="956">
        <v>8</v>
      </c>
      <c r="ED15" s="956">
        <v>8</v>
      </c>
      <c r="EE15" s="956">
        <v>8</v>
      </c>
      <c r="EF15" s="956">
        <v>8</v>
      </c>
      <c r="EG15" s="956">
        <v>8</v>
      </c>
      <c r="EH15" s="956">
        <v>8</v>
      </c>
      <c r="EI15" s="956">
        <v>8</v>
      </c>
      <c r="EJ15" s="956">
        <v>8</v>
      </c>
      <c r="EK15" s="956">
        <v>8</v>
      </c>
      <c r="EL15" s="956">
        <v>8</v>
      </c>
      <c r="EM15" s="956">
        <v>8</v>
      </c>
      <c r="EN15" s="956">
        <v>8</v>
      </c>
      <c r="EO15" s="956">
        <v>8</v>
      </c>
      <c r="EP15" s="956">
        <v>8</v>
      </c>
      <c r="EQ15" s="956">
        <v>8</v>
      </c>
      <c r="ER15" s="956">
        <v>8</v>
      </c>
      <c r="ES15" s="956">
        <v>8</v>
      </c>
      <c r="ET15" s="956">
        <v>8</v>
      </c>
      <c r="EU15" s="956">
        <v>8</v>
      </c>
      <c r="EV15" s="956">
        <v>8</v>
      </c>
      <c r="EW15" s="956">
        <v>8</v>
      </c>
      <c r="EX15" s="956">
        <v>8</v>
      </c>
      <c r="EY15" s="956">
        <v>8</v>
      </c>
      <c r="EZ15" s="956">
        <v>8</v>
      </c>
      <c r="FA15" s="956">
        <v>8</v>
      </c>
      <c r="FB15" s="956">
        <v>8</v>
      </c>
      <c r="FC15" s="956">
        <v>8</v>
      </c>
      <c r="FD15" s="956">
        <v>8</v>
      </c>
      <c r="FE15" s="956">
        <v>8</v>
      </c>
      <c r="FF15" s="956">
        <v>8</v>
      </c>
      <c r="FG15" s="956">
        <v>8</v>
      </c>
      <c r="FH15" s="956">
        <v>8</v>
      </c>
      <c r="FI15" s="956">
        <v>8</v>
      </c>
      <c r="FJ15" s="956">
        <v>8</v>
      </c>
      <c r="FK15" s="956">
        <v>8</v>
      </c>
      <c r="FL15" s="956">
        <v>8</v>
      </c>
      <c r="FM15" s="956">
        <v>8</v>
      </c>
      <c r="FN15" s="956">
        <v>8</v>
      </c>
      <c r="FO15" s="956">
        <v>8</v>
      </c>
      <c r="FP15" s="956">
        <v>8</v>
      </c>
      <c r="FQ15" s="956">
        <v>8</v>
      </c>
      <c r="FR15" s="956">
        <v>8</v>
      </c>
      <c r="FS15" s="956">
        <v>8</v>
      </c>
      <c r="FT15" s="956">
        <v>8</v>
      </c>
      <c r="FU15" s="956">
        <v>8</v>
      </c>
      <c r="FV15" s="956">
        <v>8</v>
      </c>
      <c r="FW15" s="956">
        <v>8</v>
      </c>
      <c r="FX15" s="956">
        <v>8</v>
      </c>
      <c r="FY15" s="956">
        <v>8</v>
      </c>
      <c r="FZ15" s="956">
        <v>8</v>
      </c>
      <c r="GA15" s="956">
        <v>8</v>
      </c>
      <c r="GB15" s="956">
        <v>8</v>
      </c>
      <c r="GC15" s="956">
        <v>8</v>
      </c>
      <c r="GD15" s="956">
        <v>8</v>
      </c>
      <c r="GE15" s="956">
        <v>8</v>
      </c>
      <c r="GF15" s="956">
        <v>8</v>
      </c>
      <c r="GG15" s="956">
        <v>8</v>
      </c>
      <c r="GH15" s="956">
        <v>8</v>
      </c>
      <c r="GI15" s="956">
        <v>8</v>
      </c>
      <c r="GJ15" s="956">
        <v>8</v>
      </c>
      <c r="GK15" s="956">
        <v>8</v>
      </c>
      <c r="GL15" s="956">
        <v>8</v>
      </c>
      <c r="GM15" s="956">
        <v>8</v>
      </c>
      <c r="GN15" s="956">
        <v>8</v>
      </c>
      <c r="GO15" s="956">
        <v>8</v>
      </c>
      <c r="GP15" s="956">
        <v>8</v>
      </c>
      <c r="GQ15" s="956">
        <v>8</v>
      </c>
      <c r="GR15" s="956">
        <v>8</v>
      </c>
      <c r="GS15" s="956">
        <v>8</v>
      </c>
      <c r="GT15" s="956">
        <v>8</v>
      </c>
      <c r="GU15" s="956">
        <v>8</v>
      </c>
      <c r="GV15" s="956">
        <v>8</v>
      </c>
      <c r="GW15" s="956">
        <v>8</v>
      </c>
      <c r="GX15" s="956">
        <v>8</v>
      </c>
      <c r="GY15" s="956">
        <v>8</v>
      </c>
      <c r="GZ15" s="956">
        <v>8</v>
      </c>
      <c r="HA15" s="956">
        <v>8</v>
      </c>
      <c r="HB15" s="956">
        <v>8</v>
      </c>
      <c r="HC15" s="956">
        <v>8</v>
      </c>
      <c r="HD15" s="956">
        <v>8</v>
      </c>
      <c r="HE15" s="956">
        <v>8</v>
      </c>
      <c r="HF15" s="956">
        <v>8</v>
      </c>
      <c r="HG15" s="956">
        <v>8</v>
      </c>
      <c r="HH15" s="956">
        <v>8</v>
      </c>
      <c r="HI15" s="956">
        <v>8</v>
      </c>
      <c r="HJ15" s="956">
        <v>8</v>
      </c>
      <c r="HK15" s="956">
        <v>8</v>
      </c>
      <c r="HL15" s="956">
        <v>8</v>
      </c>
      <c r="HM15" s="956">
        <v>8</v>
      </c>
      <c r="HN15" s="956">
        <v>8</v>
      </c>
      <c r="HO15" s="956">
        <v>8</v>
      </c>
      <c r="HP15" s="956">
        <v>8</v>
      </c>
      <c r="HQ15" s="956">
        <v>8</v>
      </c>
      <c r="HR15" s="956">
        <v>8</v>
      </c>
      <c r="HS15" s="956">
        <v>8</v>
      </c>
      <c r="HT15" s="956">
        <v>8</v>
      </c>
      <c r="HU15" s="956">
        <v>8</v>
      </c>
      <c r="HV15" s="956">
        <v>8</v>
      </c>
      <c r="HW15" s="956">
        <v>8</v>
      </c>
      <c r="HX15" s="956">
        <v>8</v>
      </c>
      <c r="HY15" s="956">
        <v>8</v>
      </c>
      <c r="HZ15" s="956">
        <v>8</v>
      </c>
      <c r="IA15" s="956">
        <v>8</v>
      </c>
      <c r="IB15" s="956">
        <v>8</v>
      </c>
      <c r="IC15" s="956">
        <v>8</v>
      </c>
      <c r="ID15" s="956">
        <v>8</v>
      </c>
      <c r="IE15" s="956">
        <v>8</v>
      </c>
      <c r="IF15" s="956">
        <v>8</v>
      </c>
      <c r="IG15" s="956">
        <v>8</v>
      </c>
      <c r="IH15" s="956">
        <v>8</v>
      </c>
      <c r="II15" s="956">
        <v>8</v>
      </c>
      <c r="IJ15" s="956">
        <v>8</v>
      </c>
      <c r="IK15" s="956">
        <v>8</v>
      </c>
      <c r="IL15" s="956">
        <v>8</v>
      </c>
      <c r="IM15" s="956">
        <v>8</v>
      </c>
      <c r="IN15" s="956">
        <v>8</v>
      </c>
      <c r="IO15" s="956">
        <v>8</v>
      </c>
      <c r="IP15" s="956">
        <v>8</v>
      </c>
      <c r="IQ15" s="956">
        <v>8</v>
      </c>
      <c r="IR15" s="956">
        <v>8</v>
      </c>
      <c r="IS15" s="956">
        <v>8</v>
      </c>
      <c r="IT15" s="956">
        <v>8</v>
      </c>
      <c r="IU15" s="956">
        <v>8</v>
      </c>
      <c r="IV15" s="956">
        <v>8</v>
      </c>
      <c r="IW15" s="956">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606" hidden="1"/>
    <col min="3" max="4" width="3" style="1606" customWidth="1"/>
    <col min="5" max="6" width="15" style="1606" customWidth="1"/>
    <col min="7" max="7" width="11.5703125" style="1606" customWidth="1"/>
    <col min="8" max="9" width="3" style="1606" customWidth="1"/>
    <col min="10" max="10" width="12" style="1606" customWidth="1"/>
    <col min="11" max="11" width="0.28515625" style="1606" customWidth="1"/>
    <col min="12" max="13" width="10" style="1606" customWidth="1"/>
    <col min="14" max="15" width="3" style="1606" customWidth="1"/>
    <col min="16" max="16" width="19" style="1606" customWidth="1"/>
    <col min="17" max="17" width="0.28515625" style="1606" customWidth="1"/>
    <col min="18" max="19" width="10" style="1606" customWidth="1"/>
    <col min="20" max="21" width="3" style="1606" customWidth="1"/>
    <col min="22" max="22" width="25" style="1606" customWidth="1"/>
    <col min="23" max="23" width="0.28515625" style="1606" customWidth="1"/>
    <col min="24" max="25" width="10" style="1606" customWidth="1"/>
    <col min="26" max="27" width="3" style="1606" customWidth="1"/>
    <col min="28" max="28" width="16" style="1606" customWidth="1"/>
    <col min="29" max="29" width="0.28515625" style="1606" customWidth="1"/>
    <col min="30" max="31" width="10" style="1606" customWidth="1"/>
    <col min="32" max="33" width="3" style="1606" customWidth="1"/>
    <col min="34" max="34" width="8" style="1606" customWidth="1"/>
    <col min="35" max="35" width="21" style="1606" customWidth="1"/>
    <col min="36" max="36" width="8" style="1606" customWidth="1"/>
    <col min="37" max="37" width="8" style="291" customWidth="1"/>
    <col min="38" max="64" width="8" style="1606" customWidth="1"/>
    <col min="65" max="65" width="9.140625" style="1606" hidden="1"/>
  </cols>
  <sheetData>
    <row r="1" spans="1:65" s="1104" customFormat="1" ht="11.25" hidden="1" customHeight="1">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c r="BM1" s="352" t="s">
        <v>1</v>
      </c>
    </row>
    <row r="2" spans="1:65" s="1341" customFormat="1" ht="11.25" hidden="1" customHeight="1">
      <c r="L2" s="1341" t="s">
        <v>363</v>
      </c>
      <c r="M2" s="1341" t="s">
        <v>364</v>
      </c>
      <c r="R2" s="1341" t="s">
        <v>365</v>
      </c>
      <c r="S2" s="1341" t="s">
        <v>364</v>
      </c>
      <c r="X2" s="1341" t="s">
        <v>363</v>
      </c>
      <c r="Y2" s="1341" t="s">
        <v>364</v>
      </c>
      <c r="AD2" s="1341" t="s">
        <v>363</v>
      </c>
      <c r="AE2" s="1341" t="s">
        <v>364</v>
      </c>
      <c r="AJ2" s="1363"/>
      <c r="AK2" s="1363"/>
      <c r="AL2" s="1363"/>
      <c r="AM2" s="1363"/>
      <c r="AN2" s="1363"/>
      <c r="AO2" s="1363"/>
      <c r="AP2" s="1363"/>
      <c r="AQ2" s="1363"/>
      <c r="AR2" s="1363"/>
      <c r="AS2" s="1363"/>
      <c r="AT2" s="1363"/>
      <c r="AU2" s="1363"/>
      <c r="AV2" s="1363"/>
      <c r="AW2" s="1363"/>
      <c r="AX2" s="1363"/>
      <c r="AY2" s="1363"/>
      <c r="AZ2" s="1363"/>
      <c r="BA2" s="1363"/>
      <c r="BB2" s="1363"/>
      <c r="BC2" s="1363"/>
      <c r="BD2" s="1363"/>
      <c r="BE2" s="1363"/>
      <c r="BF2" s="1363"/>
      <c r="BG2" s="1363"/>
      <c r="BH2" s="1363"/>
      <c r="BI2" s="1363"/>
      <c r="BJ2" s="1363"/>
      <c r="BK2" s="1363"/>
      <c r="BL2" s="1363"/>
      <c r="BM2" s="1341">
        <v>0</v>
      </c>
    </row>
    <row r="3" spans="1:65" s="1342" customFormat="1" ht="11.45" customHeight="1">
      <c r="AJ3" s="1362"/>
      <c r="AK3" s="240"/>
      <c r="AL3" s="1362"/>
      <c r="AM3" s="1362"/>
      <c r="AN3" s="1362"/>
      <c r="AO3" s="1362"/>
      <c r="AP3" s="1362"/>
      <c r="AQ3" s="1362"/>
      <c r="AR3" s="1362"/>
      <c r="AS3" s="1362"/>
      <c r="AT3" s="1362"/>
      <c r="AU3" s="1362"/>
      <c r="AV3" s="1362"/>
      <c r="AW3" s="1362"/>
      <c r="AX3" s="1362"/>
      <c r="AY3" s="1362"/>
      <c r="AZ3" s="1362"/>
      <c r="BA3" s="1362"/>
      <c r="BB3" s="1362"/>
      <c r="BC3" s="1362"/>
      <c r="BD3" s="1362"/>
      <c r="BE3" s="1362"/>
      <c r="BF3" s="1362"/>
      <c r="BG3" s="1362"/>
      <c r="BH3" s="1362"/>
      <c r="BI3" s="1362"/>
      <c r="BJ3" s="1362"/>
      <c r="BK3" s="1362"/>
      <c r="BL3" s="1362"/>
      <c r="BM3" s="1342">
        <v>11</v>
      </c>
    </row>
    <row r="4" spans="1:65" s="1578" customFormat="1" ht="34.5" customHeight="1">
      <c r="A4" s="957"/>
      <c r="B4" s="956"/>
      <c r="C4" s="1303"/>
      <c r="D4" s="2326" t="s">
        <v>366</v>
      </c>
      <c r="E4" s="2326"/>
      <c r="F4" s="2326"/>
      <c r="G4" s="2326"/>
      <c r="H4" s="2326"/>
      <c r="I4" s="2326"/>
      <c r="J4" s="2326"/>
      <c r="K4" s="620"/>
      <c r="T4" s="1343"/>
      <c r="AJ4" s="1364"/>
      <c r="AK4" s="1365"/>
      <c r="AL4" s="1364"/>
      <c r="AM4" s="1364"/>
      <c r="AN4" s="1364"/>
      <c r="AO4" s="1364"/>
      <c r="AP4" s="1364"/>
      <c r="AQ4" s="1364"/>
      <c r="AR4" s="1364"/>
      <c r="AS4" s="1364"/>
      <c r="AT4" s="1364"/>
      <c r="AU4" s="1364"/>
      <c r="AV4" s="1364"/>
      <c r="AW4" s="1364"/>
      <c r="AX4" s="1364"/>
      <c r="AY4" s="1364"/>
      <c r="AZ4" s="1364"/>
      <c r="BA4" s="1364"/>
      <c r="BB4" s="1364"/>
      <c r="BC4" s="1364"/>
      <c r="BD4" s="1364"/>
      <c r="BE4" s="1364"/>
      <c r="BF4" s="1364"/>
      <c r="BG4" s="1364"/>
      <c r="BH4" s="1364"/>
      <c r="BI4" s="1364"/>
      <c r="BJ4" s="1364"/>
      <c r="BK4" s="1364"/>
      <c r="BL4" s="1364"/>
      <c r="BM4" s="440">
        <v>33</v>
      </c>
    </row>
    <row r="5" spans="1:65" s="1578" customFormat="1" ht="14.65" customHeight="1">
      <c r="A5" s="1420"/>
      <c r="B5" s="1419"/>
      <c r="C5" s="1303"/>
      <c r="D5" s="2349" t="str">
        <f>IF(org=0,"Не определено",org)</f>
        <v>ООО "Смоленскрегионтеплоэнерго"</v>
      </c>
      <c r="E5" s="2349"/>
      <c r="F5" s="2349"/>
      <c r="G5" s="2349"/>
      <c r="H5" s="2349"/>
      <c r="I5" s="2349"/>
      <c r="J5" s="2349"/>
      <c r="K5" s="620"/>
      <c r="T5" s="1343"/>
      <c r="AJ5" s="1364"/>
      <c r="AK5" s="1365"/>
      <c r="AL5" s="1364"/>
      <c r="AM5" s="1364"/>
      <c r="AN5" s="1364"/>
      <c r="AO5" s="1364"/>
      <c r="AP5" s="1364"/>
      <c r="AQ5" s="1364"/>
      <c r="AR5" s="1364"/>
      <c r="AS5" s="1364"/>
      <c r="AT5" s="1364"/>
      <c r="AU5" s="1364"/>
      <c r="AV5" s="1364"/>
      <c r="AW5" s="1364"/>
      <c r="AX5" s="1364"/>
      <c r="AY5" s="1364"/>
      <c r="AZ5" s="1364"/>
      <c r="BA5" s="1364"/>
      <c r="BB5" s="1364"/>
      <c r="BC5" s="1364"/>
      <c r="BD5" s="1364"/>
      <c r="BE5" s="1364"/>
      <c r="BF5" s="1364"/>
      <c r="BG5" s="1364"/>
      <c r="BH5" s="1364"/>
      <c r="BI5" s="1364"/>
      <c r="BJ5" s="1364"/>
      <c r="BK5" s="1364"/>
      <c r="BL5" s="1364"/>
      <c r="BM5" s="1397">
        <v>14</v>
      </c>
    </row>
    <row r="6" spans="1:65" s="1578" customFormat="1" ht="14.65" customHeight="1">
      <c r="A6" s="957"/>
      <c r="B6" s="956"/>
      <c r="C6" s="1303"/>
      <c r="D6" s="620"/>
      <c r="E6" s="620"/>
      <c r="F6" s="620"/>
      <c r="G6" s="620"/>
      <c r="H6" s="620"/>
      <c r="I6" s="620"/>
      <c r="J6" s="620"/>
      <c r="K6" s="620"/>
      <c r="T6" s="1343"/>
      <c r="AJ6" s="1364"/>
      <c r="AK6" s="1365"/>
      <c r="AL6" s="1364"/>
      <c r="AM6" s="1364"/>
      <c r="AN6" s="1364"/>
      <c r="AO6" s="1364"/>
      <c r="AP6" s="1364"/>
      <c r="AQ6" s="1364"/>
      <c r="AR6" s="1364"/>
      <c r="AS6" s="1364"/>
      <c r="AT6" s="1364"/>
      <c r="AU6" s="1364"/>
      <c r="AV6" s="1364"/>
      <c r="AW6" s="1364"/>
      <c r="AX6" s="1364"/>
      <c r="AY6" s="1364"/>
      <c r="AZ6" s="1364"/>
      <c r="BA6" s="1364"/>
      <c r="BB6" s="1364"/>
      <c r="BC6" s="1364"/>
      <c r="BD6" s="1364"/>
      <c r="BE6" s="1364"/>
      <c r="BF6" s="1364"/>
      <c r="BG6" s="1364"/>
      <c r="BH6" s="1364"/>
      <c r="BI6" s="1364"/>
      <c r="BJ6" s="1364"/>
      <c r="BK6" s="1364"/>
      <c r="BL6" s="1364"/>
      <c r="BM6" s="440">
        <v>14</v>
      </c>
    </row>
    <row r="7" spans="1:65" s="1104" customFormat="1" ht="1.1499999999999999" customHeight="1">
      <c r="AJ7" s="355"/>
      <c r="AK7" s="355"/>
      <c r="AL7" s="355"/>
      <c r="AM7" s="355"/>
      <c r="AN7" s="355"/>
      <c r="AO7" s="355"/>
      <c r="AP7" s="355"/>
      <c r="AQ7" s="355"/>
      <c r="AR7" s="355"/>
      <c r="AS7" s="355"/>
      <c r="AT7" s="355"/>
      <c r="AU7" s="355"/>
      <c r="AV7" s="355"/>
      <c r="AW7" s="355"/>
      <c r="AX7" s="355"/>
      <c r="AY7" s="355"/>
      <c r="AZ7" s="355"/>
      <c r="BA7" s="355"/>
      <c r="BB7" s="355"/>
      <c r="BC7" s="355"/>
      <c r="BD7" s="355"/>
      <c r="BE7" s="355"/>
      <c r="BF7" s="355"/>
      <c r="BG7" s="355"/>
      <c r="BH7" s="355"/>
      <c r="BI7" s="355"/>
      <c r="BJ7" s="355"/>
      <c r="BK7" s="355"/>
      <c r="BL7" s="355"/>
      <c r="BM7" s="352">
        <v>1</v>
      </c>
    </row>
    <row r="8" spans="1:65" ht="33.75" customHeight="1">
      <c r="D8" s="2266" t="s">
        <v>75</v>
      </c>
      <c r="E8" s="2266" t="s">
        <v>157</v>
      </c>
      <c r="F8" s="2328" t="s">
        <v>213</v>
      </c>
      <c r="G8" s="2329"/>
      <c r="H8" s="2328" t="s">
        <v>75</v>
      </c>
      <c r="I8" s="2329"/>
      <c r="J8" s="2266" t="s">
        <v>214</v>
      </c>
      <c r="K8" s="1344"/>
      <c r="L8" s="2327" t="s">
        <v>367</v>
      </c>
      <c r="M8" s="2327"/>
      <c r="N8" s="2327"/>
      <c r="O8" s="2327"/>
      <c r="P8" s="2327"/>
      <c r="Q8" s="1345"/>
      <c r="R8" s="2247" t="s">
        <v>368</v>
      </c>
      <c r="S8" s="2252"/>
      <c r="T8" s="2252"/>
      <c r="U8" s="2252"/>
      <c r="V8" s="2252"/>
      <c r="W8" s="1345"/>
      <c r="X8" s="2266" t="s">
        <v>369</v>
      </c>
      <c r="Y8" s="2266"/>
      <c r="Z8" s="2266"/>
      <c r="AA8" s="2266"/>
      <c r="AB8" s="2266"/>
      <c r="AC8" s="1346"/>
      <c r="AD8" s="2266" t="s">
        <v>370</v>
      </c>
      <c r="AE8" s="2266"/>
      <c r="AF8" s="2266"/>
      <c r="AG8" s="2266"/>
      <c r="AH8" s="2247"/>
      <c r="AI8" s="2266" t="s">
        <v>371</v>
      </c>
      <c r="AJ8" s="1362"/>
      <c r="BM8" s="227">
        <v>32</v>
      </c>
    </row>
    <row r="9" spans="1:65" ht="23.25" customHeight="1">
      <c r="D9" s="2266"/>
      <c r="E9" s="2266"/>
      <c r="F9" s="2327" t="s">
        <v>76</v>
      </c>
      <c r="G9" s="2327" t="s">
        <v>219</v>
      </c>
      <c r="H9" s="2330"/>
      <c r="I9" s="2331"/>
      <c r="J9" s="2247"/>
      <c r="K9" s="1347"/>
      <c r="L9" s="2266" t="s">
        <v>372</v>
      </c>
      <c r="M9" s="2247"/>
      <c r="N9" s="2328" t="s">
        <v>75</v>
      </c>
      <c r="O9" s="2329"/>
      <c r="P9" s="2266" t="s">
        <v>220</v>
      </c>
      <c r="Q9" s="1344"/>
      <c r="R9" s="2266" t="s">
        <v>372</v>
      </c>
      <c r="S9" s="2247"/>
      <c r="T9" s="2328" t="s">
        <v>75</v>
      </c>
      <c r="U9" s="2329"/>
      <c r="V9" s="2266" t="s">
        <v>220</v>
      </c>
      <c r="W9" s="1344"/>
      <c r="X9" s="2266" t="s">
        <v>372</v>
      </c>
      <c r="Y9" s="2247"/>
      <c r="Z9" s="2328" t="s">
        <v>75</v>
      </c>
      <c r="AA9" s="2329"/>
      <c r="AB9" s="2266" t="s">
        <v>373</v>
      </c>
      <c r="AC9" s="1344"/>
      <c r="AD9" s="2266" t="s">
        <v>372</v>
      </c>
      <c r="AE9" s="2247"/>
      <c r="AF9" s="2328" t="s">
        <v>75</v>
      </c>
      <c r="AG9" s="2329"/>
      <c r="AH9" s="2247" t="s">
        <v>373</v>
      </c>
      <c r="AI9" s="2266"/>
      <c r="AJ9" s="1362"/>
      <c r="BM9" s="227">
        <v>22</v>
      </c>
    </row>
    <row r="10" spans="1:65" ht="24" customHeight="1">
      <c r="D10" s="2327"/>
      <c r="E10" s="2327"/>
      <c r="F10" s="2332"/>
      <c r="G10" s="2332"/>
      <c r="H10" s="2333"/>
      <c r="I10" s="2334"/>
      <c r="J10" s="2328"/>
      <c r="K10" s="1347"/>
      <c r="L10" s="1366" t="s">
        <v>374</v>
      </c>
      <c r="M10" s="1361" t="s">
        <v>375</v>
      </c>
      <c r="N10" s="2330"/>
      <c r="O10" s="2331"/>
      <c r="P10" s="2327"/>
      <c r="Q10" s="1344"/>
      <c r="R10" s="1366" t="s">
        <v>374</v>
      </c>
      <c r="S10" s="1361" t="s">
        <v>375</v>
      </c>
      <c r="T10" s="2330"/>
      <c r="U10" s="2331"/>
      <c r="V10" s="2327"/>
      <c r="W10" s="1344"/>
      <c r="X10" s="1366" t="s">
        <v>374</v>
      </c>
      <c r="Y10" s="1361" t="s">
        <v>375</v>
      </c>
      <c r="Z10" s="2330"/>
      <c r="AA10" s="2331"/>
      <c r="AB10" s="2327"/>
      <c r="AC10" s="1344"/>
      <c r="AD10" s="1366" t="s">
        <v>374</v>
      </c>
      <c r="AE10" s="1361" t="s">
        <v>375</v>
      </c>
      <c r="AF10" s="2330"/>
      <c r="AG10" s="2331"/>
      <c r="AH10" s="2328"/>
      <c r="AI10" s="2327"/>
      <c r="AJ10" s="1362"/>
      <c r="AK10" s="188" t="s">
        <v>376</v>
      </c>
      <c r="AL10" s="188" t="s">
        <v>221</v>
      </c>
      <c r="BM10" s="227">
        <v>23</v>
      </c>
    </row>
    <row r="11" spans="1:65" ht="15" customHeight="1">
      <c r="D11" s="2335" t="s">
        <v>161</v>
      </c>
      <c r="E11" s="2337" t="s">
        <v>377</v>
      </c>
      <c r="F11" s="2337" t="s">
        <v>378</v>
      </c>
      <c r="G11" s="2340" t="s">
        <v>6</v>
      </c>
      <c r="H11" s="1387"/>
      <c r="I11" s="2342"/>
      <c r="J11" s="2297"/>
      <c r="K11" s="1302"/>
      <c r="L11" s="2289"/>
      <c r="M11" s="2289"/>
      <c r="N11" s="1372"/>
      <c r="O11" s="2289"/>
      <c r="P11" s="2297"/>
      <c r="Q11" s="1373"/>
      <c r="R11" s="2289"/>
      <c r="S11" s="2289"/>
      <c r="T11" s="1374"/>
      <c r="U11" s="2289"/>
      <c r="V11" s="2297"/>
      <c r="W11" s="1375"/>
      <c r="X11" s="2289"/>
      <c r="Y11" s="2289"/>
      <c r="Z11" s="1372"/>
      <c r="AA11" s="2289"/>
      <c r="AB11" s="2297"/>
      <c r="AC11" s="1376"/>
      <c r="AD11" s="2289"/>
      <c r="AE11" s="2289"/>
      <c r="AF11" s="1301"/>
      <c r="AG11" s="1301"/>
      <c r="AH11" s="1377"/>
      <c r="AI11" s="1084"/>
      <c r="AJ11" s="1362"/>
      <c r="BM11" s="227">
        <v>14</v>
      </c>
    </row>
    <row r="12" spans="1:65" ht="14.65" customHeight="1">
      <c r="D12" s="2335"/>
      <c r="E12" s="2337"/>
      <c r="F12" s="2337"/>
      <c r="G12" s="2341"/>
      <c r="H12" s="1388"/>
      <c r="I12" s="2343"/>
      <c r="J12" s="2298"/>
      <c r="K12" s="1398"/>
      <c r="L12" s="2290"/>
      <c r="M12" s="2290"/>
      <c r="N12" s="1378"/>
      <c r="O12" s="2290"/>
      <c r="P12" s="2298"/>
      <c r="Q12" s="1379"/>
      <c r="R12" s="2290"/>
      <c r="S12" s="2290"/>
      <c r="T12" s="1380"/>
      <c r="U12" s="2290"/>
      <c r="V12" s="2298"/>
      <c r="W12" s="1381"/>
      <c r="X12" s="2290"/>
      <c r="Y12" s="2290"/>
      <c r="Z12" s="1378"/>
      <c r="AA12" s="2290"/>
      <c r="AB12" s="2298"/>
      <c r="AC12" s="1382"/>
      <c r="AD12" s="2290"/>
      <c r="AE12" s="2290"/>
      <c r="AF12" s="1383"/>
      <c r="AG12" s="1383"/>
      <c r="AH12" s="2346"/>
      <c r="AI12" s="2347"/>
      <c r="AJ12" s="1362"/>
      <c r="BM12" s="227">
        <v>14</v>
      </c>
    </row>
    <row r="13" spans="1:65" ht="14.65" customHeight="1">
      <c r="D13" s="2335"/>
      <c r="E13" s="2337"/>
      <c r="F13" s="2337"/>
      <c r="G13" s="2341"/>
      <c r="H13" s="1388"/>
      <c r="I13" s="2343"/>
      <c r="J13" s="2298"/>
      <c r="K13" s="1398"/>
      <c r="L13" s="2290"/>
      <c r="M13" s="2290"/>
      <c r="N13" s="1378"/>
      <c r="O13" s="2290"/>
      <c r="P13" s="2298"/>
      <c r="Q13" s="1379"/>
      <c r="R13" s="2290"/>
      <c r="S13" s="2290"/>
      <c r="T13" s="1380"/>
      <c r="U13" s="2290"/>
      <c r="V13" s="2298"/>
      <c r="W13" s="1381"/>
      <c r="X13" s="2290"/>
      <c r="Y13" s="2290"/>
      <c r="Z13" s="1300"/>
      <c r="AA13" s="1383"/>
      <c r="AB13" s="2346"/>
      <c r="AC13" s="2346"/>
      <c r="AD13" s="2346"/>
      <c r="AE13" s="2346"/>
      <c r="AF13" s="2346"/>
      <c r="AG13" s="2346"/>
      <c r="AH13" s="2346"/>
      <c r="AI13" s="2347"/>
      <c r="AJ13" s="1362"/>
      <c r="BM13" s="227">
        <v>14</v>
      </c>
    </row>
    <row r="14" spans="1:65" ht="14.65" customHeight="1">
      <c r="D14" s="2335"/>
      <c r="E14" s="2337"/>
      <c r="F14" s="2337"/>
      <c r="G14" s="2341"/>
      <c r="H14" s="1388"/>
      <c r="I14" s="2343"/>
      <c r="J14" s="2298"/>
      <c r="K14" s="1398"/>
      <c r="L14" s="2290"/>
      <c r="M14" s="2290"/>
      <c r="N14" s="1378"/>
      <c r="O14" s="2290"/>
      <c r="P14" s="2298"/>
      <c r="Q14" s="1379"/>
      <c r="R14" s="2290"/>
      <c r="S14" s="2290"/>
      <c r="T14" s="1384"/>
      <c r="U14" s="1385"/>
      <c r="V14" s="2346"/>
      <c r="W14" s="2346"/>
      <c r="X14" s="2346"/>
      <c r="Y14" s="2346"/>
      <c r="Z14" s="2346"/>
      <c r="AA14" s="2346"/>
      <c r="AB14" s="2346"/>
      <c r="AC14" s="2346"/>
      <c r="AD14" s="2346"/>
      <c r="AE14" s="2346"/>
      <c r="AF14" s="2346"/>
      <c r="AG14" s="2346"/>
      <c r="AH14" s="2346"/>
      <c r="AI14" s="2347"/>
      <c r="AJ14" s="1362"/>
      <c r="BM14" s="227">
        <v>14</v>
      </c>
    </row>
    <row r="15" spans="1:65" ht="11.45" customHeight="1">
      <c r="D15" s="2335"/>
      <c r="E15" s="2337"/>
      <c r="F15" s="2337"/>
      <c r="G15" s="2341"/>
      <c r="H15" s="1389"/>
      <c r="I15" s="2343"/>
      <c r="J15" s="2298"/>
      <c r="K15" s="1398"/>
      <c r="L15" s="2290"/>
      <c r="M15" s="2290"/>
      <c r="N15" s="1383"/>
      <c r="O15" s="1383"/>
      <c r="P15" s="2346"/>
      <c r="Q15" s="2346"/>
      <c r="R15" s="2346"/>
      <c r="S15" s="2346"/>
      <c r="T15" s="2346"/>
      <c r="U15" s="2346"/>
      <c r="V15" s="2346"/>
      <c r="W15" s="2346"/>
      <c r="X15" s="2346"/>
      <c r="Y15" s="2346"/>
      <c r="Z15" s="2346"/>
      <c r="AA15" s="2346"/>
      <c r="AB15" s="2346"/>
      <c r="AC15" s="2346"/>
      <c r="AD15" s="2346"/>
      <c r="AE15" s="2346"/>
      <c r="AF15" s="2346"/>
      <c r="AG15" s="2346"/>
      <c r="AH15" s="2346"/>
      <c r="AI15" s="2347"/>
      <c r="AJ15" s="1362"/>
      <c r="BM15" s="227">
        <v>11</v>
      </c>
    </row>
    <row r="16" spans="1:65" s="1342" customFormat="1" ht="11.45" customHeight="1">
      <c r="D16" s="2336"/>
      <c r="E16" s="2338"/>
      <c r="F16" s="2339"/>
      <c r="G16" s="2282"/>
      <c r="H16" s="1386"/>
      <c r="I16" s="1390"/>
      <c r="J16" s="2344"/>
      <c r="K16" s="2344"/>
      <c r="L16" s="2344"/>
      <c r="M16" s="2344"/>
      <c r="N16" s="2344"/>
      <c r="O16" s="2344"/>
      <c r="P16" s="2344"/>
      <c r="Q16" s="2344"/>
      <c r="R16" s="2344"/>
      <c r="S16" s="2344"/>
      <c r="T16" s="2344"/>
      <c r="U16" s="2344"/>
      <c r="V16" s="2344"/>
      <c r="W16" s="2344"/>
      <c r="X16" s="2344"/>
      <c r="Y16" s="2344"/>
      <c r="Z16" s="2344"/>
      <c r="AA16" s="2344"/>
      <c r="AB16" s="2344"/>
      <c r="AC16" s="2344"/>
      <c r="AD16" s="2344"/>
      <c r="AE16" s="2344"/>
      <c r="AF16" s="2344"/>
      <c r="AG16" s="2344"/>
      <c r="AH16" s="2344"/>
      <c r="AI16" s="2345"/>
      <c r="AJ16" s="1362"/>
      <c r="AK16" s="240"/>
      <c r="AL16" s="1362"/>
      <c r="AM16" s="1362"/>
      <c r="AN16" s="1362"/>
      <c r="AO16" s="1362"/>
      <c r="AP16" s="1362"/>
      <c r="AQ16" s="1362"/>
      <c r="AR16" s="1362"/>
      <c r="AS16" s="1362"/>
      <c r="AT16" s="1362"/>
      <c r="AU16" s="1362"/>
      <c r="AV16" s="1362"/>
      <c r="AW16" s="1362"/>
      <c r="AX16" s="1362"/>
      <c r="AY16" s="1362"/>
      <c r="AZ16" s="1362"/>
      <c r="BA16" s="1362"/>
      <c r="BB16" s="1362"/>
      <c r="BC16" s="1362"/>
      <c r="BD16" s="1362"/>
      <c r="BE16" s="1362"/>
      <c r="BF16" s="1362"/>
      <c r="BG16" s="1362"/>
      <c r="BH16" s="1362"/>
      <c r="BI16" s="1362"/>
      <c r="BJ16" s="1362"/>
      <c r="BK16" s="1362"/>
      <c r="BL16" s="1362"/>
      <c r="BM16" s="1342">
        <v>11</v>
      </c>
    </row>
    <row r="17" spans="4:65" ht="15" customHeight="1">
      <c r="D17" s="2335" t="s">
        <v>89</v>
      </c>
      <c r="E17" s="2337" t="s">
        <v>377</v>
      </c>
      <c r="F17" s="2337" t="s">
        <v>379</v>
      </c>
      <c r="G17" s="2340" t="s">
        <v>6</v>
      </c>
      <c r="H17" s="1387"/>
      <c r="I17" s="2342"/>
      <c r="J17" s="2297"/>
      <c r="K17" s="1302"/>
      <c r="L17" s="2289"/>
      <c r="M17" s="2289"/>
      <c r="N17" s="1372"/>
      <c r="O17" s="2289"/>
      <c r="P17" s="2297"/>
      <c r="Q17" s="1373"/>
      <c r="R17" s="2289"/>
      <c r="S17" s="2289"/>
      <c r="T17" s="1374"/>
      <c r="U17" s="2289"/>
      <c r="V17" s="2297"/>
      <c r="W17" s="1375"/>
      <c r="X17" s="2289"/>
      <c r="Y17" s="2289"/>
      <c r="Z17" s="1372"/>
      <c r="AA17" s="2289"/>
      <c r="AB17" s="2297"/>
      <c r="AC17" s="1376"/>
      <c r="AD17" s="2289"/>
      <c r="AE17" s="2289"/>
      <c r="AF17" s="1301"/>
      <c r="AG17" s="1301"/>
      <c r="AH17" s="1377"/>
      <c r="AI17" s="1084"/>
      <c r="AJ17" s="1362"/>
      <c r="BM17" s="227">
        <v>14</v>
      </c>
    </row>
    <row r="18" spans="4:65" ht="14.65" customHeight="1">
      <c r="D18" s="2335"/>
      <c r="E18" s="2337"/>
      <c r="F18" s="2337"/>
      <c r="G18" s="2341"/>
      <c r="H18" s="1388"/>
      <c r="I18" s="2343"/>
      <c r="J18" s="2298"/>
      <c r="K18" s="1371"/>
      <c r="L18" s="2290"/>
      <c r="M18" s="2290"/>
      <c r="N18" s="1378"/>
      <c r="O18" s="2290"/>
      <c r="P18" s="2298"/>
      <c r="Q18" s="1379"/>
      <c r="R18" s="2290"/>
      <c r="S18" s="2290"/>
      <c r="T18" s="1380"/>
      <c r="U18" s="2290"/>
      <c r="V18" s="2298"/>
      <c r="W18" s="1381"/>
      <c r="X18" s="2290"/>
      <c r="Y18" s="2290"/>
      <c r="Z18" s="1378"/>
      <c r="AA18" s="2290"/>
      <c r="AB18" s="2298"/>
      <c r="AC18" s="1382"/>
      <c r="AD18" s="2290"/>
      <c r="AE18" s="2290"/>
      <c r="AF18" s="1383"/>
      <c r="AG18" s="1383"/>
      <c r="AH18" s="2346"/>
      <c r="AI18" s="2347"/>
      <c r="AJ18" s="1362"/>
      <c r="BM18" s="227">
        <v>14</v>
      </c>
    </row>
    <row r="19" spans="4:65" ht="14.65" customHeight="1">
      <c r="D19" s="2335"/>
      <c r="E19" s="2337"/>
      <c r="F19" s="2337"/>
      <c r="G19" s="2341"/>
      <c r="H19" s="1388"/>
      <c r="I19" s="2343"/>
      <c r="J19" s="2298"/>
      <c r="K19" s="1371"/>
      <c r="L19" s="2290"/>
      <c r="M19" s="2290"/>
      <c r="N19" s="1378"/>
      <c r="O19" s="2290"/>
      <c r="P19" s="2298"/>
      <c r="Q19" s="1379"/>
      <c r="R19" s="2290"/>
      <c r="S19" s="2290"/>
      <c r="T19" s="1380"/>
      <c r="U19" s="2290"/>
      <c r="V19" s="2298"/>
      <c r="W19" s="1381"/>
      <c r="X19" s="2290"/>
      <c r="Y19" s="2290"/>
      <c r="Z19" s="1300"/>
      <c r="AA19" s="1383"/>
      <c r="AB19" s="2346"/>
      <c r="AC19" s="2346"/>
      <c r="AD19" s="2346"/>
      <c r="AE19" s="2346"/>
      <c r="AF19" s="2346"/>
      <c r="AG19" s="2346"/>
      <c r="AH19" s="2346"/>
      <c r="AI19" s="2347"/>
      <c r="AJ19" s="1362"/>
      <c r="BM19" s="227">
        <v>14</v>
      </c>
    </row>
    <row r="20" spans="4:65" ht="14.65" customHeight="1">
      <c r="D20" s="2335"/>
      <c r="E20" s="2337"/>
      <c r="F20" s="2337"/>
      <c r="G20" s="2341"/>
      <c r="H20" s="1388"/>
      <c r="I20" s="2343"/>
      <c r="J20" s="2298"/>
      <c r="K20" s="1371"/>
      <c r="L20" s="2290"/>
      <c r="M20" s="2290"/>
      <c r="N20" s="1378"/>
      <c r="O20" s="2290"/>
      <c r="P20" s="2298"/>
      <c r="Q20" s="1379"/>
      <c r="R20" s="2290"/>
      <c r="S20" s="2290"/>
      <c r="T20" s="1384"/>
      <c r="U20" s="1385"/>
      <c r="V20" s="2346"/>
      <c r="W20" s="2346"/>
      <c r="X20" s="2346"/>
      <c r="Y20" s="2346"/>
      <c r="Z20" s="2346"/>
      <c r="AA20" s="2346"/>
      <c r="AB20" s="2346"/>
      <c r="AC20" s="2346"/>
      <c r="AD20" s="2346"/>
      <c r="AE20" s="2346"/>
      <c r="AF20" s="2346"/>
      <c r="AG20" s="2346"/>
      <c r="AH20" s="2346"/>
      <c r="AI20" s="2347"/>
      <c r="AJ20" s="1362"/>
      <c r="BM20" s="227">
        <v>14</v>
      </c>
    </row>
    <row r="21" spans="4:65" ht="11.45" customHeight="1">
      <c r="D21" s="2335"/>
      <c r="E21" s="2337"/>
      <c r="F21" s="2337"/>
      <c r="G21" s="2341"/>
      <c r="H21" s="1389"/>
      <c r="I21" s="2343"/>
      <c r="J21" s="2298"/>
      <c r="K21" s="1371"/>
      <c r="L21" s="2290"/>
      <c r="M21" s="2290"/>
      <c r="N21" s="1383"/>
      <c r="O21" s="1383"/>
      <c r="P21" s="2346"/>
      <c r="Q21" s="2346"/>
      <c r="R21" s="2346"/>
      <c r="S21" s="2346"/>
      <c r="T21" s="2346"/>
      <c r="U21" s="2346"/>
      <c r="V21" s="2346"/>
      <c r="W21" s="2346"/>
      <c r="X21" s="2346"/>
      <c r="Y21" s="2346"/>
      <c r="Z21" s="2346"/>
      <c r="AA21" s="2346"/>
      <c r="AB21" s="2346"/>
      <c r="AC21" s="2346"/>
      <c r="AD21" s="2346"/>
      <c r="AE21" s="2346"/>
      <c r="AF21" s="2346"/>
      <c r="AG21" s="2346"/>
      <c r="AH21" s="2346"/>
      <c r="AI21" s="2347"/>
      <c r="AJ21" s="1362"/>
      <c r="BM21" s="227">
        <v>11</v>
      </c>
    </row>
    <row r="22" spans="4:65" s="1342" customFormat="1" ht="11.45" customHeight="1">
      <c r="D22" s="2336"/>
      <c r="E22" s="2338"/>
      <c r="F22" s="2339"/>
      <c r="G22" s="2282"/>
      <c r="H22" s="1386"/>
      <c r="I22" s="1390"/>
      <c r="J22" s="2344"/>
      <c r="K22" s="2344"/>
      <c r="L22" s="2344"/>
      <c r="M22" s="2344"/>
      <c r="N22" s="2344"/>
      <c r="O22" s="2344"/>
      <c r="P22" s="2344"/>
      <c r="Q22" s="2344"/>
      <c r="R22" s="2344"/>
      <c r="S22" s="2344"/>
      <c r="T22" s="2344"/>
      <c r="U22" s="2344"/>
      <c r="V22" s="2344"/>
      <c r="W22" s="2344"/>
      <c r="X22" s="2344"/>
      <c r="Y22" s="2344"/>
      <c r="Z22" s="2344"/>
      <c r="AA22" s="2344"/>
      <c r="AB22" s="2344"/>
      <c r="AC22" s="2344"/>
      <c r="AD22" s="2344"/>
      <c r="AE22" s="2344"/>
      <c r="AF22" s="2344"/>
      <c r="AG22" s="2344"/>
      <c r="AH22" s="2344"/>
      <c r="AI22" s="2345"/>
      <c r="AJ22" s="1362"/>
      <c r="AK22" s="240"/>
      <c r="AL22" s="1362"/>
      <c r="AM22" s="1362"/>
      <c r="AN22" s="1362"/>
      <c r="AO22" s="1362"/>
      <c r="AP22" s="1362"/>
      <c r="AQ22" s="1362"/>
      <c r="AR22" s="1362"/>
      <c r="AS22" s="1362"/>
      <c r="AT22" s="1362"/>
      <c r="AU22" s="1362"/>
      <c r="AV22" s="1362"/>
      <c r="AW22" s="1362"/>
      <c r="AX22" s="1362"/>
      <c r="AY22" s="1362"/>
      <c r="AZ22" s="1362"/>
      <c r="BA22" s="1362"/>
      <c r="BB22" s="1362"/>
      <c r="BC22" s="1362"/>
      <c r="BD22" s="1362"/>
      <c r="BE22" s="1362"/>
      <c r="BF22" s="1362"/>
      <c r="BG22" s="1362"/>
      <c r="BH22" s="1362"/>
      <c r="BI22" s="1362"/>
      <c r="BJ22" s="1362"/>
      <c r="BK22" s="1362"/>
      <c r="BL22" s="1362"/>
      <c r="BM22" s="1342">
        <v>11</v>
      </c>
    </row>
    <row r="23" spans="4:65" ht="15" customHeight="1">
      <c r="D23" s="2335" t="s">
        <v>77</v>
      </c>
      <c r="E23" s="2337" t="s">
        <v>377</v>
      </c>
      <c r="F23" s="2337" t="s">
        <v>380</v>
      </c>
      <c r="G23" s="2340" t="s">
        <v>6</v>
      </c>
      <c r="H23" s="1387"/>
      <c r="I23" s="2342"/>
      <c r="J23" s="2297"/>
      <c r="K23" s="1302"/>
      <c r="L23" s="2289"/>
      <c r="M23" s="2289"/>
      <c r="N23" s="1372"/>
      <c r="O23" s="2289"/>
      <c r="P23" s="2297"/>
      <c r="Q23" s="1373"/>
      <c r="R23" s="2289"/>
      <c r="S23" s="2289"/>
      <c r="T23" s="1374"/>
      <c r="U23" s="2289"/>
      <c r="V23" s="2297"/>
      <c r="W23" s="1375"/>
      <c r="X23" s="2289"/>
      <c r="Y23" s="2289"/>
      <c r="Z23" s="1372"/>
      <c r="AA23" s="2289"/>
      <c r="AB23" s="2297"/>
      <c r="AC23" s="1376"/>
      <c r="AD23" s="2289"/>
      <c r="AE23" s="2289"/>
      <c r="AF23" s="1301"/>
      <c r="AG23" s="1301"/>
      <c r="AH23" s="1377"/>
      <c r="AI23" s="1084"/>
      <c r="AJ23" s="1362"/>
      <c r="AK23" s="240" t="s">
        <v>85</v>
      </c>
      <c r="BM23" s="227">
        <v>14</v>
      </c>
    </row>
    <row r="24" spans="4:65" ht="14.65" customHeight="1">
      <c r="D24" s="2335"/>
      <c r="E24" s="2337"/>
      <c r="F24" s="2337"/>
      <c r="G24" s="2341"/>
      <c r="H24" s="1388"/>
      <c r="I24" s="2343"/>
      <c r="J24" s="2298"/>
      <c r="K24" s="1398"/>
      <c r="L24" s="2290"/>
      <c r="M24" s="2290"/>
      <c r="N24" s="1378"/>
      <c r="O24" s="2290"/>
      <c r="P24" s="2298"/>
      <c r="Q24" s="1379"/>
      <c r="R24" s="2290"/>
      <c r="S24" s="2290"/>
      <c r="T24" s="1380"/>
      <c r="U24" s="2290"/>
      <c r="V24" s="2298"/>
      <c r="W24" s="1381"/>
      <c r="X24" s="2290"/>
      <c r="Y24" s="2290"/>
      <c r="Z24" s="1378"/>
      <c r="AA24" s="2290"/>
      <c r="AB24" s="2298"/>
      <c r="AC24" s="1382"/>
      <c r="AD24" s="2290"/>
      <c r="AE24" s="2290"/>
      <c r="AF24" s="1383"/>
      <c r="AG24" s="1383"/>
      <c r="AH24" s="2346"/>
      <c r="AI24" s="2347"/>
      <c r="AJ24" s="1362"/>
      <c r="BM24" s="227">
        <v>14</v>
      </c>
    </row>
    <row r="25" spans="4:65" ht="14.65" customHeight="1">
      <c r="D25" s="2335"/>
      <c r="E25" s="2337"/>
      <c r="F25" s="2337"/>
      <c r="G25" s="2341"/>
      <c r="H25" s="1388"/>
      <c r="I25" s="2343"/>
      <c r="J25" s="2298"/>
      <c r="K25" s="1398"/>
      <c r="L25" s="2290"/>
      <c r="M25" s="2290"/>
      <c r="N25" s="1378"/>
      <c r="O25" s="2290"/>
      <c r="P25" s="2298"/>
      <c r="Q25" s="1379"/>
      <c r="R25" s="2290"/>
      <c r="S25" s="2290"/>
      <c r="T25" s="1380"/>
      <c r="U25" s="2290"/>
      <c r="V25" s="2298"/>
      <c r="W25" s="1381"/>
      <c r="X25" s="2290"/>
      <c r="Y25" s="2290"/>
      <c r="Z25" s="1300"/>
      <c r="AA25" s="1383"/>
      <c r="AB25" s="2346"/>
      <c r="AC25" s="2346"/>
      <c r="AD25" s="2346"/>
      <c r="AE25" s="2346"/>
      <c r="AF25" s="2346"/>
      <c r="AG25" s="2346"/>
      <c r="AH25" s="2346"/>
      <c r="AI25" s="2347"/>
      <c r="AJ25" s="1362"/>
      <c r="BM25" s="227">
        <v>14</v>
      </c>
    </row>
    <row r="26" spans="4:65" ht="14.65" customHeight="1">
      <c r="D26" s="2335"/>
      <c r="E26" s="2337"/>
      <c r="F26" s="2337"/>
      <c r="G26" s="2341"/>
      <c r="H26" s="1388"/>
      <c r="I26" s="2343"/>
      <c r="J26" s="2298"/>
      <c r="K26" s="1398"/>
      <c r="L26" s="2290"/>
      <c r="M26" s="2290"/>
      <c r="N26" s="1378"/>
      <c r="O26" s="2290"/>
      <c r="P26" s="2298"/>
      <c r="Q26" s="1379"/>
      <c r="R26" s="2290"/>
      <c r="S26" s="2290"/>
      <c r="T26" s="1384"/>
      <c r="U26" s="1385"/>
      <c r="V26" s="2346"/>
      <c r="W26" s="2346"/>
      <c r="X26" s="2346"/>
      <c r="Y26" s="2346"/>
      <c r="Z26" s="2346"/>
      <c r="AA26" s="2346"/>
      <c r="AB26" s="2346"/>
      <c r="AC26" s="2346"/>
      <c r="AD26" s="2346"/>
      <c r="AE26" s="2346"/>
      <c r="AF26" s="2346"/>
      <c r="AG26" s="2346"/>
      <c r="AH26" s="2346"/>
      <c r="AI26" s="2347"/>
      <c r="AJ26" s="1362"/>
      <c r="BM26" s="227">
        <v>14</v>
      </c>
    </row>
    <row r="27" spans="4:65" ht="11.45" customHeight="1">
      <c r="D27" s="2335"/>
      <c r="E27" s="2337"/>
      <c r="F27" s="2337"/>
      <c r="G27" s="2341"/>
      <c r="H27" s="1389"/>
      <c r="I27" s="2343"/>
      <c r="J27" s="2298"/>
      <c r="K27" s="1398"/>
      <c r="L27" s="2290"/>
      <c r="M27" s="2290"/>
      <c r="N27" s="1383"/>
      <c r="O27" s="1383"/>
      <c r="P27" s="2346"/>
      <c r="Q27" s="2346"/>
      <c r="R27" s="2346"/>
      <c r="S27" s="2346"/>
      <c r="T27" s="2346"/>
      <c r="U27" s="2346"/>
      <c r="V27" s="2346"/>
      <c r="W27" s="2346"/>
      <c r="X27" s="2346"/>
      <c r="Y27" s="2346"/>
      <c r="Z27" s="2346"/>
      <c r="AA27" s="2346"/>
      <c r="AB27" s="2346"/>
      <c r="AC27" s="2346"/>
      <c r="AD27" s="2346"/>
      <c r="AE27" s="2346"/>
      <c r="AF27" s="2346"/>
      <c r="AG27" s="2346"/>
      <c r="AH27" s="2346"/>
      <c r="AI27" s="2347"/>
      <c r="AJ27" s="1362"/>
      <c r="BM27" s="227">
        <v>11</v>
      </c>
    </row>
    <row r="28" spans="4:65" s="1342" customFormat="1" ht="11.45" customHeight="1">
      <c r="D28" s="2336"/>
      <c r="E28" s="2338"/>
      <c r="F28" s="2339"/>
      <c r="G28" s="2282"/>
      <c r="H28" s="1386"/>
      <c r="I28" s="1390"/>
      <c r="J28" s="2344"/>
      <c r="K28" s="2344"/>
      <c r="L28" s="2344"/>
      <c r="M28" s="2344"/>
      <c r="N28" s="2344"/>
      <c r="O28" s="2344"/>
      <c r="P28" s="2344"/>
      <c r="Q28" s="2344"/>
      <c r="R28" s="2344"/>
      <c r="S28" s="2344"/>
      <c r="T28" s="2344"/>
      <c r="U28" s="2344"/>
      <c r="V28" s="2344"/>
      <c r="W28" s="2344"/>
      <c r="X28" s="2344"/>
      <c r="Y28" s="2344"/>
      <c r="Z28" s="2344"/>
      <c r="AA28" s="2344"/>
      <c r="AB28" s="2344"/>
      <c r="AC28" s="2344"/>
      <c r="AD28" s="2344"/>
      <c r="AE28" s="2344"/>
      <c r="AF28" s="2344"/>
      <c r="AG28" s="2344"/>
      <c r="AH28" s="2344"/>
      <c r="AI28" s="2345"/>
      <c r="AJ28" s="1362"/>
      <c r="AK28" s="240"/>
      <c r="AL28" s="1362"/>
      <c r="AM28" s="1362"/>
      <c r="AN28" s="1362"/>
      <c r="AO28" s="1362"/>
      <c r="AP28" s="1362"/>
      <c r="AQ28" s="1362"/>
      <c r="AR28" s="1362"/>
      <c r="AS28" s="1362"/>
      <c r="AT28" s="1362"/>
      <c r="AU28" s="1362"/>
      <c r="AV28" s="1362"/>
      <c r="AW28" s="1362"/>
      <c r="AX28" s="1362"/>
      <c r="AY28" s="1362"/>
      <c r="AZ28" s="1362"/>
      <c r="BA28" s="1362"/>
      <c r="BB28" s="1362"/>
      <c r="BC28" s="1362"/>
      <c r="BD28" s="1362"/>
      <c r="BE28" s="1362"/>
      <c r="BF28" s="1362"/>
      <c r="BG28" s="1362"/>
      <c r="BH28" s="1362"/>
      <c r="BI28" s="1362"/>
      <c r="BJ28" s="1362"/>
      <c r="BK28" s="1362"/>
      <c r="BL28" s="1362"/>
      <c r="BM28" s="1342">
        <v>11</v>
      </c>
    </row>
    <row r="29" spans="4:65" ht="15" customHeight="1">
      <c r="D29" s="2335" t="s">
        <v>78</v>
      </c>
      <c r="E29" s="2337" t="s">
        <v>377</v>
      </c>
      <c r="F29" s="2337" t="s">
        <v>381</v>
      </c>
      <c r="G29" s="2340" t="s">
        <v>6</v>
      </c>
      <c r="H29" s="1387"/>
      <c r="I29" s="2342"/>
      <c r="J29" s="2297"/>
      <c r="K29" s="1302"/>
      <c r="L29" s="2289"/>
      <c r="M29" s="2289"/>
      <c r="N29" s="1372"/>
      <c r="O29" s="2289"/>
      <c r="P29" s="2297"/>
      <c r="Q29" s="1373"/>
      <c r="R29" s="2289"/>
      <c r="S29" s="2289"/>
      <c r="T29" s="1374"/>
      <c r="U29" s="2289"/>
      <c r="V29" s="2297"/>
      <c r="W29" s="1375"/>
      <c r="X29" s="2289"/>
      <c r="Y29" s="2289"/>
      <c r="Z29" s="1372"/>
      <c r="AA29" s="2289"/>
      <c r="AB29" s="2297"/>
      <c r="AC29" s="1376"/>
      <c r="AD29" s="2289"/>
      <c r="AE29" s="2289"/>
      <c r="AF29" s="1301"/>
      <c r="AG29" s="1301"/>
      <c r="AH29" s="1377"/>
      <c r="AI29" s="1084"/>
      <c r="AJ29" s="1362"/>
      <c r="BM29" s="227">
        <v>14</v>
      </c>
    </row>
    <row r="30" spans="4:65" ht="14.65" customHeight="1">
      <c r="D30" s="2335"/>
      <c r="E30" s="2337"/>
      <c r="F30" s="2337"/>
      <c r="G30" s="2341"/>
      <c r="H30" s="1388"/>
      <c r="I30" s="2343"/>
      <c r="J30" s="2298"/>
      <c r="K30" s="1371"/>
      <c r="L30" s="2290"/>
      <c r="M30" s="2290"/>
      <c r="N30" s="1378"/>
      <c r="O30" s="2290"/>
      <c r="P30" s="2298"/>
      <c r="Q30" s="1379"/>
      <c r="R30" s="2290"/>
      <c r="S30" s="2290"/>
      <c r="T30" s="1380"/>
      <c r="U30" s="2290"/>
      <c r="V30" s="2298"/>
      <c r="W30" s="1381"/>
      <c r="X30" s="2290"/>
      <c r="Y30" s="2290"/>
      <c r="Z30" s="1378"/>
      <c r="AA30" s="2290"/>
      <c r="AB30" s="2298"/>
      <c r="AC30" s="1382"/>
      <c r="AD30" s="2290"/>
      <c r="AE30" s="2290"/>
      <c r="AF30" s="1383"/>
      <c r="AG30" s="1383"/>
      <c r="AH30" s="2346"/>
      <c r="AI30" s="2347"/>
      <c r="AJ30" s="1362"/>
      <c r="BM30" s="227">
        <v>14</v>
      </c>
    </row>
    <row r="31" spans="4:65" ht="14.65" customHeight="1">
      <c r="D31" s="2335"/>
      <c r="E31" s="2337"/>
      <c r="F31" s="2337"/>
      <c r="G31" s="2341"/>
      <c r="H31" s="1388"/>
      <c r="I31" s="2343"/>
      <c r="J31" s="2298"/>
      <c r="K31" s="1371"/>
      <c r="L31" s="2290"/>
      <c r="M31" s="2290"/>
      <c r="N31" s="1378"/>
      <c r="O31" s="2290"/>
      <c r="P31" s="2298"/>
      <c r="Q31" s="1379"/>
      <c r="R31" s="2290"/>
      <c r="S31" s="2290"/>
      <c r="T31" s="1380"/>
      <c r="U31" s="2290"/>
      <c r="V31" s="2298"/>
      <c r="W31" s="1381"/>
      <c r="X31" s="2290"/>
      <c r="Y31" s="2290"/>
      <c r="Z31" s="1300"/>
      <c r="AA31" s="1383"/>
      <c r="AB31" s="2346"/>
      <c r="AC31" s="2346"/>
      <c r="AD31" s="2346"/>
      <c r="AE31" s="2346"/>
      <c r="AF31" s="2346"/>
      <c r="AG31" s="2346"/>
      <c r="AH31" s="2346"/>
      <c r="AI31" s="2347"/>
      <c r="AJ31" s="1362"/>
      <c r="BM31" s="227">
        <v>14</v>
      </c>
    </row>
    <row r="32" spans="4:65" ht="14.65" customHeight="1">
      <c r="D32" s="2335"/>
      <c r="E32" s="2337"/>
      <c r="F32" s="2337"/>
      <c r="G32" s="2341"/>
      <c r="H32" s="1388"/>
      <c r="I32" s="2343"/>
      <c r="J32" s="2298"/>
      <c r="K32" s="1371"/>
      <c r="L32" s="2290"/>
      <c r="M32" s="2290"/>
      <c r="N32" s="1378"/>
      <c r="O32" s="2290"/>
      <c r="P32" s="2298"/>
      <c r="Q32" s="1379"/>
      <c r="R32" s="2290"/>
      <c r="S32" s="2290"/>
      <c r="T32" s="1384"/>
      <c r="U32" s="1385"/>
      <c r="V32" s="2346"/>
      <c r="W32" s="2346"/>
      <c r="X32" s="2346"/>
      <c r="Y32" s="2346"/>
      <c r="Z32" s="2346"/>
      <c r="AA32" s="2346"/>
      <c r="AB32" s="2346"/>
      <c r="AC32" s="2346"/>
      <c r="AD32" s="2346"/>
      <c r="AE32" s="2346"/>
      <c r="AF32" s="2346"/>
      <c r="AG32" s="2346"/>
      <c r="AH32" s="2346"/>
      <c r="AI32" s="2347"/>
      <c r="AJ32" s="1362"/>
      <c r="BM32" s="227">
        <v>14</v>
      </c>
    </row>
    <row r="33" spans="4:65" ht="11.45" customHeight="1">
      <c r="D33" s="2335"/>
      <c r="E33" s="2337"/>
      <c r="F33" s="2337"/>
      <c r="G33" s="2341"/>
      <c r="H33" s="1389"/>
      <c r="I33" s="2343"/>
      <c r="J33" s="2298"/>
      <c r="K33" s="1371"/>
      <c r="L33" s="2290"/>
      <c r="M33" s="2290"/>
      <c r="N33" s="1383"/>
      <c r="O33" s="1383"/>
      <c r="P33" s="2346"/>
      <c r="Q33" s="2346"/>
      <c r="R33" s="2346"/>
      <c r="S33" s="2346"/>
      <c r="T33" s="2346"/>
      <c r="U33" s="2346"/>
      <c r="V33" s="2346"/>
      <c r="W33" s="2346"/>
      <c r="X33" s="2346"/>
      <c r="Y33" s="2346"/>
      <c r="Z33" s="2346"/>
      <c r="AA33" s="2346"/>
      <c r="AB33" s="2346"/>
      <c r="AC33" s="2346"/>
      <c r="AD33" s="2346"/>
      <c r="AE33" s="2346"/>
      <c r="AF33" s="2346"/>
      <c r="AG33" s="2346"/>
      <c r="AH33" s="2346"/>
      <c r="AI33" s="2347"/>
      <c r="AJ33" s="1362"/>
      <c r="BM33" s="227">
        <v>11</v>
      </c>
    </row>
    <row r="34" spans="4:65" s="1342" customFormat="1" ht="11.45" customHeight="1">
      <c r="D34" s="2336"/>
      <c r="E34" s="2338"/>
      <c r="F34" s="2339"/>
      <c r="G34" s="2282"/>
      <c r="H34" s="1386"/>
      <c r="I34" s="1390"/>
      <c r="J34" s="2344"/>
      <c r="K34" s="2344"/>
      <c r="L34" s="2344"/>
      <c r="M34" s="2344"/>
      <c r="N34" s="2344"/>
      <c r="O34" s="2344"/>
      <c r="P34" s="2344"/>
      <c r="Q34" s="2344"/>
      <c r="R34" s="2344"/>
      <c r="S34" s="2344"/>
      <c r="T34" s="2344"/>
      <c r="U34" s="2344"/>
      <c r="V34" s="2344"/>
      <c r="W34" s="2344"/>
      <c r="X34" s="2344"/>
      <c r="Y34" s="2344"/>
      <c r="Z34" s="2344"/>
      <c r="AA34" s="2344"/>
      <c r="AB34" s="2344"/>
      <c r="AC34" s="2344"/>
      <c r="AD34" s="2344"/>
      <c r="AE34" s="2344"/>
      <c r="AF34" s="2344"/>
      <c r="AG34" s="2344"/>
      <c r="AH34" s="2344"/>
      <c r="AI34" s="2345"/>
      <c r="AJ34" s="1362"/>
      <c r="AK34" s="240"/>
      <c r="AL34" s="1362"/>
      <c r="AM34" s="1362"/>
      <c r="AN34" s="1362"/>
      <c r="AO34" s="1362"/>
      <c r="AP34" s="1362"/>
      <c r="AQ34" s="1362"/>
      <c r="AR34" s="1362"/>
      <c r="AS34" s="1362"/>
      <c r="AT34" s="1362"/>
      <c r="AU34" s="1362"/>
      <c r="AV34" s="1362"/>
      <c r="AW34" s="1362"/>
      <c r="AX34" s="1362"/>
      <c r="AY34" s="1362"/>
      <c r="AZ34" s="1362"/>
      <c r="BA34" s="1362"/>
      <c r="BB34" s="1362"/>
      <c r="BC34" s="1362"/>
      <c r="BD34" s="1362"/>
      <c r="BE34" s="1362"/>
      <c r="BF34" s="1362"/>
      <c r="BG34" s="1362"/>
      <c r="BH34" s="1362"/>
      <c r="BI34" s="1362"/>
      <c r="BJ34" s="1362"/>
      <c r="BK34" s="1362"/>
      <c r="BL34" s="1362"/>
      <c r="BM34" s="1342">
        <v>11</v>
      </c>
    </row>
    <row r="35" spans="4:65" ht="15" customHeight="1">
      <c r="D35" s="2335" t="s">
        <v>115</v>
      </c>
      <c r="E35" s="2337" t="s">
        <v>377</v>
      </c>
      <c r="F35" s="2337" t="s">
        <v>382</v>
      </c>
      <c r="G35" s="2340" t="s">
        <v>6</v>
      </c>
      <c r="H35" s="1387"/>
      <c r="I35" s="2342"/>
      <c r="J35" s="2297"/>
      <c r="K35" s="1302"/>
      <c r="L35" s="2289"/>
      <c r="M35" s="2289"/>
      <c r="N35" s="1372"/>
      <c r="O35" s="2289"/>
      <c r="P35" s="2297"/>
      <c r="Q35" s="1373"/>
      <c r="R35" s="2289"/>
      <c r="S35" s="2289"/>
      <c r="T35" s="1374"/>
      <c r="U35" s="2289"/>
      <c r="V35" s="2297"/>
      <c r="W35" s="1375"/>
      <c r="X35" s="2289"/>
      <c r="Y35" s="2289"/>
      <c r="Z35" s="1372"/>
      <c r="AA35" s="2289"/>
      <c r="AB35" s="2297"/>
      <c r="AC35" s="1376"/>
      <c r="AD35" s="2289"/>
      <c r="AE35" s="2289"/>
      <c r="AF35" s="1301"/>
      <c r="AG35" s="1301"/>
      <c r="AH35" s="1377"/>
      <c r="AI35" s="1084"/>
      <c r="AJ35" s="1362"/>
      <c r="BM35" s="227">
        <v>14</v>
      </c>
    </row>
    <row r="36" spans="4:65" ht="14.65" customHeight="1">
      <c r="D36" s="2335"/>
      <c r="E36" s="2337"/>
      <c r="F36" s="2337"/>
      <c r="G36" s="2341"/>
      <c r="H36" s="1388"/>
      <c r="I36" s="2343"/>
      <c r="J36" s="2298"/>
      <c r="K36" s="1371"/>
      <c r="L36" s="2290"/>
      <c r="M36" s="2290"/>
      <c r="N36" s="1378"/>
      <c r="O36" s="2290"/>
      <c r="P36" s="2298"/>
      <c r="Q36" s="1379"/>
      <c r="R36" s="2290"/>
      <c r="S36" s="2290"/>
      <c r="T36" s="1380"/>
      <c r="U36" s="2290"/>
      <c r="V36" s="2298"/>
      <c r="W36" s="1381"/>
      <c r="X36" s="2290"/>
      <c r="Y36" s="2290"/>
      <c r="Z36" s="1378"/>
      <c r="AA36" s="2290"/>
      <c r="AB36" s="2298"/>
      <c r="AC36" s="1382"/>
      <c r="AD36" s="2290"/>
      <c r="AE36" s="2290"/>
      <c r="AF36" s="1383"/>
      <c r="AG36" s="1383"/>
      <c r="AH36" s="2346"/>
      <c r="AI36" s="2347"/>
      <c r="AJ36" s="1362"/>
      <c r="BM36" s="227">
        <v>14</v>
      </c>
    </row>
    <row r="37" spans="4:65" ht="14.65" customHeight="1">
      <c r="D37" s="2335"/>
      <c r="E37" s="2337"/>
      <c r="F37" s="2337"/>
      <c r="G37" s="2341"/>
      <c r="H37" s="1388"/>
      <c r="I37" s="2343"/>
      <c r="J37" s="2298"/>
      <c r="K37" s="1371"/>
      <c r="L37" s="2290"/>
      <c r="M37" s="2290"/>
      <c r="N37" s="1378"/>
      <c r="O37" s="2290"/>
      <c r="P37" s="2298"/>
      <c r="Q37" s="1379"/>
      <c r="R37" s="2290"/>
      <c r="S37" s="2290"/>
      <c r="T37" s="1380"/>
      <c r="U37" s="2290"/>
      <c r="V37" s="2298"/>
      <c r="W37" s="1381"/>
      <c r="X37" s="2290"/>
      <c r="Y37" s="2290"/>
      <c r="Z37" s="1300"/>
      <c r="AA37" s="1383"/>
      <c r="AB37" s="2346"/>
      <c r="AC37" s="2346"/>
      <c r="AD37" s="2346"/>
      <c r="AE37" s="2346"/>
      <c r="AF37" s="2346"/>
      <c r="AG37" s="2346"/>
      <c r="AH37" s="2346"/>
      <c r="AI37" s="2347"/>
      <c r="AJ37" s="1362"/>
      <c r="BM37" s="227">
        <v>14</v>
      </c>
    </row>
    <row r="38" spans="4:65" ht="14.65" customHeight="1">
      <c r="D38" s="2335"/>
      <c r="E38" s="2337"/>
      <c r="F38" s="2337"/>
      <c r="G38" s="2341"/>
      <c r="H38" s="1388"/>
      <c r="I38" s="2343"/>
      <c r="J38" s="2298"/>
      <c r="K38" s="1371"/>
      <c r="L38" s="2290"/>
      <c r="M38" s="2290"/>
      <c r="N38" s="1378"/>
      <c r="O38" s="2290"/>
      <c r="P38" s="2298"/>
      <c r="Q38" s="1379"/>
      <c r="R38" s="2290"/>
      <c r="S38" s="2290"/>
      <c r="T38" s="1384"/>
      <c r="U38" s="1385"/>
      <c r="V38" s="2346"/>
      <c r="W38" s="2346"/>
      <c r="X38" s="2346"/>
      <c r="Y38" s="2346"/>
      <c r="Z38" s="2346"/>
      <c r="AA38" s="2346"/>
      <c r="AB38" s="2346"/>
      <c r="AC38" s="2346"/>
      <c r="AD38" s="2346"/>
      <c r="AE38" s="2346"/>
      <c r="AF38" s="2346"/>
      <c r="AG38" s="2346"/>
      <c r="AH38" s="2346"/>
      <c r="AI38" s="2347"/>
      <c r="AJ38" s="1362"/>
      <c r="BM38" s="227">
        <v>14</v>
      </c>
    </row>
    <row r="39" spans="4:65" ht="11.45" customHeight="1">
      <c r="D39" s="2335"/>
      <c r="E39" s="2337"/>
      <c r="F39" s="2337"/>
      <c r="G39" s="2341"/>
      <c r="H39" s="1389"/>
      <c r="I39" s="2343"/>
      <c r="J39" s="2298"/>
      <c r="K39" s="1371"/>
      <c r="L39" s="2290"/>
      <c r="M39" s="2290"/>
      <c r="N39" s="1383"/>
      <c r="O39" s="1383"/>
      <c r="P39" s="2346"/>
      <c r="Q39" s="2346"/>
      <c r="R39" s="2346"/>
      <c r="S39" s="2346"/>
      <c r="T39" s="2346"/>
      <c r="U39" s="2346"/>
      <c r="V39" s="2346"/>
      <c r="W39" s="2346"/>
      <c r="X39" s="2346"/>
      <c r="Y39" s="2346"/>
      <c r="Z39" s="2346"/>
      <c r="AA39" s="2346"/>
      <c r="AB39" s="2346"/>
      <c r="AC39" s="2346"/>
      <c r="AD39" s="2346"/>
      <c r="AE39" s="2346"/>
      <c r="AF39" s="2346"/>
      <c r="AG39" s="2346"/>
      <c r="AH39" s="2346"/>
      <c r="AI39" s="2347"/>
      <c r="AJ39" s="1362"/>
      <c r="BM39" s="227">
        <v>11</v>
      </c>
    </row>
    <row r="40" spans="4:65" s="1342" customFormat="1" ht="11.45" customHeight="1">
      <c r="D40" s="2335"/>
      <c r="E40" s="2337"/>
      <c r="F40" s="2348"/>
      <c r="G40" s="2282"/>
      <c r="H40" s="1386"/>
      <c r="I40" s="1390"/>
      <c r="J40" s="2344"/>
      <c r="K40" s="2344"/>
      <c r="L40" s="2344"/>
      <c r="M40" s="2344"/>
      <c r="N40" s="2344"/>
      <c r="O40" s="2344"/>
      <c r="P40" s="2344"/>
      <c r="Q40" s="2344"/>
      <c r="R40" s="2344"/>
      <c r="S40" s="2344"/>
      <c r="T40" s="2344"/>
      <c r="U40" s="2344"/>
      <c r="V40" s="2344"/>
      <c r="W40" s="2344"/>
      <c r="X40" s="2344"/>
      <c r="Y40" s="2344"/>
      <c r="Z40" s="2344"/>
      <c r="AA40" s="2344"/>
      <c r="AB40" s="2344"/>
      <c r="AC40" s="2344"/>
      <c r="AD40" s="2344"/>
      <c r="AE40" s="2344"/>
      <c r="AF40" s="2344"/>
      <c r="AG40" s="2344"/>
      <c r="AH40" s="2344"/>
      <c r="AI40" s="2345"/>
      <c r="AJ40" s="1362"/>
      <c r="AK40" s="240"/>
      <c r="AL40" s="1362"/>
      <c r="AM40" s="1362"/>
      <c r="AN40" s="1362"/>
      <c r="AO40" s="1362"/>
      <c r="AP40" s="1362"/>
      <c r="AQ40" s="1362"/>
      <c r="AR40" s="1362"/>
      <c r="AS40" s="1362"/>
      <c r="AT40" s="1362"/>
      <c r="AU40" s="1362"/>
      <c r="AV40" s="1362"/>
      <c r="AW40" s="1362"/>
      <c r="AX40" s="1362"/>
      <c r="AY40" s="1362"/>
      <c r="AZ40" s="1362"/>
      <c r="BA40" s="1362"/>
      <c r="BB40" s="1362"/>
      <c r="BC40" s="1362"/>
      <c r="BD40" s="1362"/>
      <c r="BE40" s="1362"/>
      <c r="BF40" s="1362"/>
      <c r="BG40" s="1362"/>
      <c r="BH40" s="1362"/>
      <c r="BI40" s="1362"/>
      <c r="BJ40" s="1362"/>
      <c r="BK40" s="1362"/>
      <c r="BL40" s="1362"/>
      <c r="BM40" s="1342">
        <v>11</v>
      </c>
    </row>
    <row r="41" spans="4:65" ht="11.45" customHeight="1">
      <c r="AK41" s="356"/>
      <c r="BM41" s="227">
        <v>11</v>
      </c>
    </row>
    <row r="42" spans="4:65" ht="11.45" customHeight="1">
      <c r="AK42" s="356"/>
      <c r="BM42" s="227">
        <v>11</v>
      </c>
    </row>
    <row r="43" spans="4:65" ht="11.45" customHeight="1">
      <c r="AK43" s="356"/>
      <c r="BM43" s="227">
        <v>11</v>
      </c>
    </row>
    <row r="44" spans="4:65" ht="11.45" customHeight="1">
      <c r="AK44" s="356"/>
      <c r="BM44" s="227">
        <v>11</v>
      </c>
    </row>
    <row r="45" spans="4:65" ht="11.45" customHeight="1">
      <c r="AK45" s="356"/>
      <c r="BM45" s="227">
        <v>11</v>
      </c>
    </row>
    <row r="46" spans="4:65" ht="11.45" customHeight="1">
      <c r="AK46" s="356"/>
      <c r="BM46" s="227">
        <v>11</v>
      </c>
    </row>
    <row r="47" spans="4:65" ht="11.45" customHeight="1">
      <c r="AK47" s="356"/>
      <c r="BM47" s="227">
        <v>11</v>
      </c>
    </row>
    <row r="48" spans="4:65" ht="11.45" customHeight="1">
      <c r="AK48" s="356"/>
      <c r="BM48" s="227">
        <v>11</v>
      </c>
    </row>
    <row r="49" spans="1:65" ht="11.45" customHeight="1">
      <c r="AK49" s="356"/>
      <c r="BM49" s="227">
        <v>11</v>
      </c>
    </row>
    <row r="50" spans="1:65" ht="11.25" hidden="1" customHeight="1">
      <c r="A50" s="227" t="s">
        <v>69</v>
      </c>
      <c r="B50" s="227">
        <v>0</v>
      </c>
      <c r="C50" s="227">
        <v>3</v>
      </c>
      <c r="D50" s="227">
        <v>3</v>
      </c>
      <c r="E50" s="227">
        <v>15</v>
      </c>
      <c r="F50" s="227">
        <v>15</v>
      </c>
      <c r="G50" s="227">
        <v>11</v>
      </c>
      <c r="H50" s="227">
        <v>3</v>
      </c>
      <c r="I50" s="227">
        <v>3</v>
      </c>
      <c r="J50" s="227">
        <v>12</v>
      </c>
      <c r="K50" s="227">
        <v>0</v>
      </c>
      <c r="L50" s="227">
        <v>10</v>
      </c>
      <c r="M50" s="227">
        <v>10</v>
      </c>
      <c r="N50" s="227">
        <v>3</v>
      </c>
      <c r="O50" s="227">
        <v>3</v>
      </c>
      <c r="P50" s="227">
        <v>19</v>
      </c>
      <c r="Q50" s="227">
        <v>0</v>
      </c>
      <c r="R50" s="227">
        <v>10</v>
      </c>
      <c r="S50" s="227">
        <v>10</v>
      </c>
      <c r="T50" s="227">
        <v>3</v>
      </c>
      <c r="U50" s="227">
        <v>3</v>
      </c>
      <c r="V50" s="227">
        <v>25</v>
      </c>
      <c r="W50" s="227">
        <v>0</v>
      </c>
      <c r="X50" s="227">
        <v>10</v>
      </c>
      <c r="Y50" s="227">
        <v>10</v>
      </c>
      <c r="Z50" s="227">
        <v>3</v>
      </c>
      <c r="AA50" s="227">
        <v>3</v>
      </c>
      <c r="AB50" s="227">
        <v>16</v>
      </c>
      <c r="AC50" s="227">
        <v>0</v>
      </c>
      <c r="AD50" s="227">
        <v>10</v>
      </c>
      <c r="AE50" s="227">
        <v>10</v>
      </c>
      <c r="AF50" s="227">
        <v>3</v>
      </c>
      <c r="AG50" s="227">
        <v>3</v>
      </c>
      <c r="AH50" s="227">
        <v>8</v>
      </c>
      <c r="AI50" s="227">
        <v>21</v>
      </c>
      <c r="AJ50" s="356">
        <v>8</v>
      </c>
      <c r="AK50" s="240">
        <v>8</v>
      </c>
      <c r="AL50" s="356">
        <v>8</v>
      </c>
      <c r="AM50" s="356">
        <v>8</v>
      </c>
      <c r="AN50" s="356">
        <v>8</v>
      </c>
      <c r="AO50" s="356">
        <v>8</v>
      </c>
      <c r="AP50" s="356">
        <v>8</v>
      </c>
      <c r="AQ50" s="356">
        <v>8</v>
      </c>
      <c r="AR50" s="356">
        <v>8</v>
      </c>
      <c r="AS50" s="356">
        <v>8</v>
      </c>
      <c r="AT50" s="356">
        <v>8</v>
      </c>
      <c r="AU50" s="356">
        <v>8</v>
      </c>
      <c r="AV50" s="356">
        <v>8</v>
      </c>
      <c r="AW50" s="356">
        <v>8</v>
      </c>
      <c r="AX50" s="356">
        <v>8</v>
      </c>
      <c r="AY50" s="356">
        <v>8</v>
      </c>
      <c r="AZ50" s="356">
        <v>8</v>
      </c>
      <c r="BA50" s="356">
        <v>8</v>
      </c>
      <c r="BB50" s="356">
        <v>8</v>
      </c>
      <c r="BC50" s="356">
        <v>8</v>
      </c>
      <c r="BD50" s="356">
        <v>8</v>
      </c>
      <c r="BE50" s="356">
        <v>8</v>
      </c>
      <c r="BF50" s="356">
        <v>8</v>
      </c>
      <c r="BG50" s="356">
        <v>8</v>
      </c>
      <c r="BH50" s="356">
        <v>8</v>
      </c>
      <c r="BI50" s="356">
        <v>8</v>
      </c>
      <c r="BJ50" s="356">
        <v>8</v>
      </c>
      <c r="BK50" s="356">
        <v>8</v>
      </c>
      <c r="BL50" s="356">
        <v>8</v>
      </c>
      <c r="BM50" s="227">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423" hidden="1"/>
    <col min="2" max="2" width="9.140625" style="1154" hidden="1"/>
    <col min="3" max="3" width="3.7109375" style="1423" hidden="1" customWidth="1"/>
    <col min="4" max="4" width="3" style="1598" customWidth="1"/>
    <col min="5" max="5" width="6" style="1423" customWidth="1"/>
    <col min="6" max="6" width="27" style="1423" customWidth="1"/>
    <col min="7" max="7" width="16" style="1423" customWidth="1"/>
    <col min="8" max="8" width="12" style="1423" customWidth="1"/>
    <col min="9" max="9" width="32" style="1423" customWidth="1"/>
    <col min="10" max="11" width="41" style="1423" customWidth="1"/>
    <col min="12" max="12" width="89" style="1423" customWidth="1"/>
    <col min="13" max="13" width="3" style="1412" customWidth="1"/>
    <col min="14" max="16" width="8" style="1412" customWidth="1"/>
    <col min="17" max="17" width="25" style="1412" customWidth="1"/>
    <col min="18" max="18" width="14" style="1412" customWidth="1"/>
    <col min="19" max="22" width="8" style="159" customWidth="1"/>
    <col min="23" max="256" width="8" style="1423" customWidth="1"/>
    <col min="257" max="257" width="9.140625" style="1423" hidden="1"/>
  </cols>
  <sheetData>
    <row r="1" spans="1:257" ht="22.5" hidden="1" customHeight="1">
      <c r="IW1" s="1419" t="s">
        <v>1</v>
      </c>
    </row>
    <row r="2" spans="1:257" s="1606" customFormat="1" ht="22.5" hidden="1" customHeight="1">
      <c r="A2" s="730"/>
      <c r="B2" s="1154">
        <v>1</v>
      </c>
      <c r="C2" s="1154"/>
      <c r="D2" s="1678" t="s">
        <v>90</v>
      </c>
      <c r="E2" s="1657"/>
      <c r="F2" s="1659" t="str">
        <f>IF(ROIV_INFO_NAME="","",ROIV_INFO_NAME)</f>
        <v>ООО "Смоленскрегионтеплоэнерго"</v>
      </c>
      <c r="G2" s="1491" t="s">
        <v>9</v>
      </c>
      <c r="H2" s="1669"/>
      <c r="I2" s="1326"/>
      <c r="J2" s="717"/>
      <c r="K2" s="717"/>
      <c r="L2" s="162"/>
      <c r="M2" s="1323" t="e">
        <f ca="1">MERGEVALUE(F2)</f>
        <v>#NAME?</v>
      </c>
      <c r="N2" s="1424"/>
      <c r="O2" s="1424"/>
      <c r="P2" s="1412" t="str">
        <f t="array" ref="P2">IF(ISERROR(MATCH(MID(Q2,1,250),MID(note_ter,1,250),0)),"n","y")</f>
        <v>n</v>
      </c>
      <c r="Q2" s="1424"/>
      <c r="R2" s="1412" t="str">
        <f>G2&amp;"("&amp;L2&amp;")"</f>
        <v>()</v>
      </c>
      <c r="S2" s="1154"/>
      <c r="T2" s="1154"/>
      <c r="U2" s="353"/>
      <c r="V2" s="1154"/>
      <c r="W2" s="1154"/>
      <c r="X2" s="1154"/>
      <c r="Y2" s="732"/>
      <c r="Z2" s="732"/>
      <c r="AA2" s="558"/>
      <c r="AB2" s="558"/>
      <c r="AC2" s="558"/>
      <c r="AD2" s="558"/>
      <c r="AE2" s="558"/>
      <c r="AF2" s="558"/>
      <c r="AG2" s="558"/>
      <c r="AH2" s="558"/>
      <c r="AI2" s="558"/>
      <c r="AJ2" s="558"/>
      <c r="AK2" s="558"/>
      <c r="AL2" s="558"/>
      <c r="AM2" s="558"/>
      <c r="AN2" s="558"/>
      <c r="AO2" s="558"/>
      <c r="AP2" s="558"/>
      <c r="AQ2" s="558"/>
      <c r="AR2" s="558"/>
      <c r="AS2" s="558"/>
      <c r="AT2" s="558"/>
      <c r="AU2" s="558"/>
      <c r="AV2" s="558"/>
      <c r="AW2" s="558"/>
      <c r="AX2" s="558"/>
      <c r="AY2" s="558"/>
      <c r="AZ2" s="558"/>
      <c r="BA2" s="558"/>
      <c r="BB2" s="558"/>
      <c r="BC2" s="558"/>
      <c r="BD2" s="558"/>
      <c r="BE2" s="558"/>
      <c r="BF2" s="558"/>
      <c r="BG2" s="558"/>
      <c r="BH2" s="558"/>
      <c r="BI2" s="558"/>
      <c r="BJ2" s="558"/>
      <c r="BK2" s="558"/>
      <c r="BL2" s="558"/>
      <c r="BM2" s="558"/>
      <c r="BN2" s="558"/>
      <c r="BO2" s="558"/>
      <c r="BP2" s="558"/>
      <c r="BQ2" s="558"/>
      <c r="BR2" s="558"/>
      <c r="BS2" s="558"/>
      <c r="BT2" s="558"/>
      <c r="BU2" s="558"/>
      <c r="BV2" s="732"/>
      <c r="BW2" s="732"/>
      <c r="BX2" s="732"/>
      <c r="BY2" s="732"/>
      <c r="BZ2" s="732"/>
      <c r="CA2" s="732"/>
      <c r="CB2" s="732"/>
      <c r="CC2" s="732"/>
      <c r="CD2" s="732"/>
      <c r="CE2" s="732"/>
      <c r="IW2" s="555">
        <v>0</v>
      </c>
    </row>
    <row r="3" spans="1:257" s="1430" customFormat="1" ht="5.25" hidden="1" customHeight="1">
      <c r="A3" s="1429"/>
      <c r="D3" s="1646"/>
      <c r="F3" s="182" t="s">
        <v>70</v>
      </c>
      <c r="G3" s="1494" t="s">
        <v>71</v>
      </c>
      <c r="H3" s="1646"/>
      <c r="I3" s="1646"/>
      <c r="J3" s="1646"/>
      <c r="K3" s="1646"/>
      <c r="L3" s="161" t="s">
        <v>72</v>
      </c>
      <c r="M3" s="182" t="s">
        <v>70</v>
      </c>
      <c r="N3" s="182"/>
      <c r="O3" s="182"/>
      <c r="P3" s="182"/>
      <c r="Q3" s="182"/>
      <c r="R3" s="182"/>
      <c r="S3" s="182"/>
      <c r="T3" s="182"/>
      <c r="U3" s="182"/>
      <c r="V3" s="182"/>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1"/>
      <c r="BI3" s="161"/>
      <c r="BJ3" s="161"/>
      <c r="BK3" s="161"/>
      <c r="BL3" s="161"/>
      <c r="BM3" s="161"/>
      <c r="BN3" s="161"/>
      <c r="BO3" s="161"/>
      <c r="BP3" s="161"/>
      <c r="BQ3" s="161"/>
      <c r="BR3" s="161"/>
      <c r="BS3" s="161"/>
      <c r="BT3" s="161"/>
      <c r="BU3" s="161"/>
      <c r="BV3" s="161"/>
      <c r="BW3" s="161"/>
      <c r="BX3" s="161"/>
      <c r="BY3" s="161"/>
      <c r="BZ3" s="161"/>
      <c r="CA3" s="161"/>
      <c r="CB3" s="161"/>
      <c r="CC3" s="161"/>
      <c r="CD3" s="161"/>
      <c r="CE3" s="161"/>
      <c r="CF3" s="161"/>
      <c r="CG3" s="161"/>
      <c r="CH3" s="161"/>
      <c r="CI3" s="161"/>
      <c r="CJ3" s="161"/>
      <c r="CK3" s="161"/>
      <c r="CL3" s="161"/>
      <c r="CM3" s="161"/>
      <c r="CN3" s="161"/>
      <c r="CO3" s="161"/>
      <c r="CP3" s="161"/>
      <c r="CQ3" s="161"/>
      <c r="CR3" s="161"/>
      <c r="CS3" s="161"/>
      <c r="CT3" s="161"/>
      <c r="CU3" s="161"/>
      <c r="CV3" s="161"/>
      <c r="CW3" s="161"/>
      <c r="CX3" s="161"/>
      <c r="CY3" s="161"/>
      <c r="CZ3" s="161"/>
      <c r="DA3" s="161"/>
      <c r="DB3" s="161"/>
      <c r="DC3" s="161"/>
      <c r="DD3" s="161"/>
      <c r="DE3" s="161"/>
      <c r="DF3" s="161"/>
      <c r="DG3" s="161"/>
      <c r="DH3" s="161"/>
      <c r="DI3" s="161"/>
      <c r="DJ3" s="161"/>
      <c r="DK3" s="161"/>
      <c r="DL3" s="161"/>
      <c r="DM3" s="161"/>
      <c r="DN3" s="161"/>
      <c r="DO3" s="161"/>
      <c r="DP3" s="161"/>
      <c r="DQ3" s="161"/>
      <c r="DR3" s="161"/>
      <c r="DS3" s="161"/>
      <c r="DT3" s="161"/>
      <c r="DU3" s="161"/>
      <c r="DV3" s="161"/>
      <c r="DW3" s="161"/>
      <c r="DX3" s="161"/>
      <c r="DY3" s="161"/>
      <c r="DZ3" s="161"/>
      <c r="EA3" s="161"/>
      <c r="EB3" s="161"/>
      <c r="EC3" s="161"/>
      <c r="ED3" s="161"/>
      <c r="EE3" s="161"/>
      <c r="EF3" s="161"/>
      <c r="EG3" s="161"/>
      <c r="EH3" s="161"/>
      <c r="EI3" s="161"/>
      <c r="EJ3" s="161"/>
      <c r="EK3" s="161"/>
      <c r="EL3" s="161"/>
      <c r="EM3" s="161"/>
      <c r="EN3" s="161"/>
      <c r="EO3" s="161"/>
      <c r="EP3" s="161"/>
      <c r="EQ3" s="161"/>
      <c r="ER3" s="161"/>
      <c r="ES3" s="161"/>
      <c r="ET3" s="161"/>
      <c r="EU3" s="161"/>
      <c r="EV3" s="161"/>
      <c r="EW3" s="161"/>
      <c r="EX3" s="161"/>
      <c r="EY3" s="161"/>
      <c r="EZ3" s="161"/>
      <c r="FA3" s="161"/>
      <c r="FB3" s="161"/>
      <c r="FC3" s="161"/>
      <c r="FD3" s="161"/>
      <c r="FE3" s="161"/>
      <c r="FF3" s="161"/>
      <c r="FG3" s="161"/>
      <c r="FH3" s="161"/>
      <c r="FI3" s="161"/>
      <c r="FJ3" s="161"/>
      <c r="FK3" s="161"/>
      <c r="FL3" s="161"/>
      <c r="FM3" s="161"/>
      <c r="FN3" s="161"/>
      <c r="FO3" s="161"/>
      <c r="FP3" s="161"/>
      <c r="FQ3" s="161"/>
      <c r="FR3" s="161"/>
      <c r="FS3" s="161"/>
      <c r="FT3" s="161"/>
      <c r="FU3" s="161"/>
      <c r="FV3" s="161"/>
      <c r="FW3" s="161"/>
      <c r="FX3" s="161"/>
      <c r="FY3" s="161"/>
      <c r="FZ3" s="161"/>
      <c r="GA3" s="161"/>
      <c r="GB3" s="161"/>
      <c r="GC3" s="161"/>
      <c r="GD3" s="161"/>
      <c r="GE3" s="161"/>
      <c r="GF3" s="161"/>
      <c r="GG3" s="161"/>
      <c r="GH3" s="161"/>
      <c r="GI3" s="161"/>
      <c r="GJ3" s="161"/>
      <c r="GK3" s="161"/>
      <c r="GL3" s="161"/>
      <c r="GM3" s="161"/>
      <c r="GN3" s="161"/>
      <c r="GO3" s="161"/>
      <c r="GP3" s="161"/>
      <c r="GQ3" s="161"/>
      <c r="GR3" s="161"/>
      <c r="GS3" s="161"/>
      <c r="GT3" s="161"/>
      <c r="GU3" s="161"/>
      <c r="GV3" s="161"/>
      <c r="GW3" s="161"/>
      <c r="GX3" s="161"/>
      <c r="GY3" s="161"/>
      <c r="GZ3" s="161"/>
      <c r="HA3" s="161"/>
      <c r="HB3" s="161"/>
      <c r="HC3" s="161"/>
      <c r="HD3" s="161"/>
      <c r="HE3" s="161"/>
      <c r="HF3" s="161"/>
      <c r="HG3" s="161"/>
      <c r="HH3" s="161"/>
      <c r="HI3" s="161"/>
      <c r="HJ3" s="161"/>
      <c r="HK3" s="161"/>
      <c r="HL3" s="161"/>
      <c r="HM3" s="161"/>
      <c r="HN3" s="161"/>
      <c r="HO3" s="161"/>
      <c r="HP3" s="161"/>
      <c r="HQ3" s="161"/>
      <c r="HR3" s="161"/>
      <c r="HS3" s="161"/>
      <c r="HT3" s="161"/>
      <c r="HU3" s="161"/>
      <c r="HV3" s="161"/>
      <c r="HW3" s="161"/>
      <c r="HX3" s="161"/>
      <c r="HY3" s="161"/>
      <c r="HZ3" s="161"/>
      <c r="IA3" s="161"/>
      <c r="IB3" s="161"/>
      <c r="IC3" s="161"/>
      <c r="ID3" s="161"/>
      <c r="IE3" s="161"/>
      <c r="IF3" s="161"/>
      <c r="IG3" s="161"/>
      <c r="IH3" s="161"/>
      <c r="II3" s="161"/>
      <c r="IJ3" s="161"/>
      <c r="IK3" s="161"/>
      <c r="IL3" s="161"/>
      <c r="IM3" s="161"/>
      <c r="IN3" s="161"/>
      <c r="IO3" s="161"/>
      <c r="IP3" s="161"/>
      <c r="IQ3" s="161"/>
      <c r="IR3" s="161"/>
      <c r="IS3" s="161"/>
      <c r="IT3" s="161"/>
      <c r="IU3" s="161"/>
      <c r="IV3" s="161"/>
      <c r="IW3" s="1424">
        <v>0</v>
      </c>
    </row>
    <row r="4" spans="1:257" s="1578" customFormat="1" ht="14.65" customHeight="1">
      <c r="A4" s="1419"/>
      <c r="B4" s="1154"/>
      <c r="C4" s="1419"/>
      <c r="D4" s="1303"/>
      <c r="E4" s="1423"/>
      <c r="F4" s="1423"/>
      <c r="G4" s="1423"/>
      <c r="H4" s="1423"/>
      <c r="I4" s="1423"/>
      <c r="J4" s="1423"/>
      <c r="K4" s="1423"/>
      <c r="L4" s="1648"/>
      <c r="M4" s="182"/>
      <c r="N4" s="1412"/>
      <c r="O4" s="1412"/>
      <c r="P4" s="1412"/>
      <c r="Q4" s="1412"/>
      <c r="R4" s="1412"/>
      <c r="S4" s="159"/>
      <c r="T4" s="159"/>
      <c r="U4" s="159"/>
      <c r="V4" s="159"/>
      <c r="IW4" s="1397">
        <v>14</v>
      </c>
    </row>
    <row r="5" spans="1:257" s="1578" customFormat="1" ht="27.4" customHeight="1">
      <c r="A5" s="1419"/>
      <c r="B5" s="1154"/>
      <c r="C5" s="1419"/>
      <c r="D5" s="1303"/>
      <c r="E5" s="225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51"/>
      <c r="G5" s="2251"/>
      <c r="H5" s="2251"/>
      <c r="I5" s="2251"/>
      <c r="J5" s="2251"/>
      <c r="K5" s="2251"/>
      <c r="L5" s="1423"/>
      <c r="M5" s="182"/>
      <c r="N5" s="1412"/>
      <c r="O5" s="1412"/>
      <c r="P5" s="1412"/>
      <c r="Q5" s="1412"/>
      <c r="R5" s="1412"/>
      <c r="S5" s="159"/>
      <c r="T5" s="159"/>
      <c r="U5" s="159"/>
      <c r="V5" s="159"/>
      <c r="IW5" s="1397">
        <v>26</v>
      </c>
    </row>
    <row r="6" spans="1:257" s="1578" customFormat="1" ht="14.65" customHeight="1">
      <c r="A6" s="1419"/>
      <c r="B6" s="1154"/>
      <c r="C6" s="1419"/>
      <c r="D6" s="1303"/>
      <c r="E6" s="1423"/>
      <c r="F6" s="547"/>
      <c r="G6" s="547"/>
      <c r="H6" s="547"/>
      <c r="I6" s="547"/>
      <c r="J6" s="547"/>
      <c r="K6" s="547"/>
      <c r="L6" s="1040"/>
      <c r="M6" s="1412"/>
      <c r="N6" s="1412"/>
      <c r="O6" s="1412"/>
      <c r="P6" s="1412"/>
      <c r="Q6" s="1412"/>
      <c r="R6" s="1412"/>
      <c r="S6" s="159"/>
      <c r="T6" s="159"/>
      <c r="U6" s="159"/>
      <c r="V6" s="159"/>
      <c r="IW6" s="1397">
        <v>14</v>
      </c>
    </row>
    <row r="7" spans="1:257" s="1578" customFormat="1" ht="14.65" customHeight="1">
      <c r="A7" s="1419"/>
      <c r="B7" s="1154"/>
      <c r="C7" s="1419"/>
      <c r="D7" s="1303"/>
      <c r="E7" s="2247" t="s">
        <v>384</v>
      </c>
      <c r="F7" s="2252"/>
      <c r="G7" s="2252"/>
      <c r="H7" s="2252"/>
      <c r="I7" s="2252"/>
      <c r="J7" s="2252"/>
      <c r="K7" s="2252"/>
      <c r="L7" s="2578" t="s">
        <v>385</v>
      </c>
      <c r="M7" s="1412"/>
      <c r="N7" s="1412"/>
      <c r="O7" s="1412"/>
      <c r="P7" s="1412"/>
      <c r="Q7" s="1412"/>
      <c r="R7" s="1412"/>
      <c r="S7" s="159"/>
      <c r="T7" s="159"/>
      <c r="U7" s="159"/>
      <c r="V7" s="159"/>
      <c r="IW7" s="1397">
        <v>14</v>
      </c>
    </row>
    <row r="8" spans="1:257" s="1578" customFormat="1" ht="67.150000000000006" customHeight="1">
      <c r="A8" s="1419"/>
      <c r="B8" s="1154"/>
      <c r="C8" s="1419"/>
      <c r="D8" s="1303"/>
      <c r="E8" s="2582" t="s">
        <v>75</v>
      </c>
      <c r="F8" s="2582" t="s">
        <v>1937</v>
      </c>
      <c r="G8" s="2584" t="s">
        <v>1938</v>
      </c>
      <c r="H8" s="2585"/>
      <c r="I8" s="2586"/>
      <c r="J8" s="2582" t="s">
        <v>1939</v>
      </c>
      <c r="K8" s="258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80"/>
      <c r="M8" s="1412"/>
      <c r="N8" s="1412"/>
      <c r="O8" s="1412"/>
      <c r="P8" s="1412"/>
      <c r="Q8" s="1412"/>
      <c r="R8" s="1412"/>
      <c r="S8" s="159"/>
      <c r="T8" s="159"/>
      <c r="U8" s="159"/>
      <c r="V8" s="159"/>
      <c r="IW8" s="1397">
        <v>64</v>
      </c>
    </row>
    <row r="9" spans="1:257" s="1578" customFormat="1" ht="29.25" customHeight="1">
      <c r="A9" s="1419"/>
      <c r="B9" s="1154"/>
      <c r="C9" s="1419"/>
      <c r="D9" s="1303"/>
      <c r="E9" s="2583"/>
      <c r="F9" s="2583"/>
      <c r="G9" s="1647" t="s">
        <v>1933</v>
      </c>
      <c r="H9" s="1647" t="s">
        <v>1934</v>
      </c>
      <c r="I9" s="1647" t="s">
        <v>1935</v>
      </c>
      <c r="J9" s="2583"/>
      <c r="K9" s="2583"/>
      <c r="L9" s="2579"/>
      <c r="M9" s="1412"/>
      <c r="N9" s="1412"/>
      <c r="O9" s="1412"/>
      <c r="P9" s="1412"/>
      <c r="Q9" s="1412"/>
      <c r="R9" s="1412"/>
      <c r="S9" s="159"/>
      <c r="T9" s="159"/>
      <c r="U9" s="159"/>
      <c r="V9" s="159"/>
      <c r="IW9" s="1397">
        <v>28</v>
      </c>
    </row>
    <row r="10" spans="1:257" s="1606" customFormat="1" ht="1.1499999999999999" customHeight="1">
      <c r="A10" s="2250"/>
      <c r="B10" s="1154">
        <v>1</v>
      </c>
      <c r="C10" s="1154"/>
      <c r="D10" s="699"/>
      <c r="E10" s="694">
        <v>0</v>
      </c>
      <c r="F10" s="1644" t="str">
        <f>IF(ROIV_INFO_NAME="","",ROIV_INFO_NAME)</f>
        <v>ООО "Смоленскрегионтеплоэнерго"</v>
      </c>
      <c r="G10" s="1492" t="s">
        <v>9</v>
      </c>
      <c r="H10" s="1656"/>
      <c r="I10" s="1656"/>
      <c r="J10" s="452"/>
      <c r="K10" s="452"/>
      <c r="L10" s="256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323" t="e">
        <f ca="1">MERGEVALUE(F10)</f>
        <v>#NAME?</v>
      </c>
      <c r="N10" s="1424"/>
      <c r="O10" s="1424"/>
      <c r="P10" s="1412" t="str">
        <f t="array" ref="P10">IF(ISERROR(MATCH(MID(Q10,1,250),MID(note_ter,1,250),0)),"n","y")</f>
        <v>n</v>
      </c>
      <c r="Q10" s="1424"/>
      <c r="R10" s="141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154"/>
      <c r="T10" s="1154"/>
      <c r="U10" s="353"/>
      <c r="V10" s="1154"/>
      <c r="W10" s="1154"/>
      <c r="X10" s="1154"/>
      <c r="Y10" s="732"/>
      <c r="Z10" s="732"/>
      <c r="AA10" s="558"/>
      <c r="AB10" s="558"/>
      <c r="AC10" s="558"/>
      <c r="AD10" s="558"/>
      <c r="AE10" s="558"/>
      <c r="AF10" s="558"/>
      <c r="AG10" s="558"/>
      <c r="AH10" s="558"/>
      <c r="AI10" s="558"/>
      <c r="AJ10" s="558"/>
      <c r="AK10" s="558"/>
      <c r="AL10" s="558"/>
      <c r="AM10" s="558"/>
      <c r="AN10" s="558"/>
      <c r="AO10" s="558"/>
      <c r="AP10" s="558"/>
      <c r="AQ10" s="558"/>
      <c r="AR10" s="558"/>
      <c r="AS10" s="558"/>
      <c r="AT10" s="558"/>
      <c r="AU10" s="558"/>
      <c r="AV10" s="558"/>
      <c r="AW10" s="558"/>
      <c r="AX10" s="558"/>
      <c r="AY10" s="558"/>
      <c r="AZ10" s="558"/>
      <c r="BA10" s="558"/>
      <c r="BB10" s="558"/>
      <c r="BC10" s="558"/>
      <c r="BD10" s="558"/>
      <c r="BE10" s="558"/>
      <c r="BF10" s="558"/>
      <c r="BG10" s="558"/>
      <c r="BH10" s="558"/>
      <c r="BI10" s="558"/>
      <c r="BJ10" s="558"/>
      <c r="BK10" s="558"/>
      <c r="BL10" s="558"/>
      <c r="BM10" s="558"/>
      <c r="BN10" s="558"/>
      <c r="BO10" s="558"/>
      <c r="BP10" s="558"/>
      <c r="BQ10" s="558"/>
      <c r="BR10" s="558"/>
      <c r="BS10" s="558"/>
      <c r="BT10" s="558"/>
      <c r="BU10" s="558"/>
      <c r="BV10" s="732"/>
      <c r="BW10" s="732"/>
      <c r="BX10" s="732"/>
      <c r="BY10" s="732"/>
      <c r="BZ10" s="732"/>
      <c r="CA10" s="732"/>
      <c r="CB10" s="732"/>
      <c r="CC10" s="732"/>
      <c r="CD10" s="732"/>
      <c r="CE10" s="732"/>
      <c r="IW10" s="555">
        <v>1</v>
      </c>
    </row>
    <row r="11" spans="1:257" s="1606" customFormat="1" ht="15.75" customHeight="1">
      <c r="A11" s="2250"/>
      <c r="B11" s="1154"/>
      <c r="C11" s="345"/>
      <c r="D11" s="700"/>
      <c r="E11" s="354"/>
      <c r="F11" s="582" t="s">
        <v>1936</v>
      </c>
      <c r="G11" s="121"/>
      <c r="H11" s="121"/>
      <c r="I11" s="121"/>
      <c r="J11" s="121"/>
      <c r="K11" s="357"/>
      <c r="L11" s="2581"/>
      <c r="M11" s="1324"/>
      <c r="N11" s="1424"/>
      <c r="O11" s="1424"/>
      <c r="P11" s="1424"/>
      <c r="Q11" s="1412"/>
      <c r="R11" s="1424"/>
      <c r="S11" s="1154"/>
      <c r="T11" s="1154"/>
      <c r="U11" s="353"/>
      <c r="V11" s="1154"/>
      <c r="W11" s="1154"/>
      <c r="X11" s="1154"/>
      <c r="Y11" s="732"/>
      <c r="Z11" s="732"/>
      <c r="AA11" s="558"/>
      <c r="AB11" s="558"/>
      <c r="AC11" s="558"/>
      <c r="AD11" s="558"/>
      <c r="AE11" s="558"/>
      <c r="AF11" s="558"/>
      <c r="AG11" s="558"/>
      <c r="AH11" s="558"/>
      <c r="AI11" s="558"/>
      <c r="AJ11" s="558"/>
      <c r="AK11" s="558"/>
      <c r="AL11" s="558"/>
      <c r="AM11" s="558"/>
      <c r="AN11" s="558"/>
      <c r="AO11" s="558"/>
      <c r="AP11" s="558"/>
      <c r="AQ11" s="558"/>
      <c r="AR11" s="558"/>
      <c r="AS11" s="558"/>
      <c r="AT11" s="558"/>
      <c r="AU11" s="558"/>
      <c r="AV11" s="558"/>
      <c r="AW11" s="558"/>
      <c r="AX11" s="558"/>
      <c r="AY11" s="558"/>
      <c r="AZ11" s="558"/>
      <c r="BA11" s="558"/>
      <c r="BB11" s="558"/>
      <c r="BC11" s="558"/>
      <c r="BD11" s="558"/>
      <c r="BE11" s="558"/>
      <c r="BF11" s="558"/>
      <c r="BG11" s="558"/>
      <c r="BH11" s="558"/>
      <c r="BI11" s="558"/>
      <c r="BJ11" s="558"/>
      <c r="BK11" s="558"/>
      <c r="BL11" s="558"/>
      <c r="BM11" s="558"/>
      <c r="BN11" s="558"/>
      <c r="BO11" s="558"/>
      <c r="BP11" s="558"/>
      <c r="BQ11" s="558"/>
      <c r="BR11" s="558"/>
      <c r="BS11" s="558"/>
      <c r="BT11" s="558"/>
      <c r="BU11" s="558"/>
      <c r="BV11" s="732"/>
      <c r="BW11" s="732"/>
      <c r="BX11" s="732"/>
      <c r="BY11" s="732"/>
      <c r="BZ11" s="732"/>
      <c r="CA11" s="732"/>
      <c r="CB11" s="732"/>
      <c r="CC11" s="732"/>
      <c r="CD11" s="732"/>
      <c r="CE11" s="732"/>
      <c r="IW11" s="555">
        <v>15</v>
      </c>
    </row>
    <row r="12" spans="1:257" s="1578" customFormat="1" ht="21.95" customHeight="1">
      <c r="A12" s="1419"/>
      <c r="B12" s="1154"/>
      <c r="C12" s="1419"/>
      <c r="D12" s="1421"/>
      <c r="E12" s="114"/>
      <c r="F12" s="114"/>
      <c r="G12" s="114"/>
      <c r="H12" s="114"/>
      <c r="I12" s="114"/>
      <c r="J12" s="114"/>
      <c r="K12" s="114"/>
      <c r="L12" s="114"/>
      <c r="M12" s="1412"/>
      <c r="N12" s="1412"/>
      <c r="O12" s="1412"/>
      <c r="P12" s="1412"/>
      <c r="Q12" s="1412"/>
      <c r="R12" s="1412"/>
      <c r="S12" s="159"/>
      <c r="T12" s="159"/>
      <c r="U12" s="159"/>
      <c r="V12" s="159"/>
      <c r="IW12" s="1397">
        <v>21</v>
      </c>
    </row>
    <row r="13" spans="1:257" s="1578" customFormat="1" ht="14.65" customHeight="1">
      <c r="A13" s="1419"/>
      <c r="B13" s="1154"/>
      <c r="C13" s="1419"/>
      <c r="D13" s="1421"/>
      <c r="E13" s="1419"/>
      <c r="F13" s="1419"/>
      <c r="G13" s="1419"/>
      <c r="H13" s="1419"/>
      <c r="I13" s="1419"/>
      <c r="J13" s="1419"/>
      <c r="K13" s="1419"/>
      <c r="L13" s="1419"/>
      <c r="M13" s="1412"/>
      <c r="N13" s="1412"/>
      <c r="O13" s="1412"/>
      <c r="P13" s="1412"/>
      <c r="Q13" s="1412"/>
      <c r="R13" s="1412"/>
      <c r="S13" s="159"/>
      <c r="T13" s="159"/>
      <c r="U13" s="159"/>
      <c r="V13" s="159"/>
      <c r="IW13" s="1397">
        <v>14</v>
      </c>
    </row>
    <row r="14" spans="1:257" s="1578" customFormat="1" ht="1.1499999999999999" customHeight="1">
      <c r="A14" s="1419"/>
      <c r="B14" s="1154"/>
      <c r="C14" s="1419"/>
      <c r="D14" s="1421"/>
      <c r="E14" s="1419"/>
      <c r="F14" s="1419"/>
      <c r="G14" s="1419"/>
      <c r="H14" s="1419"/>
      <c r="I14" s="1419"/>
      <c r="J14" s="1419"/>
      <c r="K14" s="1419"/>
      <c r="L14" s="1419"/>
      <c r="M14" s="1412"/>
      <c r="N14" s="1412"/>
      <c r="O14" s="1412"/>
      <c r="P14" s="1412"/>
      <c r="Q14" s="1412"/>
      <c r="R14" s="1412"/>
      <c r="S14" s="159"/>
      <c r="T14" s="159"/>
      <c r="U14" s="159"/>
      <c r="V14" s="159"/>
      <c r="IW14" s="1397">
        <v>1</v>
      </c>
    </row>
    <row r="15" spans="1:257" ht="22.5" hidden="1" customHeight="1">
      <c r="A15" s="1419" t="s">
        <v>69</v>
      </c>
      <c r="B15" s="1154">
        <v>0</v>
      </c>
      <c r="C15" s="1419">
        <v>0</v>
      </c>
      <c r="D15" s="1421">
        <v>3</v>
      </c>
      <c r="E15" s="1419">
        <v>6</v>
      </c>
      <c r="F15" s="1419">
        <v>27</v>
      </c>
      <c r="G15" s="1419">
        <v>16</v>
      </c>
      <c r="H15" s="1419">
        <v>12</v>
      </c>
      <c r="I15" s="1419">
        <v>32</v>
      </c>
      <c r="J15" s="1419">
        <v>41</v>
      </c>
      <c r="K15" s="1419">
        <v>41</v>
      </c>
      <c r="L15" s="1419">
        <v>89</v>
      </c>
      <c r="M15" s="1412">
        <v>3</v>
      </c>
      <c r="N15" s="1412">
        <v>8</v>
      </c>
      <c r="O15" s="1412">
        <v>8</v>
      </c>
      <c r="P15" s="1412">
        <v>8</v>
      </c>
      <c r="Q15" s="1412">
        <v>25</v>
      </c>
      <c r="R15" s="1412">
        <v>14</v>
      </c>
      <c r="S15" s="159">
        <v>8</v>
      </c>
      <c r="T15" s="159">
        <v>8</v>
      </c>
      <c r="U15" s="159">
        <v>8</v>
      </c>
      <c r="V15" s="159">
        <v>8</v>
      </c>
      <c r="W15" s="1419">
        <v>8</v>
      </c>
      <c r="X15" s="1419">
        <v>8</v>
      </c>
      <c r="Y15" s="1419">
        <v>8</v>
      </c>
      <c r="Z15" s="1419">
        <v>8</v>
      </c>
      <c r="AA15" s="1419">
        <v>8</v>
      </c>
      <c r="AB15" s="1419">
        <v>8</v>
      </c>
      <c r="AC15" s="1419">
        <v>8</v>
      </c>
      <c r="AD15" s="1419">
        <v>8</v>
      </c>
      <c r="AE15" s="1419">
        <v>8</v>
      </c>
      <c r="AF15" s="1419">
        <v>8</v>
      </c>
      <c r="AG15" s="1419">
        <v>8</v>
      </c>
      <c r="AH15" s="1419">
        <v>8</v>
      </c>
      <c r="AI15" s="1419">
        <v>8</v>
      </c>
      <c r="AJ15" s="1419">
        <v>8</v>
      </c>
      <c r="AK15" s="1419">
        <v>8</v>
      </c>
      <c r="AL15" s="1419">
        <v>8</v>
      </c>
      <c r="AM15" s="1419">
        <v>8</v>
      </c>
      <c r="AN15" s="1419">
        <v>8</v>
      </c>
      <c r="AO15" s="1419">
        <v>8</v>
      </c>
      <c r="AP15" s="1419">
        <v>8</v>
      </c>
      <c r="AQ15" s="1419">
        <v>8</v>
      </c>
      <c r="AR15" s="1419">
        <v>8</v>
      </c>
      <c r="AS15" s="1419">
        <v>8</v>
      </c>
      <c r="AT15" s="1419">
        <v>8</v>
      </c>
      <c r="AU15" s="1419">
        <v>8</v>
      </c>
      <c r="AV15" s="1419">
        <v>8</v>
      </c>
      <c r="AW15" s="1419">
        <v>8</v>
      </c>
      <c r="AX15" s="1419">
        <v>8</v>
      </c>
      <c r="AY15" s="1419">
        <v>8</v>
      </c>
      <c r="AZ15" s="1419">
        <v>8</v>
      </c>
      <c r="BA15" s="1419">
        <v>8</v>
      </c>
      <c r="BB15" s="1419">
        <v>8</v>
      </c>
      <c r="BC15" s="1419">
        <v>8</v>
      </c>
      <c r="BD15" s="1419">
        <v>8</v>
      </c>
      <c r="BE15" s="1419">
        <v>8</v>
      </c>
      <c r="BF15" s="1419">
        <v>8</v>
      </c>
      <c r="BG15" s="1419">
        <v>8</v>
      </c>
      <c r="BH15" s="1419">
        <v>8</v>
      </c>
      <c r="BI15" s="1419">
        <v>8</v>
      </c>
      <c r="BJ15" s="1419">
        <v>8</v>
      </c>
      <c r="BK15" s="1419">
        <v>8</v>
      </c>
      <c r="BL15" s="1419">
        <v>8</v>
      </c>
      <c r="BM15" s="1419">
        <v>8</v>
      </c>
      <c r="BN15" s="1419">
        <v>8</v>
      </c>
      <c r="BO15" s="1419">
        <v>8</v>
      </c>
      <c r="BP15" s="1419">
        <v>8</v>
      </c>
      <c r="BQ15" s="1419">
        <v>8</v>
      </c>
      <c r="BR15" s="1419">
        <v>8</v>
      </c>
      <c r="BS15" s="1419">
        <v>8</v>
      </c>
      <c r="BT15" s="1419">
        <v>8</v>
      </c>
      <c r="BU15" s="1419">
        <v>8</v>
      </c>
      <c r="BV15" s="1419">
        <v>8</v>
      </c>
      <c r="BW15" s="1419">
        <v>8</v>
      </c>
      <c r="BX15" s="1419">
        <v>8</v>
      </c>
      <c r="BY15" s="1419">
        <v>8</v>
      </c>
      <c r="BZ15" s="1419">
        <v>8</v>
      </c>
      <c r="CA15" s="1419">
        <v>8</v>
      </c>
      <c r="CB15" s="1419">
        <v>8</v>
      </c>
      <c r="CC15" s="1419">
        <v>8</v>
      </c>
      <c r="CD15" s="1419">
        <v>8</v>
      </c>
      <c r="CE15" s="1419">
        <v>8</v>
      </c>
      <c r="CF15" s="1419">
        <v>8</v>
      </c>
      <c r="CG15" s="1419">
        <v>8</v>
      </c>
      <c r="CH15" s="1419">
        <v>8</v>
      </c>
      <c r="CI15" s="1419">
        <v>8</v>
      </c>
      <c r="CJ15" s="1419">
        <v>8</v>
      </c>
      <c r="CK15" s="1419">
        <v>8</v>
      </c>
      <c r="CL15" s="1419">
        <v>8</v>
      </c>
      <c r="CM15" s="1419">
        <v>8</v>
      </c>
      <c r="CN15" s="1419">
        <v>8</v>
      </c>
      <c r="CO15" s="1419">
        <v>8</v>
      </c>
      <c r="CP15" s="1419">
        <v>8</v>
      </c>
      <c r="CQ15" s="1419">
        <v>8</v>
      </c>
      <c r="CR15" s="1419">
        <v>8</v>
      </c>
      <c r="CS15" s="1419">
        <v>8</v>
      </c>
      <c r="CT15" s="1419">
        <v>8</v>
      </c>
      <c r="CU15" s="1419">
        <v>8</v>
      </c>
      <c r="CV15" s="1419">
        <v>8</v>
      </c>
      <c r="CW15" s="1419">
        <v>8</v>
      </c>
      <c r="CX15" s="1419">
        <v>8</v>
      </c>
      <c r="CY15" s="1419">
        <v>8</v>
      </c>
      <c r="CZ15" s="1419">
        <v>8</v>
      </c>
      <c r="DA15" s="1419">
        <v>8</v>
      </c>
      <c r="DB15" s="1419">
        <v>8</v>
      </c>
      <c r="DC15" s="1419">
        <v>8</v>
      </c>
      <c r="DD15" s="1419">
        <v>8</v>
      </c>
      <c r="DE15" s="1419">
        <v>8</v>
      </c>
      <c r="DF15" s="1419">
        <v>8</v>
      </c>
      <c r="DG15" s="1419">
        <v>8</v>
      </c>
      <c r="DH15" s="1419">
        <v>8</v>
      </c>
      <c r="DI15" s="1419">
        <v>8</v>
      </c>
      <c r="DJ15" s="1419">
        <v>8</v>
      </c>
      <c r="DK15" s="1419">
        <v>8</v>
      </c>
      <c r="DL15" s="1419">
        <v>8</v>
      </c>
      <c r="DM15" s="1419">
        <v>8</v>
      </c>
      <c r="DN15" s="1419">
        <v>8</v>
      </c>
      <c r="DO15" s="1419">
        <v>8</v>
      </c>
      <c r="DP15" s="1419">
        <v>8</v>
      </c>
      <c r="DQ15" s="1419">
        <v>8</v>
      </c>
      <c r="DR15" s="1419">
        <v>8</v>
      </c>
      <c r="DS15" s="1419">
        <v>8</v>
      </c>
      <c r="DT15" s="1419">
        <v>8</v>
      </c>
      <c r="DU15" s="1419">
        <v>8</v>
      </c>
      <c r="DV15" s="1419">
        <v>8</v>
      </c>
      <c r="DW15" s="1419">
        <v>8</v>
      </c>
      <c r="DX15" s="1419">
        <v>8</v>
      </c>
      <c r="DY15" s="1419">
        <v>8</v>
      </c>
      <c r="DZ15" s="1419">
        <v>8</v>
      </c>
      <c r="EA15" s="1419">
        <v>8</v>
      </c>
      <c r="EB15" s="1419">
        <v>8</v>
      </c>
      <c r="EC15" s="1419">
        <v>8</v>
      </c>
      <c r="ED15" s="1419">
        <v>8</v>
      </c>
      <c r="EE15" s="1419">
        <v>8</v>
      </c>
      <c r="EF15" s="1419">
        <v>8</v>
      </c>
      <c r="EG15" s="1419">
        <v>8</v>
      </c>
      <c r="EH15" s="1419">
        <v>8</v>
      </c>
      <c r="EI15" s="1419">
        <v>8</v>
      </c>
      <c r="EJ15" s="1419">
        <v>8</v>
      </c>
      <c r="EK15" s="1419">
        <v>8</v>
      </c>
      <c r="EL15" s="1419">
        <v>8</v>
      </c>
      <c r="EM15" s="1419">
        <v>8</v>
      </c>
      <c r="EN15" s="1419">
        <v>8</v>
      </c>
      <c r="EO15" s="1419">
        <v>8</v>
      </c>
      <c r="EP15" s="1419">
        <v>8</v>
      </c>
      <c r="EQ15" s="1419">
        <v>8</v>
      </c>
      <c r="ER15" s="1419">
        <v>8</v>
      </c>
      <c r="ES15" s="1419">
        <v>8</v>
      </c>
      <c r="ET15" s="1419">
        <v>8</v>
      </c>
      <c r="EU15" s="1419">
        <v>8</v>
      </c>
      <c r="EV15" s="1419">
        <v>8</v>
      </c>
      <c r="EW15" s="1419">
        <v>8</v>
      </c>
      <c r="EX15" s="1419">
        <v>8</v>
      </c>
      <c r="EY15" s="1419">
        <v>8</v>
      </c>
      <c r="EZ15" s="1419">
        <v>8</v>
      </c>
      <c r="FA15" s="1419">
        <v>8</v>
      </c>
      <c r="FB15" s="1419">
        <v>8</v>
      </c>
      <c r="FC15" s="1419">
        <v>8</v>
      </c>
      <c r="FD15" s="1419">
        <v>8</v>
      </c>
      <c r="FE15" s="1419">
        <v>8</v>
      </c>
      <c r="FF15" s="1419">
        <v>8</v>
      </c>
      <c r="FG15" s="1419">
        <v>8</v>
      </c>
      <c r="FH15" s="1419">
        <v>8</v>
      </c>
      <c r="FI15" s="1419">
        <v>8</v>
      </c>
      <c r="FJ15" s="1419">
        <v>8</v>
      </c>
      <c r="FK15" s="1419">
        <v>8</v>
      </c>
      <c r="FL15" s="1419">
        <v>8</v>
      </c>
      <c r="FM15" s="1419">
        <v>8</v>
      </c>
      <c r="FN15" s="1419">
        <v>8</v>
      </c>
      <c r="FO15" s="1419">
        <v>8</v>
      </c>
      <c r="FP15" s="1419">
        <v>8</v>
      </c>
      <c r="FQ15" s="1419">
        <v>8</v>
      </c>
      <c r="FR15" s="1419">
        <v>8</v>
      </c>
      <c r="FS15" s="1419">
        <v>8</v>
      </c>
      <c r="FT15" s="1419">
        <v>8</v>
      </c>
      <c r="FU15" s="1419">
        <v>8</v>
      </c>
      <c r="FV15" s="1419">
        <v>8</v>
      </c>
      <c r="FW15" s="1419">
        <v>8</v>
      </c>
      <c r="FX15" s="1419">
        <v>8</v>
      </c>
      <c r="FY15" s="1419">
        <v>8</v>
      </c>
      <c r="FZ15" s="1419">
        <v>8</v>
      </c>
      <c r="GA15" s="1419">
        <v>8</v>
      </c>
      <c r="GB15" s="1419">
        <v>8</v>
      </c>
      <c r="GC15" s="1419">
        <v>8</v>
      </c>
      <c r="GD15" s="1419">
        <v>8</v>
      </c>
      <c r="GE15" s="1419">
        <v>8</v>
      </c>
      <c r="GF15" s="1419">
        <v>8</v>
      </c>
      <c r="GG15" s="1419">
        <v>8</v>
      </c>
      <c r="GH15" s="1419">
        <v>8</v>
      </c>
      <c r="GI15" s="1419">
        <v>8</v>
      </c>
      <c r="GJ15" s="1419">
        <v>8</v>
      </c>
      <c r="GK15" s="1419">
        <v>8</v>
      </c>
      <c r="GL15" s="1419">
        <v>8</v>
      </c>
      <c r="GM15" s="1419">
        <v>8</v>
      </c>
      <c r="GN15" s="1419">
        <v>8</v>
      </c>
      <c r="GO15" s="1419">
        <v>8</v>
      </c>
      <c r="GP15" s="1419">
        <v>8</v>
      </c>
      <c r="GQ15" s="1419">
        <v>8</v>
      </c>
      <c r="GR15" s="1419">
        <v>8</v>
      </c>
      <c r="GS15" s="1419">
        <v>8</v>
      </c>
      <c r="GT15" s="1419">
        <v>8</v>
      </c>
      <c r="GU15" s="1419">
        <v>8</v>
      </c>
      <c r="GV15" s="1419">
        <v>8</v>
      </c>
      <c r="GW15" s="1419">
        <v>8</v>
      </c>
      <c r="GX15" s="1419">
        <v>8</v>
      </c>
      <c r="GY15" s="1419">
        <v>8</v>
      </c>
      <c r="GZ15" s="1419">
        <v>8</v>
      </c>
      <c r="HA15" s="1419">
        <v>8</v>
      </c>
      <c r="HB15" s="1419">
        <v>8</v>
      </c>
      <c r="HC15" s="1419">
        <v>8</v>
      </c>
      <c r="HD15" s="1419">
        <v>8</v>
      </c>
      <c r="HE15" s="1419">
        <v>8</v>
      </c>
      <c r="HF15" s="1419">
        <v>8</v>
      </c>
      <c r="HG15" s="1419">
        <v>8</v>
      </c>
      <c r="HH15" s="1419">
        <v>8</v>
      </c>
      <c r="HI15" s="1419">
        <v>8</v>
      </c>
      <c r="HJ15" s="1419">
        <v>8</v>
      </c>
      <c r="HK15" s="1419">
        <v>8</v>
      </c>
      <c r="HL15" s="1419">
        <v>8</v>
      </c>
      <c r="HM15" s="1419">
        <v>8</v>
      </c>
      <c r="HN15" s="1419">
        <v>8</v>
      </c>
      <c r="HO15" s="1419">
        <v>8</v>
      </c>
      <c r="HP15" s="1419">
        <v>8</v>
      </c>
      <c r="HQ15" s="1419">
        <v>8</v>
      </c>
      <c r="HR15" s="1419">
        <v>8</v>
      </c>
      <c r="HS15" s="1419">
        <v>8</v>
      </c>
      <c r="HT15" s="1419">
        <v>8</v>
      </c>
      <c r="HU15" s="1419">
        <v>8</v>
      </c>
      <c r="HV15" s="1419">
        <v>8</v>
      </c>
      <c r="HW15" s="1419">
        <v>8</v>
      </c>
      <c r="HX15" s="1419">
        <v>8</v>
      </c>
      <c r="HY15" s="1419">
        <v>8</v>
      </c>
      <c r="HZ15" s="1419">
        <v>8</v>
      </c>
      <c r="IA15" s="1419">
        <v>8</v>
      </c>
      <c r="IB15" s="1419">
        <v>8</v>
      </c>
      <c r="IC15" s="1419">
        <v>8</v>
      </c>
      <c r="ID15" s="1419">
        <v>8</v>
      </c>
      <c r="IE15" s="1419">
        <v>8</v>
      </c>
      <c r="IF15" s="1419">
        <v>8</v>
      </c>
      <c r="IG15" s="1419">
        <v>8</v>
      </c>
      <c r="IH15" s="1419">
        <v>8</v>
      </c>
      <c r="II15" s="1419">
        <v>8</v>
      </c>
      <c r="IJ15" s="1419">
        <v>8</v>
      </c>
      <c r="IK15" s="1419">
        <v>8</v>
      </c>
      <c r="IL15" s="1419">
        <v>8</v>
      </c>
      <c r="IM15" s="1419">
        <v>8</v>
      </c>
      <c r="IN15" s="1419">
        <v>8</v>
      </c>
      <c r="IO15" s="1419">
        <v>8</v>
      </c>
      <c r="IP15" s="1419">
        <v>8</v>
      </c>
      <c r="IQ15" s="1419">
        <v>8</v>
      </c>
      <c r="IR15" s="1419">
        <v>8</v>
      </c>
      <c r="IS15" s="1419">
        <v>8</v>
      </c>
      <c r="IT15" s="1419">
        <v>8</v>
      </c>
      <c r="IU15" s="1419">
        <v>8</v>
      </c>
      <c r="IV15" s="1419">
        <v>8</v>
      </c>
      <c r="IW15" s="141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423" hidden="1"/>
    <col min="2" max="2" width="9.140625" style="1154" hidden="1"/>
    <col min="3" max="3" width="3.7109375" style="1423" hidden="1" customWidth="1"/>
    <col min="4" max="4" width="3" style="1598" customWidth="1"/>
    <col min="5" max="5" width="6" style="1423" customWidth="1"/>
    <col min="6" max="6" width="27" style="1423" customWidth="1"/>
    <col min="7" max="7" width="29" style="1423" customWidth="1"/>
    <col min="8" max="8" width="25" style="1423" customWidth="1"/>
    <col min="9" max="9" width="5" style="1423" customWidth="1"/>
    <col min="10" max="10" width="6" style="1423" customWidth="1"/>
    <col min="11" max="11" width="41" style="1423" customWidth="1"/>
    <col min="12" max="12" width="42" style="1423" customWidth="1"/>
    <col min="13" max="13" width="41" style="1423" customWidth="1"/>
    <col min="14" max="14" width="89" style="1423" customWidth="1"/>
    <col min="15" max="15" width="3" style="1412" customWidth="1"/>
    <col min="16" max="16" width="8" style="1412" customWidth="1"/>
    <col min="17" max="17" width="9.140625" style="1423" hidden="1"/>
  </cols>
  <sheetData>
    <row r="1" spans="1:17" ht="22.5" hidden="1" customHeight="1">
      <c r="Q1" s="956" t="s">
        <v>1</v>
      </c>
    </row>
    <row r="2" spans="1:17" s="1606" customFormat="1" ht="22.5" hidden="1" customHeight="1">
      <c r="A2" s="429"/>
      <c r="B2" s="961">
        <v>1</v>
      </c>
      <c r="C2" s="961"/>
      <c r="D2" s="1678" t="s">
        <v>90</v>
      </c>
      <c r="E2" s="2266">
        <v>1</v>
      </c>
      <c r="F2" s="2434" t="str">
        <f>IF(region_name="","",region_name)</f>
        <v>Смоленская область</v>
      </c>
      <c r="G2" s="2595"/>
      <c r="H2" s="2596"/>
      <c r="I2" s="407"/>
      <c r="J2" s="1663">
        <v>1</v>
      </c>
      <c r="K2" s="1665"/>
      <c r="L2" s="1665"/>
      <c r="M2" s="1665"/>
      <c r="N2" s="425"/>
      <c r="O2" s="1323"/>
      <c r="P2" s="444"/>
      <c r="Q2" s="356">
        <v>0</v>
      </c>
    </row>
    <row r="3" spans="1:17" s="1606" customFormat="1" ht="22.5" hidden="1" customHeight="1">
      <c r="A3" s="730"/>
      <c r="B3" s="961"/>
      <c r="C3" s="961"/>
      <c r="D3" s="700"/>
      <c r="E3" s="2266"/>
      <c r="F3" s="2434"/>
      <c r="G3" s="2595"/>
      <c r="H3" s="2545"/>
      <c r="I3" s="354"/>
      <c r="J3" s="1288"/>
      <c r="K3" s="1288" t="s">
        <v>1940</v>
      </c>
      <c r="L3" s="1331"/>
      <c r="M3" s="1673"/>
      <c r="N3" s="1666"/>
      <c r="O3" s="1323"/>
      <c r="P3" s="444"/>
      <c r="Q3" s="356">
        <v>0</v>
      </c>
    </row>
    <row r="4" spans="1:17" s="1430" customFormat="1" ht="5.25" hidden="1" customHeight="1">
      <c r="A4" s="429"/>
      <c r="D4" s="427"/>
      <c r="F4" s="181" t="s">
        <v>70</v>
      </c>
      <c r="G4" s="427" t="s">
        <v>71</v>
      </c>
      <c r="H4" s="427"/>
      <c r="I4" s="1676"/>
      <c r="J4" s="1332"/>
      <c r="K4" s="1664"/>
      <c r="L4" s="1664"/>
      <c r="M4" s="1664"/>
      <c r="N4" s="1660"/>
      <c r="O4" s="181" t="s">
        <v>70</v>
      </c>
      <c r="P4" s="181"/>
      <c r="Q4" s="444">
        <v>0</v>
      </c>
    </row>
    <row r="5" spans="1:17" s="1606" customFormat="1" ht="22.5" hidden="1" customHeight="1">
      <c r="A5" s="1429"/>
      <c r="B5" s="1154">
        <v>1</v>
      </c>
      <c r="C5" s="1154"/>
      <c r="D5" s="700"/>
      <c r="E5" s="1666"/>
      <c r="F5" s="1666"/>
      <c r="G5" s="1666"/>
      <c r="H5" s="1677"/>
      <c r="I5" s="1679" t="s">
        <v>90</v>
      </c>
      <c r="J5" s="1675">
        <v>1</v>
      </c>
      <c r="K5" s="1665"/>
      <c r="L5" s="1665"/>
      <c r="M5" s="1665"/>
      <c r="N5" s="425"/>
      <c r="O5" s="1323"/>
      <c r="P5" s="1424"/>
      <c r="Q5" s="555">
        <v>0</v>
      </c>
    </row>
    <row r="6" spans="1:17" s="1578" customFormat="1" ht="14.65" customHeight="1">
      <c r="A6" s="956"/>
      <c r="B6" s="961"/>
      <c r="C6" s="956"/>
      <c r="D6" s="1283"/>
      <c r="E6" s="442"/>
      <c r="F6" s="442"/>
      <c r="G6" s="442"/>
      <c r="H6" s="442"/>
      <c r="I6" s="442"/>
      <c r="J6" s="442"/>
      <c r="K6" s="442"/>
      <c r="L6" s="442"/>
      <c r="M6" s="442"/>
      <c r="N6" s="1423"/>
      <c r="O6" s="181"/>
      <c r="P6" s="433"/>
      <c r="Q6" s="440">
        <v>14</v>
      </c>
    </row>
    <row r="7" spans="1:17" s="1578" customFormat="1" ht="27.4" customHeight="1">
      <c r="A7" s="956"/>
      <c r="B7" s="961"/>
      <c r="C7" s="956"/>
      <c r="D7" s="1283"/>
      <c r="E7" s="258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89"/>
      <c r="G7" s="2589"/>
      <c r="H7" s="2589"/>
      <c r="I7" s="2589"/>
      <c r="J7" s="2589"/>
      <c r="K7" s="2589"/>
      <c r="L7" s="2589"/>
      <c r="M7" s="2589"/>
      <c r="N7" s="1040"/>
      <c r="O7" s="181"/>
      <c r="P7" s="433"/>
      <c r="Q7" s="440">
        <v>26</v>
      </c>
    </row>
    <row r="8" spans="1:17" s="1578" customFormat="1" ht="14.65" customHeight="1">
      <c r="A8" s="956"/>
      <c r="B8" s="961"/>
      <c r="C8" s="956"/>
      <c r="D8" s="1283"/>
      <c r="E8" s="442"/>
      <c r="F8" s="101"/>
      <c r="G8" s="101"/>
      <c r="H8" s="101"/>
      <c r="I8" s="101"/>
      <c r="J8" s="101"/>
      <c r="K8" s="101"/>
      <c r="L8" s="101"/>
      <c r="M8" s="101"/>
      <c r="N8" s="547"/>
      <c r="O8" s="433"/>
      <c r="P8" s="433"/>
      <c r="Q8" s="440">
        <v>14</v>
      </c>
    </row>
    <row r="9" spans="1:17" s="1334" customFormat="1" ht="14.25" hidden="1" customHeight="1">
      <c r="A9" s="1256"/>
      <c r="B9" s="1266"/>
      <c r="C9" s="1256"/>
      <c r="D9" s="1283"/>
      <c r="E9" s="1667"/>
      <c r="F9" s="1667"/>
      <c r="G9" s="1667"/>
      <c r="H9" s="1667"/>
      <c r="I9" s="2592"/>
      <c r="J9" s="2592"/>
      <c r="K9" s="2592"/>
      <c r="L9" s="1667"/>
      <c r="M9" s="1668"/>
      <c r="O9" s="1333"/>
      <c r="P9" s="1333"/>
      <c r="Q9" s="1334">
        <v>0</v>
      </c>
    </row>
    <row r="10" spans="1:17" s="1578" customFormat="1" ht="14.65" customHeight="1">
      <c r="A10" s="956"/>
      <c r="B10" s="961"/>
      <c r="C10" s="956"/>
      <c r="D10" s="1283"/>
      <c r="E10" s="2266" t="s">
        <v>384</v>
      </c>
      <c r="F10" s="2266"/>
      <c r="G10" s="2266"/>
      <c r="H10" s="2266"/>
      <c r="I10" s="2266"/>
      <c r="J10" s="2266"/>
      <c r="K10" s="2266"/>
      <c r="L10" s="2266"/>
      <c r="M10" s="2247"/>
      <c r="N10" s="2582" t="s">
        <v>385</v>
      </c>
      <c r="O10" s="433"/>
      <c r="P10" s="433"/>
      <c r="Q10" s="440">
        <v>14</v>
      </c>
    </row>
    <row r="11" spans="1:17" s="1578" customFormat="1" ht="44.25" customHeight="1">
      <c r="A11" s="1419"/>
      <c r="B11" s="1154"/>
      <c r="C11" s="1419"/>
      <c r="D11" s="1303"/>
      <c r="E11" s="2591" t="s">
        <v>75</v>
      </c>
      <c r="F11" s="2591" t="s">
        <v>388</v>
      </c>
      <c r="G11" s="2591" t="s">
        <v>1941</v>
      </c>
      <c r="H11" s="2591"/>
      <c r="I11" s="2591" t="s">
        <v>1942</v>
      </c>
      <c r="J11" s="2591"/>
      <c r="K11" s="2591"/>
      <c r="L11" s="2591" t="s">
        <v>1943</v>
      </c>
      <c r="M11" s="2584" t="s">
        <v>1944</v>
      </c>
      <c r="N11" s="2590"/>
      <c r="O11" s="1412"/>
      <c r="P11" s="1412"/>
      <c r="Q11" s="1397">
        <v>42</v>
      </c>
    </row>
    <row r="12" spans="1:17" s="1578" customFormat="1" ht="29.25" customHeight="1">
      <c r="A12" s="956"/>
      <c r="B12" s="961"/>
      <c r="C12" s="956"/>
      <c r="D12" s="1283"/>
      <c r="E12" s="2582"/>
      <c r="F12" s="2591"/>
      <c r="G12" s="1662" t="s">
        <v>1945</v>
      </c>
      <c r="H12" s="1662" t="s">
        <v>392</v>
      </c>
      <c r="I12" s="2591"/>
      <c r="J12" s="2591"/>
      <c r="K12" s="2591"/>
      <c r="L12" s="2591"/>
      <c r="M12" s="2584"/>
      <c r="N12" s="2583"/>
      <c r="O12" s="433"/>
      <c r="P12" s="433"/>
      <c r="Q12" s="440">
        <v>28</v>
      </c>
    </row>
    <row r="13" spans="1:17" s="1606" customFormat="1" ht="23.25" customHeight="1">
      <c r="A13" s="2250">
        <v>26379339</v>
      </c>
      <c r="B13" s="961">
        <v>1</v>
      </c>
      <c r="C13" s="961"/>
      <c r="D13" s="700"/>
      <c r="E13" s="2266">
        <v>1</v>
      </c>
      <c r="F13" s="2597" t="str">
        <f>IF(region_name="","",region_name)</f>
        <v>Смоленская область</v>
      </c>
      <c r="G13" s="2598"/>
      <c r="H13" s="2593"/>
      <c r="I13" s="407"/>
      <c r="J13" s="1658">
        <v>1</v>
      </c>
      <c r="K13" s="1671"/>
      <c r="L13" s="1672"/>
      <c r="M13" s="1672"/>
      <c r="N13" s="2587" t="s">
        <v>1946</v>
      </c>
      <c r="O13" s="1323"/>
      <c r="P13" s="444"/>
      <c r="Q13" s="356">
        <v>22</v>
      </c>
    </row>
    <row r="14" spans="1:17" s="1606" customFormat="1" ht="23.25" customHeight="1">
      <c r="A14" s="2250"/>
      <c r="B14" s="961"/>
      <c r="C14" s="961"/>
      <c r="D14" s="700"/>
      <c r="E14" s="2266"/>
      <c r="F14" s="2597"/>
      <c r="G14" s="2598"/>
      <c r="H14" s="2594"/>
      <c r="I14" s="354"/>
      <c r="J14" s="1288"/>
      <c r="K14" s="1288" t="s">
        <v>1940</v>
      </c>
      <c r="L14" s="1331"/>
      <c r="M14" s="1331"/>
      <c r="N14" s="2588"/>
      <c r="O14" s="1323"/>
      <c r="P14" s="444"/>
      <c r="Q14" s="356">
        <v>22</v>
      </c>
    </row>
    <row r="15" spans="1:17" s="1606" customFormat="1" ht="23.25" customHeight="1">
      <c r="A15" s="2250"/>
      <c r="B15" s="961"/>
      <c r="C15" s="345"/>
      <c r="D15" s="700"/>
      <c r="E15" s="354"/>
      <c r="F15" s="1288" t="s">
        <v>1932</v>
      </c>
      <c r="G15" s="1330"/>
      <c r="H15" s="1330"/>
      <c r="I15" s="121"/>
      <c r="J15" s="121"/>
      <c r="K15" s="121"/>
      <c r="L15" s="121"/>
      <c r="M15" s="121"/>
      <c r="N15" s="2588"/>
      <c r="O15" s="1324"/>
      <c r="P15" s="444"/>
      <c r="Q15" s="356">
        <v>22</v>
      </c>
    </row>
    <row r="16" spans="1:17" s="1578" customFormat="1" ht="21.95" customHeight="1">
      <c r="A16" s="956"/>
      <c r="B16" s="961"/>
      <c r="C16" s="956"/>
      <c r="D16" s="384"/>
      <c r="E16" s="114"/>
      <c r="F16" s="114"/>
      <c r="G16" s="114"/>
      <c r="H16" s="114"/>
      <c r="I16" s="114"/>
      <c r="J16" s="114"/>
      <c r="K16" s="114"/>
      <c r="L16" s="114"/>
      <c r="M16" s="442"/>
      <c r="N16" s="1423"/>
      <c r="O16" s="433"/>
      <c r="P16" s="433"/>
      <c r="Q16" s="440">
        <v>21</v>
      </c>
    </row>
    <row r="17" spans="1:17" s="1578" customFormat="1" ht="14.65" customHeight="1">
      <c r="A17" s="956"/>
      <c r="B17" s="961"/>
      <c r="C17" s="956"/>
      <c r="D17" s="384"/>
      <c r="E17" s="956"/>
      <c r="F17" s="956"/>
      <c r="G17" s="956"/>
      <c r="H17" s="956"/>
      <c r="I17" s="956"/>
      <c r="J17" s="956"/>
      <c r="K17" s="956"/>
      <c r="L17" s="956"/>
      <c r="M17" s="956"/>
      <c r="N17" s="1419"/>
      <c r="O17" s="433"/>
      <c r="P17" s="433"/>
      <c r="Q17" s="440">
        <v>14</v>
      </c>
    </row>
    <row r="18" spans="1:17" s="1578" customFormat="1" ht="1.1499999999999999" customHeight="1">
      <c r="A18" s="956"/>
      <c r="B18" s="961"/>
      <c r="C18" s="956"/>
      <c r="D18" s="384"/>
      <c r="E18" s="956"/>
      <c r="F18" s="956"/>
      <c r="G18" s="956"/>
      <c r="H18" s="956"/>
      <c r="I18" s="956"/>
      <c r="J18" s="956"/>
      <c r="K18" s="956"/>
      <c r="L18" s="956"/>
      <c r="M18" s="956"/>
      <c r="N18" s="1419"/>
      <c r="O18" s="433"/>
      <c r="P18" s="433"/>
      <c r="Q18" s="440">
        <v>1</v>
      </c>
    </row>
    <row r="19" spans="1:17" ht="22.5" hidden="1" customHeight="1">
      <c r="A19" s="956" t="s">
        <v>69</v>
      </c>
      <c r="B19" s="961">
        <v>0</v>
      </c>
      <c r="C19" s="956">
        <v>0</v>
      </c>
      <c r="D19" s="384">
        <v>3</v>
      </c>
      <c r="E19" s="956">
        <v>6</v>
      </c>
      <c r="F19" s="956">
        <v>27</v>
      </c>
      <c r="G19" s="956">
        <v>29</v>
      </c>
      <c r="H19" s="956">
        <v>25</v>
      </c>
      <c r="I19" s="956">
        <v>5</v>
      </c>
      <c r="J19" s="956">
        <v>6</v>
      </c>
      <c r="K19" s="956">
        <v>41</v>
      </c>
      <c r="L19" s="956">
        <v>42</v>
      </c>
      <c r="M19" s="956">
        <v>41</v>
      </c>
      <c r="N19" s="1419">
        <v>89</v>
      </c>
      <c r="O19" s="433">
        <v>3</v>
      </c>
      <c r="P19" s="433">
        <v>8</v>
      </c>
      <c r="Q19" s="956">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1" hidden="1"/>
    <col min="2" max="2" width="9.140625" style="1581" hidden="1"/>
    <col min="3" max="3" width="3" style="57" customWidth="1"/>
    <col min="4" max="4" width="6" style="1581" customWidth="1"/>
    <col min="5" max="5" width="22" style="1581" customWidth="1"/>
    <col min="6" max="6" width="15" style="1581" customWidth="1"/>
    <col min="7" max="7" width="14" style="1581" customWidth="1"/>
    <col min="8" max="8" width="47" style="1581" customWidth="1"/>
    <col min="9" max="9" width="115" style="1581" customWidth="1"/>
    <col min="10" max="10" width="3" style="1581" customWidth="1"/>
    <col min="11" max="12" width="8" style="1581" customWidth="1"/>
    <col min="13" max="13" width="9.140625" style="1581" hidden="1"/>
  </cols>
  <sheetData>
    <row r="1" spans="1:13" ht="14.25" hidden="1" customHeight="1">
      <c r="M1" s="58" t="s">
        <v>1</v>
      </c>
    </row>
    <row r="2" spans="1:13" ht="14.25" hidden="1" customHeight="1">
      <c r="M2" s="58">
        <v>0</v>
      </c>
    </row>
    <row r="3" spans="1:13" ht="14.25" hidden="1" customHeight="1">
      <c r="M3" s="58">
        <v>0</v>
      </c>
    </row>
    <row r="4" spans="1:13" ht="3" customHeight="1">
      <c r="M4" s="58">
        <v>3</v>
      </c>
    </row>
    <row r="5" spans="1:13" s="1423" customFormat="1" ht="31.5" customHeight="1">
      <c r="A5" s="52"/>
      <c r="C5" s="28"/>
      <c r="D5" s="2251" t="s">
        <v>1947</v>
      </c>
      <c r="E5" s="2251"/>
      <c r="F5" s="2251"/>
      <c r="G5" s="2251"/>
      <c r="H5" s="2251"/>
      <c r="I5" s="199"/>
      <c r="M5" s="21">
        <v>30</v>
      </c>
    </row>
    <row r="6" spans="1:13" ht="3" hidden="1" customHeight="1">
      <c r="D6" s="59"/>
      <c r="E6" s="59"/>
      <c r="F6" s="59"/>
      <c r="G6" s="59"/>
      <c r="H6" s="59"/>
      <c r="I6" s="59"/>
      <c r="M6" s="58">
        <v>0</v>
      </c>
    </row>
    <row r="7" spans="1:13" s="291" customFormat="1" ht="14.65" customHeight="1">
      <c r="B7" s="56"/>
      <c r="C7" s="57"/>
      <c r="D7" s="60"/>
      <c r="E7" s="60"/>
      <c r="F7" s="60"/>
      <c r="G7" s="60"/>
      <c r="H7" s="659"/>
      <c r="I7" s="60"/>
      <c r="J7" s="61"/>
      <c r="M7" s="55">
        <v>14</v>
      </c>
    </row>
    <row r="8" spans="1:13" ht="14.65" customHeight="1">
      <c r="D8" s="2357" t="s">
        <v>384</v>
      </c>
      <c r="E8" s="2357"/>
      <c r="F8" s="2357"/>
      <c r="G8" s="2357"/>
      <c r="H8" s="2357"/>
      <c r="I8" s="2357" t="s">
        <v>385</v>
      </c>
      <c r="M8" s="58">
        <v>14</v>
      </c>
    </row>
    <row r="9" spans="1:13" ht="29.25" customHeight="1">
      <c r="D9" s="2357" t="s">
        <v>75</v>
      </c>
      <c r="E9" s="2357" t="s">
        <v>1948</v>
      </c>
      <c r="F9" s="2357"/>
      <c r="G9" s="2357"/>
      <c r="H9" s="2357"/>
      <c r="I9" s="2357"/>
      <c r="M9" s="58">
        <v>28</v>
      </c>
    </row>
    <row r="10" spans="1:13" ht="24" customHeight="1">
      <c r="D10" s="2357"/>
      <c r="E10" s="64" t="s">
        <v>1949</v>
      </c>
      <c r="F10" s="64" t="s">
        <v>1950</v>
      </c>
      <c r="G10" s="64" t="s">
        <v>1951</v>
      </c>
      <c r="H10" s="64" t="s">
        <v>474</v>
      </c>
      <c r="I10" s="2357"/>
      <c r="M10" s="58">
        <v>23</v>
      </c>
    </row>
    <row r="11" spans="1:13" ht="12" hidden="1" customHeight="1">
      <c r="D11" s="25" t="s">
        <v>161</v>
      </c>
      <c r="E11" s="25" t="s">
        <v>78</v>
      </c>
      <c r="F11" s="25" t="s">
        <v>115</v>
      </c>
      <c r="G11" s="25" t="s">
        <v>79</v>
      </c>
      <c r="H11" s="25" t="s">
        <v>80</v>
      </c>
      <c r="I11" s="25" t="s">
        <v>131</v>
      </c>
      <c r="M11" s="58">
        <v>0</v>
      </c>
    </row>
    <row r="12" spans="1:13" s="1581" customFormat="1" ht="26.25" customHeight="1">
      <c r="A12" s="80" t="s">
        <v>77</v>
      </c>
      <c r="B12" s="62" t="s">
        <v>9</v>
      </c>
      <c r="C12" s="63"/>
      <c r="D12" s="65" t="s">
        <v>161</v>
      </c>
      <c r="E12" s="314"/>
      <c r="F12" s="314"/>
      <c r="G12" s="1493" t="s">
        <v>9</v>
      </c>
      <c r="H12" s="315"/>
      <c r="I12" s="2312" t="s">
        <v>1952</v>
      </c>
      <c r="K12" s="206"/>
      <c r="L12" s="207"/>
      <c r="M12" s="54">
        <v>25</v>
      </c>
    </row>
    <row r="13" spans="1:13" ht="15.75" customHeight="1">
      <c r="A13" s="58"/>
      <c r="B13" s="58"/>
      <c r="C13" s="58"/>
      <c r="D13" s="46"/>
      <c r="E13" s="67" t="s">
        <v>552</v>
      </c>
      <c r="F13" s="66"/>
      <c r="G13" s="66"/>
      <c r="H13" s="148"/>
      <c r="I13" s="2314"/>
      <c r="M13" s="58">
        <v>15</v>
      </c>
    </row>
    <row r="14" spans="1:13" ht="3" customHeight="1">
      <c r="A14" s="58"/>
      <c r="B14" s="58"/>
      <c r="C14" s="58"/>
      <c r="M14" s="58">
        <v>3</v>
      </c>
    </row>
    <row r="15" spans="1:13" ht="29.25" customHeight="1">
      <c r="E15" s="2599" t="s">
        <v>1953</v>
      </c>
      <c r="F15" s="2599"/>
      <c r="G15" s="2599"/>
      <c r="H15" s="2599"/>
      <c r="M15" s="58">
        <v>28</v>
      </c>
    </row>
    <row r="16" spans="1:13" ht="14.25" hidden="1" customHeight="1">
      <c r="A16" s="55" t="s">
        <v>69</v>
      </c>
      <c r="B16" s="56">
        <v>0</v>
      </c>
      <c r="C16" s="57">
        <v>3</v>
      </c>
      <c r="D16" s="58">
        <v>6</v>
      </c>
      <c r="E16" s="58">
        <v>22</v>
      </c>
      <c r="F16" s="58">
        <v>15</v>
      </c>
      <c r="G16" s="58">
        <v>14</v>
      </c>
      <c r="H16" s="58">
        <v>47</v>
      </c>
      <c r="I16" s="58">
        <v>115</v>
      </c>
      <c r="J16" s="58">
        <v>3</v>
      </c>
      <c r="K16" s="58">
        <v>8</v>
      </c>
      <c r="L16" s="58">
        <v>8</v>
      </c>
      <c r="M16" s="58">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198" hidden="1"/>
    <col min="3" max="3" width="3" style="29" customWidth="1"/>
    <col min="4" max="4" width="6" style="198" customWidth="1"/>
    <col min="5" max="5" width="94" style="198" customWidth="1"/>
    <col min="6" max="9" width="8" style="198" customWidth="1"/>
    <col min="10" max="10" width="9.140625" style="198" hidden="1"/>
  </cols>
  <sheetData>
    <row r="1" spans="1:10" ht="14.25" hidden="1" customHeight="1">
      <c r="J1" s="7" t="s">
        <v>1</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2600" t="s">
        <v>1954</v>
      </c>
      <c r="E7" s="2601"/>
      <c r="F7" s="201"/>
      <c r="J7" s="7">
        <v>22</v>
      </c>
    </row>
    <row r="8" spans="1:10" ht="3" customHeight="1">
      <c r="C8" s="30"/>
      <c r="D8" s="8"/>
      <c r="E8" s="8"/>
      <c r="J8" s="7">
        <v>3</v>
      </c>
    </row>
    <row r="9" spans="1:10" ht="16.899999999999999" customHeight="1">
      <c r="C9" s="30"/>
      <c r="D9" s="43" t="s">
        <v>75</v>
      </c>
      <c r="E9" s="194" t="s">
        <v>1955</v>
      </c>
      <c r="J9" s="7">
        <v>16</v>
      </c>
    </row>
    <row r="10" spans="1:10" ht="1.1499999999999999" customHeight="1">
      <c r="C10" s="30"/>
      <c r="D10" s="25"/>
      <c r="E10" s="25"/>
      <c r="J10" s="7">
        <v>1</v>
      </c>
    </row>
    <row r="11" spans="1:10" ht="11.25" hidden="1" customHeight="1">
      <c r="C11" s="30"/>
      <c r="D11" s="84">
        <v>0</v>
      </c>
      <c r="E11" s="195"/>
      <c r="J11" s="7">
        <v>0</v>
      </c>
    </row>
    <row r="12" spans="1:10" ht="15.75" customHeight="1">
      <c r="C12" s="72"/>
      <c r="D12" s="50">
        <v>1</v>
      </c>
      <c r="E12" s="310"/>
      <c r="J12" s="7">
        <v>15</v>
      </c>
    </row>
    <row r="13" spans="1:10" ht="12.75" customHeight="1">
      <c r="C13" s="30"/>
      <c r="D13" s="196"/>
      <c r="E13" s="197" t="s">
        <v>1956</v>
      </c>
      <c r="J13" s="7">
        <v>12</v>
      </c>
    </row>
    <row r="14" spans="1:10" ht="3" customHeight="1">
      <c r="J14" s="7">
        <v>3</v>
      </c>
    </row>
    <row r="15" spans="1:10" ht="23.25" customHeight="1">
      <c r="C15" s="73"/>
      <c r="D15" s="2599" t="s">
        <v>1957</v>
      </c>
      <c r="E15" s="2599"/>
      <c r="F15" s="74"/>
      <c r="G15" s="74"/>
      <c r="H15" s="74"/>
      <c r="I15" s="74"/>
      <c r="J15" s="7">
        <v>22</v>
      </c>
    </row>
    <row r="16" spans="1:10" ht="14.25" hidden="1" customHeight="1">
      <c r="A16" s="7" t="s">
        <v>69</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606" customWidth="1"/>
    <col min="2" max="2" width="34.5703125" style="1606" customWidth="1"/>
    <col min="3" max="3" width="85" style="1606" customWidth="1"/>
    <col min="4" max="4" width="17" style="1606" customWidth="1"/>
    <col min="5" max="5" width="8" style="1606" customWidth="1"/>
    <col min="6" max="6" width="9.140625" style="1606" hidden="1"/>
  </cols>
  <sheetData>
    <row r="1" spans="1:6" ht="3" customHeight="1">
      <c r="F1" s="27" t="s">
        <v>1</v>
      </c>
    </row>
    <row r="2" spans="1:6" ht="22.5" customHeight="1">
      <c r="B2" s="2602" t="s">
        <v>1958</v>
      </c>
      <c r="C2" s="2602"/>
      <c r="D2" s="2602"/>
      <c r="E2" s="202"/>
      <c r="F2" s="27">
        <v>22</v>
      </c>
    </row>
    <row r="3" spans="1:6" ht="3" customHeight="1">
      <c r="F3" s="27">
        <v>3</v>
      </c>
    </row>
    <row r="4" spans="1:6" ht="23.25" customHeight="1">
      <c r="B4" s="1868" t="s">
        <v>1959</v>
      </c>
      <c r="C4" s="316" t="s">
        <v>1960</v>
      </c>
      <c r="D4" s="316" t="s">
        <v>1961</v>
      </c>
      <c r="F4" s="27">
        <v>22</v>
      </c>
    </row>
    <row r="5" spans="1:6" ht="11.25" hidden="1" customHeight="1">
      <c r="A5" s="27" t="s">
        <v>69</v>
      </c>
      <c r="B5" s="27">
        <v>34</v>
      </c>
      <c r="C5" s="27">
        <v>85</v>
      </c>
      <c r="D5" s="27">
        <v>17</v>
      </c>
      <c r="E5" s="27">
        <v>8</v>
      </c>
      <c r="F5" s="27">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606" customWidth="1"/>
    <col min="2" max="2" width="10" style="1606" customWidth="1"/>
    <col min="3" max="3" width="9.140625" style="1606"/>
    <col min="4" max="4" width="11.140625" style="1606" customWidth="1"/>
    <col min="5" max="5" width="16.5703125" style="1606" customWidth="1"/>
    <col min="6" max="6" width="16.28515625" style="1606" customWidth="1"/>
    <col min="7" max="7" width="19.140625" style="1606" customWidth="1"/>
    <col min="8" max="11" width="10" style="1606" customWidth="1"/>
    <col min="12" max="12" width="12.7109375" style="1606" customWidth="1"/>
    <col min="13" max="13" width="61.28515625" style="1606" customWidth="1"/>
    <col min="14" max="14" width="10" style="1606" customWidth="1"/>
    <col min="15" max="17" width="23.7109375" style="1606" customWidth="1"/>
    <col min="18" max="18" width="11.7109375" style="1606" customWidth="1"/>
    <col min="19" max="19" width="8.5703125" style="1606" customWidth="1"/>
    <col min="20" max="20" width="11.7109375" style="1606" customWidth="1"/>
    <col min="21" max="21" width="8.5703125" style="1606" customWidth="1"/>
    <col min="22" max="22" width="4.7109375" style="1606" customWidth="1"/>
    <col min="23" max="23" width="115.7109375" style="1606" customWidth="1"/>
    <col min="24" max="24" width="115.28515625" style="1606" customWidth="1"/>
    <col min="25" max="27" width="9.140625" style="1606"/>
    <col min="28" max="28" width="115.7109375" style="1606" customWidth="1"/>
    <col min="29" max="29" width="9.140625" style="1606"/>
    <col min="30" max="90" width="115.7109375" style="1606" customWidth="1"/>
    <col min="91" max="184" width="9.140625" style="1606"/>
  </cols>
  <sheetData>
    <row r="2" spans="1:80" s="1574" customFormat="1" ht="17.25" customHeight="1">
      <c r="A2" s="1574" t="s">
        <v>1962</v>
      </c>
    </row>
    <row r="4" spans="1:80" s="198" customFormat="1" ht="15" customHeight="1">
      <c r="C4" s="1575"/>
      <c r="D4" s="50"/>
      <c r="E4" s="310"/>
    </row>
    <row r="6" spans="1:80" s="1574" customFormat="1" ht="17.25" customHeight="1">
      <c r="A6" s="1574" t="s">
        <v>1963</v>
      </c>
    </row>
    <row r="8" spans="1:80" s="198" customFormat="1" ht="17.25" customHeight="1">
      <c r="C8" s="1576"/>
      <c r="D8" s="50"/>
      <c r="E8" s="51"/>
    </row>
    <row r="11" spans="1:80" s="1574" customFormat="1" ht="17.25" customHeight="1">
      <c r="A11" s="1574" t="s">
        <v>1964</v>
      </c>
    </row>
    <row r="13" spans="1:80" s="1578" customFormat="1" ht="15" customHeight="1">
      <c r="A13" s="2254">
        <v>1</v>
      </c>
      <c r="B13" s="961"/>
      <c r="C13" s="700" t="s">
        <v>90</v>
      </c>
      <c r="D13" s="1577"/>
      <c r="E13" s="1564">
        <f>A13</f>
        <v>1</v>
      </c>
      <c r="F13" s="703"/>
      <c r="G13" s="472" t="str">
        <f>"Территория "&amp;E13</f>
        <v>Территория 1</v>
      </c>
      <c r="H13" s="691"/>
      <c r="I13" s="691"/>
      <c r="J13" s="688"/>
      <c r="K13" s="1412"/>
      <c r="L13" s="1412"/>
      <c r="M13" s="1412"/>
      <c r="N13" s="160"/>
      <c r="O13" s="1412"/>
      <c r="P13" s="159"/>
      <c r="Q13" s="159"/>
      <c r="R13" s="159"/>
      <c r="S13" s="159"/>
    </row>
    <row r="14" spans="1:80" s="1606" customFormat="1" ht="15" customHeight="1">
      <c r="A14" s="2254"/>
      <c r="B14" s="961">
        <v>1</v>
      </c>
      <c r="C14" s="961"/>
      <c r="D14" s="699"/>
      <c r="E14" s="1572" t="str">
        <f>A13&amp;"."&amp;B14</f>
        <v>1.1</v>
      </c>
      <c r="F14" s="702">
        <f>$F$20</f>
        <v>0</v>
      </c>
      <c r="G14" s="692"/>
      <c r="H14" s="692"/>
      <c r="I14" s="690"/>
      <c r="J14" s="1412"/>
      <c r="K14" s="1424"/>
      <c r="L14" s="1424"/>
      <c r="M14" s="1412" t="str">
        <f t="array" ref="M14">IF(ISERROR(MATCH(MID(N14,1,250),MID(note_ter,1,250),0)),"n","y")</f>
        <v>n</v>
      </c>
      <c r="N14" s="1424"/>
      <c r="O14" s="1412" t="str">
        <f>H14&amp;"("&amp;I14&amp;")"</f>
        <v>()</v>
      </c>
      <c r="P14" s="961"/>
      <c r="Q14" s="961"/>
      <c r="R14" s="353"/>
      <c r="S14" s="961"/>
      <c r="T14" s="961"/>
      <c r="U14" s="961"/>
      <c r="V14" s="355"/>
      <c r="W14" s="355"/>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352"/>
      <c r="BN14" s="352"/>
      <c r="BO14" s="352"/>
      <c r="BP14" s="352"/>
      <c r="BQ14" s="352"/>
      <c r="BR14" s="352"/>
      <c r="BS14" s="355"/>
      <c r="BT14" s="355"/>
      <c r="BU14" s="355"/>
      <c r="BV14" s="355"/>
      <c r="BW14" s="355"/>
      <c r="BX14" s="355"/>
      <c r="BY14" s="355"/>
      <c r="BZ14" s="355"/>
      <c r="CA14" s="355"/>
      <c r="CB14" s="355"/>
    </row>
    <row r="15" spans="1:80" s="1606" customFormat="1" ht="15" customHeight="1">
      <c r="A15" s="2254"/>
      <c r="B15" s="961"/>
      <c r="C15" s="345"/>
      <c r="D15" s="700"/>
      <c r="E15" s="354"/>
      <c r="F15" s="111"/>
      <c r="G15" s="348" t="s">
        <v>88</v>
      </c>
      <c r="H15" s="121"/>
      <c r="I15" s="357"/>
      <c r="J15" s="1424"/>
      <c r="K15" s="1424"/>
      <c r="L15" s="1424"/>
      <c r="M15" s="1424"/>
      <c r="N15" s="1412"/>
      <c r="O15" s="1424"/>
      <c r="P15" s="961"/>
      <c r="Q15" s="961"/>
      <c r="R15" s="353"/>
      <c r="S15" s="961"/>
      <c r="T15" s="961"/>
      <c r="U15" s="961"/>
      <c r="V15" s="355"/>
      <c r="W15" s="355"/>
      <c r="X15" s="352"/>
      <c r="Y15" s="352"/>
      <c r="Z15" s="352"/>
      <c r="AA15" s="352"/>
      <c r="AB15" s="352"/>
      <c r="AC15" s="352"/>
      <c r="AD15" s="352"/>
      <c r="AE15" s="352"/>
      <c r="AF15" s="352"/>
      <c r="AG15" s="352"/>
      <c r="AH15" s="352"/>
      <c r="AI15" s="352"/>
      <c r="AJ15" s="352"/>
      <c r="AK15" s="352"/>
      <c r="AL15" s="352"/>
      <c r="AM15" s="352"/>
      <c r="AN15" s="352"/>
      <c r="AO15" s="352"/>
      <c r="AP15" s="352"/>
      <c r="AQ15" s="352"/>
      <c r="AR15" s="352"/>
      <c r="AS15" s="352"/>
      <c r="AT15" s="352"/>
      <c r="AU15" s="352"/>
      <c r="AV15" s="352"/>
      <c r="AW15" s="352"/>
      <c r="AX15" s="352"/>
      <c r="AY15" s="352"/>
      <c r="AZ15" s="352"/>
      <c r="BA15" s="352"/>
      <c r="BB15" s="352"/>
      <c r="BC15" s="352"/>
      <c r="BD15" s="352"/>
      <c r="BE15" s="352"/>
      <c r="BF15" s="352"/>
      <c r="BG15" s="352"/>
      <c r="BH15" s="352"/>
      <c r="BI15" s="352"/>
      <c r="BJ15" s="352"/>
      <c r="BK15" s="352"/>
      <c r="BL15" s="352"/>
      <c r="BM15" s="352"/>
      <c r="BN15" s="352"/>
      <c r="BO15" s="352"/>
      <c r="BP15" s="352"/>
      <c r="BQ15" s="352"/>
      <c r="BR15" s="352"/>
      <c r="BS15" s="355"/>
      <c r="BT15" s="355"/>
      <c r="BU15" s="355"/>
      <c r="BV15" s="355"/>
      <c r="BW15" s="355"/>
      <c r="BX15" s="355"/>
      <c r="BY15" s="355"/>
      <c r="BZ15" s="355"/>
      <c r="CA15" s="355"/>
      <c r="CB15" s="355"/>
    </row>
    <row r="17" spans="1:80" s="1574" customFormat="1" ht="17.25" customHeight="1">
      <c r="A17" s="1574" t="s">
        <v>1965</v>
      </c>
    </row>
    <row r="19" spans="1:80" s="1606" customFormat="1" ht="15" customHeight="1">
      <c r="A19" s="1635"/>
      <c r="B19" s="1154">
        <v>1</v>
      </c>
      <c r="C19" s="1154"/>
      <c r="D19" s="699" t="s">
        <v>90</v>
      </c>
      <c r="E19" s="1631"/>
      <c r="F19" s="1636">
        <f>$F$20</f>
        <v>0</v>
      </c>
      <c r="G19" s="1640"/>
      <c r="H19" s="1640"/>
      <c r="I19" s="1638"/>
      <c r="J19" s="1412"/>
      <c r="K19" s="1424"/>
      <c r="L19" s="1424"/>
      <c r="M19" s="1412" t="str">
        <f t="array" ref="M19">IF(ISERROR(MATCH(MID(N19,1,250),MID(note_ter,1,250),0)),"n","y")</f>
        <v>n</v>
      </c>
      <c r="N19" s="1424"/>
      <c r="O19" s="1412" t="str">
        <f>H19&amp;"("&amp;I19&amp;")"</f>
        <v>()</v>
      </c>
      <c r="P19" s="1154"/>
      <c r="Q19" s="1154"/>
      <c r="R19" s="353"/>
      <c r="S19" s="1154"/>
      <c r="T19" s="1154"/>
      <c r="U19" s="1154"/>
      <c r="V19" s="732"/>
      <c r="W19" s="732"/>
      <c r="X19" s="558"/>
      <c r="Y19" s="558"/>
      <c r="Z19" s="558"/>
      <c r="AA19" s="558"/>
      <c r="AB19" s="558"/>
      <c r="AC19" s="558"/>
      <c r="AD19" s="558"/>
      <c r="AE19" s="558"/>
      <c r="AF19" s="558"/>
      <c r="AG19" s="558"/>
      <c r="AH19" s="558"/>
      <c r="AI19" s="558"/>
      <c r="AJ19" s="558"/>
      <c r="AK19" s="558"/>
      <c r="AL19" s="558"/>
      <c r="AM19" s="558"/>
      <c r="AN19" s="558"/>
      <c r="AO19" s="558"/>
      <c r="AP19" s="558"/>
      <c r="AQ19" s="558"/>
      <c r="AR19" s="558"/>
      <c r="AS19" s="558"/>
      <c r="AT19" s="558"/>
      <c r="AU19" s="558"/>
      <c r="AV19" s="558"/>
      <c r="AW19" s="558"/>
      <c r="AX19" s="558"/>
      <c r="AY19" s="558"/>
      <c r="AZ19" s="558"/>
      <c r="BA19" s="558"/>
      <c r="BB19" s="558"/>
      <c r="BC19" s="558"/>
      <c r="BD19" s="558"/>
      <c r="BE19" s="558"/>
      <c r="BF19" s="558"/>
      <c r="BG19" s="558"/>
      <c r="BH19" s="558"/>
      <c r="BI19" s="558"/>
      <c r="BJ19" s="558"/>
      <c r="BK19" s="558"/>
      <c r="BL19" s="558"/>
      <c r="BM19" s="558"/>
      <c r="BN19" s="558"/>
      <c r="BO19" s="558"/>
      <c r="BP19" s="558"/>
      <c r="BQ19" s="558"/>
      <c r="BR19" s="558"/>
      <c r="BS19" s="732"/>
      <c r="BT19" s="732"/>
      <c r="BU19" s="732"/>
      <c r="BV19" s="732"/>
      <c r="BW19" s="732"/>
      <c r="BX19" s="732"/>
      <c r="BY19" s="732"/>
      <c r="BZ19" s="732"/>
      <c r="CA19" s="732"/>
      <c r="CB19" s="732"/>
    </row>
    <row r="21" spans="1:80" s="1606" customFormat="1" ht="15" customHeight="1">
      <c r="A21" s="1574" t="s">
        <v>1966</v>
      </c>
      <c r="B21" s="1574"/>
      <c r="C21" s="1574"/>
      <c r="D21" s="1574"/>
      <c r="E21" s="1574"/>
      <c r="F21" s="1574"/>
      <c r="G21" s="1574"/>
      <c r="H21" s="1574"/>
      <c r="I21" s="1574"/>
      <c r="J21" s="1574"/>
      <c r="K21" s="1574"/>
      <c r="L21" s="1574"/>
      <c r="M21" s="1574"/>
      <c r="N21" s="1574"/>
      <c r="O21" s="1574"/>
      <c r="P21" s="1574"/>
      <c r="Q21" s="1574"/>
      <c r="R21" s="1574"/>
      <c r="S21" s="1574"/>
      <c r="T21" s="1574"/>
      <c r="U21" s="118"/>
      <c r="V21" s="1574"/>
      <c r="W21" s="1574"/>
    </row>
    <row r="22" spans="1:80" s="1606" customFormat="1" ht="15" customHeight="1">
      <c r="U22" s="119"/>
    </row>
    <row r="23" spans="1:80" s="1609" customFormat="1" ht="15" customHeight="1">
      <c r="A23" s="356"/>
      <c r="B23" s="356"/>
      <c r="C23" s="1487" t="s">
        <v>90</v>
      </c>
      <c r="D23" s="2277" t="s">
        <v>161</v>
      </c>
      <c r="E23" s="2279"/>
      <c r="F23" s="2276" t="s">
        <v>6</v>
      </c>
      <c r="G23" s="2619"/>
      <c r="H23" s="2266">
        <v>1</v>
      </c>
      <c r="I23" s="2621" t="str">
        <f>IF(U23="","",INDEX(TERRITORY_MR_LIST,MATCH(U23,TERRITORY_LIST_ID,0)))</f>
        <v/>
      </c>
      <c r="J23" s="2276" t="s">
        <v>6</v>
      </c>
      <c r="K23" s="731"/>
      <c r="L23" s="1541" t="s">
        <v>161</v>
      </c>
      <c r="M23" s="534"/>
      <c r="N23" s="535"/>
      <c r="O23" s="535"/>
      <c r="P23" s="535"/>
      <c r="Q23" s="535"/>
      <c r="R23" s="535"/>
      <c r="S23" s="535"/>
      <c r="T23" s="535"/>
      <c r="U23" s="536"/>
      <c r="V23" s="535"/>
      <c r="W23" s="535"/>
      <c r="X23" s="526"/>
      <c r="Y23" s="526" t="s">
        <v>169</v>
      </c>
      <c r="Z23" s="526">
        <v>1705000</v>
      </c>
      <c r="AA23" s="526"/>
      <c r="AB23" s="526"/>
      <c r="AC23" s="526"/>
      <c r="AD23" s="526"/>
      <c r="AE23" s="526"/>
      <c r="AF23" s="526"/>
      <c r="AG23" s="526"/>
      <c r="AH23" s="526"/>
      <c r="AI23" s="526"/>
      <c r="AJ23" s="526"/>
      <c r="AK23" s="526"/>
      <c r="AL23" s="526"/>
    </row>
    <row r="24" spans="1:80" s="1609" customFormat="1" ht="15" customHeight="1">
      <c r="A24" s="356"/>
      <c r="B24" s="356"/>
      <c r="C24" s="110"/>
      <c r="D24" s="2277"/>
      <c r="E24" s="2280"/>
      <c r="F24" s="2276"/>
      <c r="G24" s="2620"/>
      <c r="H24" s="2266"/>
      <c r="I24" s="2622"/>
      <c r="J24" s="2276"/>
      <c r="K24" s="354"/>
      <c r="L24" s="111"/>
      <c r="M24" s="538" t="s">
        <v>170</v>
      </c>
      <c r="N24" s="535"/>
      <c r="O24" s="535"/>
      <c r="P24" s="535"/>
      <c r="Q24" s="535"/>
      <c r="R24" s="535"/>
      <c r="S24" s="535"/>
      <c r="T24" s="535"/>
      <c r="U24" s="536"/>
      <c r="V24" s="535"/>
      <c r="W24" s="535"/>
      <c r="X24" s="526"/>
      <c r="Y24" s="526"/>
      <c r="Z24" s="526"/>
      <c r="AA24" s="526"/>
      <c r="AB24" s="526"/>
      <c r="AC24" s="526"/>
      <c r="AD24" s="526"/>
      <c r="AE24" s="526"/>
      <c r="AF24" s="526"/>
      <c r="AG24" s="526"/>
      <c r="AH24" s="526"/>
      <c r="AI24" s="526"/>
      <c r="AJ24" s="526"/>
      <c r="AK24" s="526"/>
      <c r="AL24" s="526"/>
    </row>
    <row r="25" spans="1:80" s="1609" customFormat="1" ht="15" customHeight="1">
      <c r="A25" s="356"/>
      <c r="B25" s="356"/>
      <c r="C25" s="110"/>
      <c r="D25" s="2277"/>
      <c r="E25" s="2281"/>
      <c r="F25" s="2276"/>
      <c r="G25" s="354"/>
      <c r="H25" s="111"/>
      <c r="I25" s="511" t="s">
        <v>211</v>
      </c>
      <c r="J25" s="111"/>
      <c r="K25" s="111"/>
      <c r="L25" s="111"/>
      <c r="M25" s="539"/>
      <c r="N25" s="535"/>
      <c r="O25" s="535"/>
      <c r="P25" s="535"/>
      <c r="Q25" s="535"/>
      <c r="R25" s="535"/>
      <c r="S25" s="535"/>
      <c r="T25" s="535"/>
      <c r="U25" s="536"/>
      <c r="V25" s="535"/>
      <c r="W25" s="535"/>
      <c r="X25" s="526"/>
      <c r="Y25" s="526"/>
      <c r="Z25" s="526"/>
      <c r="AA25" s="526"/>
      <c r="AB25" s="526"/>
      <c r="AC25" s="526"/>
      <c r="AD25" s="526"/>
      <c r="AE25" s="526"/>
      <c r="AF25" s="526"/>
      <c r="AG25" s="526"/>
      <c r="AH25" s="526"/>
      <c r="AI25" s="526"/>
      <c r="AJ25" s="526"/>
      <c r="AK25" s="526"/>
      <c r="AL25" s="526"/>
    </row>
    <row r="26" spans="1:80" s="1606" customFormat="1" ht="15" customHeight="1">
      <c r="U26" s="119"/>
    </row>
    <row r="27" spans="1:80" s="1606" customFormat="1" ht="15" customHeight="1">
      <c r="A27" s="1574" t="s">
        <v>1967</v>
      </c>
      <c r="B27" s="1574"/>
      <c r="C27" s="1574"/>
      <c r="D27" s="1574"/>
      <c r="E27" s="1574"/>
      <c r="F27" s="1574"/>
      <c r="G27" s="1574"/>
      <c r="H27" s="1574"/>
      <c r="I27" s="1574"/>
      <c r="J27" s="1574"/>
      <c r="K27" s="1574"/>
      <c r="L27" s="1574"/>
      <c r="M27" s="1574"/>
      <c r="N27" s="1574"/>
      <c r="O27" s="1574"/>
      <c r="P27" s="1574"/>
      <c r="Q27" s="1574"/>
      <c r="R27" s="1574"/>
      <c r="S27" s="1574"/>
      <c r="T27" s="1574"/>
      <c r="U27" s="118"/>
      <c r="V27" s="1574"/>
      <c r="W27" s="1574"/>
    </row>
    <row r="28" spans="1:80" s="1606" customFormat="1" ht="15" customHeight="1">
      <c r="U28" s="119"/>
    </row>
    <row r="29" spans="1:80" s="1609" customFormat="1" ht="15" customHeight="1">
      <c r="A29" s="356"/>
      <c r="B29" s="356"/>
      <c r="C29" s="110"/>
      <c r="D29" s="1579"/>
      <c r="E29" s="1579"/>
      <c r="F29" s="1579"/>
      <c r="G29" s="2285" t="s">
        <v>90</v>
      </c>
      <c r="H29" s="2246">
        <v>1</v>
      </c>
      <c r="I29" s="2286" t="str">
        <f>IF(U29="","",INDEX(TERRITORY_MR_LIST,MATCH(U29,TERRITORY_LIST_ID,0)))</f>
        <v/>
      </c>
      <c r="J29" s="2276" t="s">
        <v>6</v>
      </c>
      <c r="K29" s="731"/>
      <c r="L29" s="1541" t="s">
        <v>161</v>
      </c>
      <c r="M29" s="534"/>
      <c r="N29" s="535"/>
      <c r="O29" s="535"/>
      <c r="P29" s="535"/>
      <c r="Q29" s="535"/>
      <c r="R29" s="535"/>
      <c r="S29" s="535"/>
      <c r="T29" s="535"/>
      <c r="U29" s="536"/>
      <c r="V29" s="535"/>
      <c r="W29" s="535"/>
      <c r="X29" s="526"/>
      <c r="Y29" s="526" t="s">
        <v>169</v>
      </c>
      <c r="Z29" s="526">
        <v>1705000</v>
      </c>
      <c r="AA29" s="526"/>
      <c r="AB29" s="526"/>
      <c r="AC29" s="526"/>
      <c r="AD29" s="526"/>
      <c r="AE29" s="526"/>
      <c r="AF29" s="526"/>
      <c r="AG29" s="526"/>
      <c r="AH29" s="526"/>
      <c r="AI29" s="526"/>
      <c r="AJ29" s="526"/>
      <c r="AK29" s="526"/>
      <c r="AL29" s="526"/>
    </row>
    <row r="30" spans="1:80" s="1609" customFormat="1" ht="15" customHeight="1">
      <c r="A30" s="356"/>
      <c r="B30" s="356"/>
      <c r="C30" s="110"/>
      <c r="D30" s="1579"/>
      <c r="E30" s="1579"/>
      <c r="F30" s="1579"/>
      <c r="G30" s="2285"/>
      <c r="H30" s="2246"/>
      <c r="I30" s="2286"/>
      <c r="J30" s="2276"/>
      <c r="K30" s="354"/>
      <c r="L30" s="111"/>
      <c r="M30" s="538" t="s">
        <v>170</v>
      </c>
      <c r="N30" s="535"/>
      <c r="O30" s="535"/>
      <c r="P30" s="535"/>
      <c r="Q30" s="535"/>
      <c r="R30" s="535"/>
      <c r="S30" s="535"/>
      <c r="T30" s="535"/>
      <c r="U30" s="536"/>
      <c r="V30" s="535"/>
      <c r="W30" s="535"/>
      <c r="X30" s="526"/>
      <c r="Y30" s="526"/>
      <c r="Z30" s="526"/>
      <c r="AA30" s="526"/>
      <c r="AB30" s="526"/>
      <c r="AC30" s="526"/>
      <c r="AD30" s="526"/>
      <c r="AE30" s="526"/>
      <c r="AF30" s="526"/>
      <c r="AG30" s="526"/>
      <c r="AH30" s="526"/>
      <c r="AI30" s="526"/>
      <c r="AJ30" s="526"/>
      <c r="AK30" s="526"/>
      <c r="AL30" s="526"/>
    </row>
    <row r="31" spans="1:80" s="1606" customFormat="1" ht="15" customHeight="1">
      <c r="U31" s="119"/>
    </row>
    <row r="32" spans="1:80" s="1606" customFormat="1" ht="15" customHeight="1">
      <c r="A32" s="1574" t="s">
        <v>1968</v>
      </c>
      <c r="B32" s="1574"/>
      <c r="C32" s="1574"/>
      <c r="D32" s="1574"/>
      <c r="E32" s="1574"/>
      <c r="F32" s="1574"/>
      <c r="G32" s="1574"/>
      <c r="H32" s="1574"/>
      <c r="I32" s="1574"/>
      <c r="J32" s="1574"/>
      <c r="K32" s="1574"/>
      <c r="L32" s="1574"/>
      <c r="M32" s="1574"/>
      <c r="N32" s="1574"/>
      <c r="O32" s="1574"/>
      <c r="P32" s="1574"/>
      <c r="Q32" s="1574"/>
      <c r="R32" s="1574"/>
      <c r="S32" s="1574"/>
      <c r="T32" s="1574"/>
      <c r="U32" s="118"/>
      <c r="V32" s="1574"/>
      <c r="W32" s="1574"/>
    </row>
    <row r="33" spans="1:38" s="1606" customFormat="1" ht="15" customHeight="1">
      <c r="U33" s="119"/>
    </row>
    <row r="34" spans="1:38" s="1609" customFormat="1" ht="15" customHeight="1">
      <c r="A34" s="356"/>
      <c r="B34" s="356"/>
      <c r="C34" s="110"/>
      <c r="D34" s="1579"/>
      <c r="E34" s="1579"/>
      <c r="F34" s="1579"/>
      <c r="G34" s="1579"/>
      <c r="H34" s="1579"/>
      <c r="I34" s="1579"/>
      <c r="J34" s="1579"/>
      <c r="K34" s="1558" t="s">
        <v>90</v>
      </c>
      <c r="L34" s="1488" t="s">
        <v>161</v>
      </c>
      <c r="M34" s="710"/>
      <c r="N34" s="711"/>
      <c r="O34" s="535"/>
      <c r="P34" s="535"/>
      <c r="Q34" s="535"/>
      <c r="R34" s="535"/>
      <c r="S34" s="535"/>
      <c r="T34" s="535"/>
      <c r="U34" s="536"/>
      <c r="V34" s="535"/>
      <c r="W34" s="535"/>
      <c r="X34" s="526"/>
      <c r="Y34" s="526" t="s">
        <v>169</v>
      </c>
      <c r="Z34" s="526">
        <v>1705000</v>
      </c>
      <c r="AA34" s="526"/>
      <c r="AB34" s="526"/>
      <c r="AC34" s="526"/>
      <c r="AD34" s="526"/>
      <c r="AE34" s="526"/>
      <c r="AF34" s="526"/>
      <c r="AG34" s="526"/>
      <c r="AH34" s="526"/>
      <c r="AI34" s="526"/>
      <c r="AJ34" s="526"/>
      <c r="AK34" s="526"/>
      <c r="AL34" s="526"/>
    </row>
    <row r="35" spans="1:38" s="1606" customFormat="1" ht="15" customHeight="1">
      <c r="U35" s="119"/>
    </row>
    <row r="36" spans="1:38" s="1606" customFormat="1" ht="15" customHeight="1">
      <c r="U36" s="119"/>
    </row>
    <row r="37" spans="1:38" s="1574" customFormat="1" ht="11.25" customHeight="1">
      <c r="A37" s="1574" t="s">
        <v>1969</v>
      </c>
    </row>
    <row r="38" spans="1:38" ht="11.25" customHeight="1"/>
    <row r="39" spans="1:38" s="388" customFormat="1" ht="22.5" customHeight="1">
      <c r="A39" s="1550"/>
      <c r="B39" s="390"/>
      <c r="C39" s="758"/>
      <c r="D39" s="373"/>
      <c r="E39" s="759"/>
      <c r="F39" s="1571"/>
      <c r="G39" s="1580"/>
      <c r="H39" s="408"/>
    </row>
    <row r="40" spans="1:38" ht="11.25" customHeight="1"/>
    <row r="41" spans="1:38" s="1574" customFormat="1" ht="11.25" customHeight="1">
      <c r="A41" s="1574" t="s">
        <v>1970</v>
      </c>
    </row>
    <row r="42" spans="1:38" ht="11.25" customHeight="1"/>
    <row r="43" spans="1:38" s="388" customFormat="1" ht="22.5" customHeight="1">
      <c r="A43" s="390"/>
      <c r="B43" s="390"/>
      <c r="C43" s="390"/>
      <c r="D43" s="373"/>
      <c r="E43" s="759"/>
      <c r="F43" s="760"/>
      <c r="G43" s="1580"/>
      <c r="H43" s="408"/>
    </row>
    <row r="44" spans="1:38" ht="11.25" customHeight="1"/>
    <row r="45" spans="1:38" s="1574" customFormat="1" ht="11.25" customHeight="1">
      <c r="A45" s="1574" t="s">
        <v>1971</v>
      </c>
    </row>
    <row r="46" spans="1:38" ht="11.25" customHeight="1"/>
    <row r="47" spans="1:38" s="388" customFormat="1" ht="24" customHeight="1">
      <c r="A47" s="2350" t="s">
        <v>397</v>
      </c>
      <c r="B47" s="435"/>
      <c r="C47" s="2361"/>
      <c r="D47" s="378" t="str">
        <f>A47</f>
        <v>5.1</v>
      </c>
      <c r="E47" s="375" t="s">
        <v>398</v>
      </c>
      <c r="F47" s="1726" t="s">
        <v>390</v>
      </c>
      <c r="G47" s="377" t="s">
        <v>399</v>
      </c>
      <c r="H47" s="408"/>
      <c r="I47" s="751"/>
    </row>
    <row r="48" spans="1:38" s="388" customFormat="1" ht="22.5" customHeight="1">
      <c r="A48" s="2350"/>
      <c r="B48" s="435"/>
      <c r="C48" s="2361"/>
      <c r="D48" s="373" t="str">
        <f>D47&amp;".1"</f>
        <v>5.1.1</v>
      </c>
      <c r="E48" s="372" t="s">
        <v>400</v>
      </c>
      <c r="F48" s="1727" t="s">
        <v>9</v>
      </c>
      <c r="G48" s="407"/>
      <c r="H48" s="408"/>
      <c r="I48" s="751"/>
    </row>
    <row r="49" spans="1:45" s="388" customFormat="1" ht="22.5" customHeight="1">
      <c r="A49" s="2350"/>
      <c r="B49" s="435"/>
      <c r="C49" s="2361"/>
      <c r="D49" s="373" t="str">
        <f>D47&amp;".2"</f>
        <v>5.1.2</v>
      </c>
      <c r="E49" s="372" t="s">
        <v>401</v>
      </c>
      <c r="F49" s="1491" t="s">
        <v>9</v>
      </c>
      <c r="G49" s="377" t="s">
        <v>402</v>
      </c>
      <c r="H49" s="408"/>
      <c r="I49" s="751"/>
    </row>
    <row r="50" spans="1:45" s="388" customFormat="1" ht="22.5" customHeight="1">
      <c r="A50" s="2350"/>
      <c r="B50" s="435"/>
      <c r="C50" s="2361"/>
      <c r="D50" s="373" t="str">
        <f>D47&amp;".3"</f>
        <v>5.1.3</v>
      </c>
      <c r="E50" s="372" t="s">
        <v>403</v>
      </c>
      <c r="F50" s="1727" t="s">
        <v>9</v>
      </c>
      <c r="G50" s="407"/>
      <c r="H50" s="408"/>
      <c r="I50" s="751"/>
    </row>
    <row r="51" spans="1:45" s="388" customFormat="1" ht="22.5" customHeight="1">
      <c r="A51" s="2350"/>
      <c r="B51" s="435"/>
      <c r="C51" s="2361"/>
      <c r="D51" s="373" t="str">
        <f>D47&amp;".4"</f>
        <v>5.1.4</v>
      </c>
      <c r="E51" s="372" t="s">
        <v>404</v>
      </c>
      <c r="F51" s="1727" t="s">
        <v>9</v>
      </c>
      <c r="G51" s="377" t="s">
        <v>405</v>
      </c>
      <c r="H51" s="408"/>
      <c r="I51" s="751"/>
    </row>
    <row r="54" spans="1:45" s="1574" customFormat="1" ht="17.25" customHeight="1">
      <c r="A54" s="1574" t="s">
        <v>1972</v>
      </c>
    </row>
    <row r="56" spans="1:45" s="1400" customFormat="1" ht="18.75" customHeight="1">
      <c r="A56" s="27"/>
      <c r="B56" s="1581"/>
      <c r="C56" s="1581"/>
      <c r="D56" s="1582"/>
      <c r="E56" s="1568"/>
      <c r="F56" s="767">
        <v>13</v>
      </c>
      <c r="G56" s="766"/>
      <c r="H56" s="692"/>
      <c r="I56" s="690"/>
      <c r="J56" s="453" t="s">
        <v>52</v>
      </c>
      <c r="K56" s="1583" t="s">
        <v>9</v>
      </c>
      <c r="L56" s="27"/>
      <c r="M56" s="1424"/>
      <c r="N56" s="1424"/>
      <c r="O56" s="1424"/>
      <c r="P56" s="449" t="s">
        <v>476</v>
      </c>
      <c r="Q56" s="449" t="s">
        <v>477</v>
      </c>
      <c r="R56" s="450" t="s">
        <v>478</v>
      </c>
      <c r="S56" s="1424" t="s">
        <v>479</v>
      </c>
      <c r="T56" s="1424"/>
      <c r="U56" s="1424"/>
      <c r="V56" s="1424"/>
    </row>
    <row r="58" spans="1:45" s="1574" customFormat="1" ht="11.25" customHeight="1">
      <c r="A58" s="1574" t="s">
        <v>1973</v>
      </c>
    </row>
    <row r="60" spans="1:45" s="1423" customFormat="1" ht="14.25" customHeight="1">
      <c r="C60" s="1475"/>
      <c r="D60" s="1625"/>
      <c r="E60" s="1536" t="s">
        <v>9</v>
      </c>
      <c r="F60" s="1624"/>
      <c r="G60" s="755"/>
      <c r="H60" s="1537"/>
      <c r="I60" s="1537"/>
      <c r="J60" s="366"/>
      <c r="K60" s="1619"/>
      <c r="L60" s="365"/>
      <c r="M60" s="1619"/>
      <c r="N60" s="366"/>
      <c r="O60" s="1619"/>
      <c r="P60" s="366"/>
      <c r="Q60" s="1619"/>
      <c r="R60" s="366"/>
      <c r="S60" s="753"/>
      <c r="T60" s="1537"/>
      <c r="U60" s="366"/>
      <c r="V60" s="366"/>
      <c r="W60" s="1623"/>
      <c r="X60" s="1537"/>
      <c r="Y60" s="366"/>
      <c r="Z60" s="366"/>
      <c r="AA60" s="1623"/>
      <c r="AB60" s="1537"/>
      <c r="AC60" s="366"/>
      <c r="AD60" s="1623"/>
      <c r="AE60" s="27"/>
      <c r="AF60" s="27"/>
      <c r="AG60" s="27"/>
      <c r="AH60" s="27"/>
      <c r="AJ60" s="1424"/>
      <c r="AK60" s="1424"/>
      <c r="AL60" s="1424"/>
      <c r="AM60" s="1424"/>
      <c r="AN60" s="1424"/>
      <c r="AO60" s="1424"/>
      <c r="AP60" s="1412" t="s">
        <v>465</v>
      </c>
      <c r="AQ60" s="1412" t="s">
        <v>465</v>
      </c>
      <c r="AR60" s="1424"/>
      <c r="AS60" s="1424"/>
    </row>
    <row r="62" spans="1:45" s="1574" customFormat="1" ht="11.25" customHeight="1">
      <c r="A62" s="1574" t="s">
        <v>1974</v>
      </c>
    </row>
    <row r="64" spans="1:45" s="1581" customFormat="1" ht="15" customHeight="1">
      <c r="A64" s="80" t="s">
        <v>77</v>
      </c>
      <c r="B64" s="62" t="s">
        <v>9</v>
      </c>
      <c r="C64" s="1584"/>
      <c r="D64" s="65"/>
      <c r="E64" s="314"/>
      <c r="F64" s="314"/>
      <c r="G64" s="1562"/>
      <c r="H64" s="1583"/>
      <c r="I64" s="1563"/>
      <c r="K64" s="206"/>
      <c r="L64" s="207"/>
    </row>
    <row r="66" spans="1:30" s="1574" customFormat="1" ht="11.25" customHeight="1">
      <c r="A66" s="1574" t="s">
        <v>1975</v>
      </c>
    </row>
    <row r="68" spans="1:30" s="1423" customFormat="1" ht="14.25" customHeight="1">
      <c r="A68" s="277"/>
      <c r="B68" s="961"/>
      <c r="C68" s="309"/>
      <c r="D68" s="1569"/>
      <c r="E68" s="784"/>
      <c r="F68" s="1583"/>
      <c r="G68" s="27"/>
      <c r="I68" s="1412"/>
      <c r="J68" s="1412"/>
    </row>
    <row r="70" spans="1:30" s="1574" customFormat="1" ht="11.25" customHeight="1">
      <c r="A70" s="1574" t="s">
        <v>1976</v>
      </c>
    </row>
    <row r="72" spans="1:30" s="1423" customFormat="1" ht="27" customHeight="1">
      <c r="A72" s="967"/>
      <c r="B72" s="967"/>
      <c r="C72" s="967"/>
      <c r="D72" s="961"/>
      <c r="E72" s="1585"/>
      <c r="F72" s="2515"/>
      <c r="G72" s="2516"/>
      <c r="H72" s="2517" t="s">
        <v>52</v>
      </c>
      <c r="I72" s="2519"/>
      <c r="J72" s="2521"/>
      <c r="K72" s="2523"/>
      <c r="L72" s="2524"/>
      <c r="M72" s="2524"/>
      <c r="N72" s="2528"/>
      <c r="O72" s="2528"/>
      <c r="P72" s="2529" t="e">
        <f>DATEDIF(DATEVALUE(N72),DATEVALUE(O72),"y")&amp;"г. "&amp;DATEDIF(DATEVALUE(N72),DATEVALUE(O72),"ym")&amp;"мес. "&amp;DATEVALUE(O72)-DATE(YEAR(DATEVALUE(O72)),MONTH(DATEVALUE(O72)),1)&amp;"дн. "</f>
        <v>#VALUE!</v>
      </c>
      <c r="Q72" s="2527"/>
      <c r="R72" s="2527"/>
      <c r="S72" s="2527"/>
      <c r="T72" s="2521"/>
      <c r="U72" s="2527"/>
      <c r="V72" s="2527"/>
      <c r="W72" s="2527"/>
      <c r="X72" s="2521"/>
      <c r="Y72" s="2525" t="s">
        <v>52</v>
      </c>
      <c r="Z72" s="1567"/>
      <c r="AA72" s="1551">
        <v>1</v>
      </c>
      <c r="AB72" s="1030"/>
      <c r="AD72" s="1424" t="s">
        <v>1977</v>
      </c>
    </row>
    <row r="73" spans="1:30" s="1423" customFormat="1" ht="10.5" customHeight="1">
      <c r="A73" s="967"/>
      <c r="B73" s="967"/>
      <c r="C73" s="967"/>
      <c r="D73" s="961"/>
      <c r="E73" s="807"/>
      <c r="F73" s="2515"/>
      <c r="G73" s="2516"/>
      <c r="H73" s="2518"/>
      <c r="I73" s="2520"/>
      <c r="J73" s="2522"/>
      <c r="K73" s="2523"/>
      <c r="L73" s="2524"/>
      <c r="M73" s="2524"/>
      <c r="N73" s="2528"/>
      <c r="O73" s="2528"/>
      <c r="P73" s="2529"/>
      <c r="Q73" s="2527"/>
      <c r="R73" s="2527"/>
      <c r="S73" s="2527"/>
      <c r="T73" s="2522"/>
      <c r="U73" s="2527"/>
      <c r="V73" s="2527"/>
      <c r="W73" s="2527"/>
      <c r="X73" s="2522"/>
      <c r="Y73" s="2526"/>
      <c r="Z73" s="281"/>
      <c r="AA73" s="504"/>
      <c r="AB73" s="583" t="s">
        <v>998</v>
      </c>
    </row>
    <row r="75" spans="1:30" s="1574" customFormat="1" ht="11.25" customHeight="1">
      <c r="A75" s="1574" t="s">
        <v>1978</v>
      </c>
    </row>
    <row r="77" spans="1:30" s="1423" customFormat="1" ht="27" customHeight="1">
      <c r="A77" s="967"/>
      <c r="B77" s="967"/>
      <c r="C77" s="967"/>
      <c r="D77" s="961"/>
      <c r="E77" s="1585"/>
      <c r="F77" s="1556"/>
      <c r="G77" s="1506"/>
      <c r="H77" s="1507"/>
      <c r="I77" s="1508"/>
      <c r="J77" s="1509"/>
      <c r="K77" s="1510"/>
      <c r="L77" s="1511"/>
      <c r="M77" s="1511"/>
      <c r="N77" s="1512"/>
      <c r="O77" s="1512"/>
      <c r="P77" s="1513"/>
      <c r="Q77" s="1514"/>
      <c r="R77" s="1514"/>
      <c r="S77" s="1514"/>
      <c r="T77" s="1509"/>
      <c r="U77" s="1514"/>
      <c r="V77" s="1514"/>
      <c r="W77" s="1514"/>
      <c r="X77" s="1509"/>
      <c r="Y77" s="1507"/>
      <c r="Z77" s="1567"/>
      <c r="AA77" s="1551">
        <v>1</v>
      </c>
      <c r="AB77" s="1030"/>
      <c r="AD77" s="1424" t="s">
        <v>1977</v>
      </c>
    </row>
    <row r="79" spans="1:30" s="1574" customFormat="1" ht="11.25" customHeight="1">
      <c r="A79" s="1574" t="s">
        <v>1979</v>
      </c>
    </row>
    <row r="80" spans="1:30" ht="17.25" customHeight="1"/>
    <row r="81" spans="1:58" s="1423" customFormat="1" ht="21" customHeight="1">
      <c r="A81" s="968"/>
      <c r="B81" s="967"/>
      <c r="C81" s="967"/>
      <c r="D81" s="961"/>
      <c r="E81" s="971"/>
      <c r="F81" s="951" t="e">
        <f>INDEX(IP_MAIN_LIST_NAME_IP,MATCH(A81,IP_MAIN_LIST_IP_ID,0))&amp;" ("&amp;INDEX(IP_MAIN_START_DATE,MATCH(A81,IP_MAIN_LIST_IP_ID,0))&amp;"-"&amp;INDEX(IP_MAIN_END_DATE,MATCH(A81,IP_MAIN_LIST_IP_ID,0))&amp;")"</f>
        <v>#REF!</v>
      </c>
      <c r="G81" s="952"/>
      <c r="H81" s="952"/>
      <c r="I81" s="983"/>
      <c r="J81" s="983"/>
      <c r="K81" s="984"/>
      <c r="L81" s="984"/>
      <c r="M81" s="984"/>
      <c r="N81" s="985"/>
      <c r="O81" s="985"/>
      <c r="P81" s="985"/>
      <c r="Q81" s="985"/>
      <c r="R81" s="985"/>
      <c r="S81" s="985"/>
      <c r="T81" s="985"/>
      <c r="U81" s="985"/>
      <c r="V81" s="985"/>
      <c r="W81" s="985"/>
      <c r="X81" s="985"/>
      <c r="Y81" s="985"/>
      <c r="Z81" s="985"/>
      <c r="AA81" s="985"/>
      <c r="AB81" s="985"/>
      <c r="AC81" s="985"/>
      <c r="AD81" s="985"/>
      <c r="AE81" s="986"/>
      <c r="AF81" s="984"/>
      <c r="AG81" s="984"/>
      <c r="AH81" s="984"/>
      <c r="AI81" s="984"/>
      <c r="AJ81" s="984"/>
      <c r="AK81" s="984"/>
      <c r="AL81" s="1738"/>
      <c r="AM81" s="1581"/>
      <c r="AN81" s="1581"/>
      <c r="AO81" s="1581"/>
      <c r="AP81" s="1581"/>
      <c r="AQ81" s="1581"/>
      <c r="AR81" s="1581"/>
      <c r="AS81" s="1581"/>
      <c r="AT81" s="1581"/>
      <c r="AU81" s="1581"/>
      <c r="AV81" s="1581"/>
      <c r="AW81" s="1581"/>
      <c r="AX81" s="1581"/>
      <c r="AY81" s="1581"/>
      <c r="AZ81" s="1581"/>
      <c r="BA81" s="1581"/>
      <c r="BB81" s="1581"/>
      <c r="BC81" s="1581"/>
      <c r="BD81" s="1581"/>
      <c r="BE81" s="1581"/>
      <c r="BF81" s="1581"/>
    </row>
    <row r="82" spans="1:58" s="1423" customFormat="1" ht="0.75" customHeight="1">
      <c r="A82" s="967"/>
      <c r="B82" s="967"/>
      <c r="C82" s="967"/>
      <c r="D82" s="961"/>
      <c r="E82" s="971"/>
      <c r="F82" s="2537"/>
      <c r="G82" s="2534"/>
      <c r="H82" s="2540" t="s">
        <v>460</v>
      </c>
      <c r="I82" s="2541"/>
      <c r="J82" s="2533"/>
      <c r="K82" s="2533"/>
      <c r="L82" s="2535"/>
      <c r="M82" s="2392"/>
      <c r="N82" s="1786"/>
      <c r="O82" s="1785"/>
      <c r="P82" s="1786"/>
      <c r="Q82" s="1786"/>
      <c r="R82" s="1786"/>
      <c r="S82" s="1786"/>
      <c r="T82" s="1786"/>
      <c r="U82" s="1786"/>
      <c r="V82" s="1786"/>
      <c r="W82" s="1786"/>
      <c r="X82" s="1786"/>
      <c r="Y82" s="1786"/>
      <c r="Z82" s="1786"/>
      <c r="AA82" s="1786"/>
      <c r="AB82" s="1786"/>
      <c r="AC82" s="1786"/>
      <c r="AD82" s="1786"/>
      <c r="AE82" s="1786"/>
      <c r="AF82" s="2539"/>
      <c r="AG82" s="2535"/>
      <c r="AH82" s="2535"/>
      <c r="AI82" s="2539"/>
      <c r="AJ82" s="2535"/>
      <c r="AK82" s="2535"/>
      <c r="AL82" s="1738"/>
      <c r="AM82" s="1581"/>
      <c r="AN82" s="1581"/>
      <c r="AO82" s="1581"/>
      <c r="AP82" s="1581"/>
      <c r="AQ82" s="1581"/>
      <c r="AR82" s="1581"/>
      <c r="AS82" s="1581"/>
      <c r="AT82" s="1581"/>
      <c r="AU82" s="1581"/>
      <c r="AV82" s="1581"/>
      <c r="AW82" s="1581"/>
      <c r="AX82" s="1581"/>
      <c r="AY82" s="1581"/>
      <c r="AZ82" s="1581"/>
      <c r="BA82" s="1581"/>
      <c r="BB82" s="1581"/>
      <c r="BC82" s="1581"/>
      <c r="BD82" s="1581"/>
      <c r="BE82" s="1581"/>
      <c r="BF82" s="1581"/>
    </row>
    <row r="83" spans="1:58" s="1423" customFormat="1" ht="0.75" customHeight="1">
      <c r="A83" s="967"/>
      <c r="B83" s="967"/>
      <c r="C83" s="967"/>
      <c r="D83" s="961"/>
      <c r="E83" s="971"/>
      <c r="F83" s="2537"/>
      <c r="G83" s="2534"/>
      <c r="H83" s="2540"/>
      <c r="I83" s="2541"/>
      <c r="J83" s="2533"/>
      <c r="K83" s="2533"/>
      <c r="L83" s="2535"/>
      <c r="M83" s="2392"/>
      <c r="N83" s="2542"/>
      <c r="O83" s="2543"/>
      <c r="P83" s="2530"/>
      <c r="Q83" s="2533"/>
      <c r="R83" s="2533"/>
      <c r="S83" s="2533"/>
      <c r="T83" s="2533"/>
      <c r="U83" s="2533"/>
      <c r="V83" s="2533"/>
      <c r="W83" s="2533"/>
      <c r="X83" s="2533"/>
      <c r="Y83" s="2533"/>
      <c r="Z83" s="1787"/>
      <c r="AA83" s="1788"/>
      <c r="AB83" s="1788"/>
      <c r="AC83" s="1789"/>
      <c r="AD83" s="1789"/>
      <c r="AE83" s="1790"/>
      <c r="AF83" s="2539"/>
      <c r="AG83" s="2535"/>
      <c r="AH83" s="2535"/>
      <c r="AI83" s="2539"/>
      <c r="AJ83" s="2535"/>
      <c r="AK83" s="2535"/>
      <c r="AL83" s="1738"/>
      <c r="AM83" s="1581"/>
      <c r="AN83" s="1581"/>
      <c r="AO83" s="1581"/>
      <c r="AP83" s="1581"/>
      <c r="AQ83" s="1581"/>
      <c r="AR83" s="1581"/>
      <c r="AS83" s="1581"/>
      <c r="AT83" s="1581"/>
      <c r="AU83" s="1581"/>
      <c r="AV83" s="1581"/>
      <c r="AW83" s="1581"/>
      <c r="AX83" s="1581"/>
      <c r="AY83" s="1581"/>
      <c r="AZ83" s="1581"/>
      <c r="BA83" s="1581"/>
      <c r="BB83" s="1581"/>
      <c r="BC83" s="1581"/>
      <c r="BD83" s="1581"/>
      <c r="BE83" s="1581"/>
      <c r="BF83" s="1581"/>
    </row>
    <row r="84" spans="1:58" s="1423" customFormat="1" ht="0.75" customHeight="1">
      <c r="A84" s="967"/>
      <c r="B84" s="967"/>
      <c r="C84" s="967"/>
      <c r="D84" s="961"/>
      <c r="E84" s="971"/>
      <c r="F84" s="2537"/>
      <c r="G84" s="2534"/>
      <c r="H84" s="2540"/>
      <c r="I84" s="2541"/>
      <c r="J84" s="2533"/>
      <c r="K84" s="2533"/>
      <c r="L84" s="2535"/>
      <c r="M84" s="2392"/>
      <c r="N84" s="2542"/>
      <c r="O84" s="2543"/>
      <c r="P84" s="2531"/>
      <c r="Q84" s="2533"/>
      <c r="R84" s="2533"/>
      <c r="S84" s="2533"/>
      <c r="T84" s="2533"/>
      <c r="U84" s="2533"/>
      <c r="V84" s="2533"/>
      <c r="W84" s="2533"/>
      <c r="X84" s="2533"/>
      <c r="Y84" s="2533"/>
      <c r="Z84" s="1791"/>
      <c r="AA84" s="1792"/>
      <c r="AB84" s="1793"/>
      <c r="AC84" s="1794"/>
      <c r="AD84" s="1793"/>
      <c r="AE84" s="1794"/>
      <c r="AF84" s="2539"/>
      <c r="AG84" s="2535"/>
      <c r="AH84" s="2535"/>
      <c r="AI84" s="2539"/>
      <c r="AJ84" s="2535"/>
      <c r="AK84" s="2535"/>
      <c r="AL84" s="1738"/>
      <c r="AM84" s="1581"/>
      <c r="AN84" s="1581"/>
      <c r="AO84" s="1581"/>
      <c r="AP84" s="1581"/>
      <c r="AQ84" s="1581"/>
      <c r="AR84" s="1581"/>
      <c r="AS84" s="1581"/>
      <c r="AT84" s="1581"/>
      <c r="AU84" s="1581"/>
      <c r="AV84" s="1581"/>
      <c r="AW84" s="1581"/>
      <c r="AX84" s="1581"/>
      <c r="AY84" s="1581"/>
      <c r="AZ84" s="1581"/>
      <c r="BA84" s="1581"/>
      <c r="BB84" s="1581"/>
      <c r="BC84" s="1581"/>
      <c r="BD84" s="1581"/>
      <c r="BE84" s="1581"/>
      <c r="BF84" s="1581"/>
    </row>
    <row r="85" spans="1:58" s="1423" customFormat="1" ht="0.75" customHeight="1">
      <c r="A85" s="967"/>
      <c r="B85" s="967"/>
      <c r="C85" s="967"/>
      <c r="D85" s="961"/>
      <c r="E85" s="971"/>
      <c r="F85" s="2537"/>
      <c r="G85" s="2534"/>
      <c r="H85" s="2540"/>
      <c r="I85" s="2541"/>
      <c r="J85" s="2533"/>
      <c r="K85" s="2533"/>
      <c r="L85" s="2535"/>
      <c r="M85" s="2392"/>
      <c r="N85" s="2542"/>
      <c r="O85" s="2543"/>
      <c r="P85" s="2532"/>
      <c r="Q85" s="2533"/>
      <c r="R85" s="2533"/>
      <c r="S85" s="2533"/>
      <c r="T85" s="2533"/>
      <c r="U85" s="2533"/>
      <c r="V85" s="2533"/>
      <c r="W85" s="2533"/>
      <c r="X85" s="2533"/>
      <c r="Y85" s="2533"/>
      <c r="Z85" s="1787"/>
      <c r="AA85" s="1788"/>
      <c r="AB85" s="1795"/>
      <c r="AC85" s="1789"/>
      <c r="AD85" s="1789"/>
      <c r="AE85" s="1796"/>
      <c r="AF85" s="2539"/>
      <c r="AG85" s="2535"/>
      <c r="AH85" s="2535"/>
      <c r="AI85" s="2539"/>
      <c r="AJ85" s="2535"/>
      <c r="AK85" s="2535"/>
      <c r="AL85" s="1738"/>
      <c r="AM85" s="1581"/>
      <c r="AN85" s="1581"/>
      <c r="AO85" s="1581"/>
      <c r="AP85" s="1581"/>
      <c r="AQ85" s="1581"/>
      <c r="AR85" s="1581"/>
      <c r="AS85" s="1581"/>
      <c r="AT85" s="1581"/>
      <c r="AU85" s="1581"/>
      <c r="AV85" s="1581"/>
      <c r="AW85" s="1581"/>
      <c r="AX85" s="1581"/>
      <c r="AY85" s="1581"/>
      <c r="AZ85" s="1581"/>
      <c r="BA85" s="1581"/>
      <c r="BB85" s="1581"/>
      <c r="BC85" s="1581"/>
      <c r="BD85" s="1581"/>
      <c r="BE85" s="1581"/>
      <c r="BF85" s="1581"/>
    </row>
    <row r="86" spans="1:58" s="1423" customFormat="1" ht="0.75" customHeight="1">
      <c r="A86" s="967"/>
      <c r="B86" s="967"/>
      <c r="C86" s="967"/>
      <c r="D86" s="961"/>
      <c r="E86" s="971"/>
      <c r="F86" s="2537"/>
      <c r="G86" s="2534"/>
      <c r="H86" s="2540"/>
      <c r="I86" s="2541"/>
      <c r="J86" s="2533"/>
      <c r="K86" s="2533"/>
      <c r="L86" s="2535"/>
      <c r="M86" s="2392"/>
      <c r="N86" s="1788"/>
      <c r="O86" s="1788"/>
      <c r="P86" s="1795"/>
      <c r="Q86" s="1788"/>
      <c r="R86" s="1788"/>
      <c r="S86" s="1788"/>
      <c r="T86" s="1788"/>
      <c r="U86" s="1788"/>
      <c r="V86" s="1788"/>
      <c r="W86" s="1788"/>
      <c r="X86" s="1788"/>
      <c r="Y86" s="1788"/>
      <c r="Z86" s="1788"/>
      <c r="AA86" s="1788"/>
      <c r="AB86" s="1788"/>
      <c r="AC86" s="1788"/>
      <c r="AD86" s="1788"/>
      <c r="AE86" s="1797"/>
      <c r="AF86" s="2539"/>
      <c r="AG86" s="2535"/>
      <c r="AH86" s="2535"/>
      <c r="AI86" s="2539"/>
      <c r="AJ86" s="2535"/>
      <c r="AK86" s="2535"/>
      <c r="AL86" s="1738"/>
      <c r="AM86" s="1581"/>
      <c r="AN86" s="1581"/>
      <c r="AO86" s="1581"/>
      <c r="AP86" s="1581"/>
      <c r="AQ86" s="1581"/>
      <c r="AR86" s="1581"/>
      <c r="AS86" s="1581"/>
      <c r="AT86" s="1581"/>
      <c r="AU86" s="1581"/>
      <c r="AV86" s="1581"/>
      <c r="AW86" s="1581"/>
      <c r="AX86" s="1581"/>
      <c r="AY86" s="1581"/>
      <c r="AZ86" s="1581"/>
      <c r="BA86" s="1581"/>
      <c r="BB86" s="1581"/>
      <c r="BC86" s="1581"/>
      <c r="BD86" s="1581"/>
      <c r="BE86" s="1581"/>
      <c r="BF86" s="1581"/>
    </row>
    <row r="87" spans="1:58" s="1423" customFormat="1" ht="12" customHeight="1">
      <c r="A87" s="967"/>
      <c r="B87" s="967"/>
      <c r="C87" s="967"/>
      <c r="D87" s="961"/>
      <c r="E87" s="971"/>
      <c r="F87" s="2538"/>
      <c r="G87" s="988"/>
      <c r="H87" s="988"/>
      <c r="I87" s="2536" t="s">
        <v>1060</v>
      </c>
      <c r="J87" s="2536"/>
      <c r="K87" s="2536"/>
      <c r="L87" s="972"/>
      <c r="M87" s="972"/>
      <c r="N87" s="973"/>
      <c r="O87" s="973"/>
      <c r="P87" s="973"/>
      <c r="Q87" s="973"/>
      <c r="R87" s="973"/>
      <c r="S87" s="973"/>
      <c r="T87" s="973"/>
      <c r="U87" s="973"/>
      <c r="V87" s="973"/>
      <c r="W87" s="973"/>
      <c r="X87" s="973"/>
      <c r="Y87" s="973"/>
      <c r="Z87" s="973"/>
      <c r="AA87" s="973"/>
      <c r="AB87" s="973"/>
      <c r="AC87" s="973"/>
      <c r="AD87" s="973"/>
      <c r="AE87" s="973"/>
      <c r="AF87" s="973"/>
      <c r="AG87" s="972"/>
      <c r="AH87" s="972"/>
      <c r="AI87" s="973"/>
      <c r="AJ87" s="972"/>
      <c r="AK87" s="973"/>
      <c r="AL87" s="1738"/>
      <c r="AM87" s="1581"/>
      <c r="AN87" s="1581"/>
      <c r="AO87" s="1581"/>
      <c r="AP87" s="1581"/>
      <c r="AQ87" s="1581"/>
      <c r="AR87" s="1581"/>
      <c r="AS87" s="1581"/>
      <c r="AT87" s="1581"/>
      <c r="AU87" s="1581"/>
      <c r="AV87" s="1581"/>
      <c r="AW87" s="1581"/>
      <c r="AX87" s="1581"/>
      <c r="AY87" s="1581"/>
      <c r="AZ87" s="1581"/>
      <c r="BA87" s="1581"/>
      <c r="BB87" s="1581"/>
      <c r="BC87" s="1581"/>
      <c r="BD87" s="1581"/>
      <c r="BE87" s="1581"/>
      <c r="BF87" s="1581"/>
    </row>
    <row r="89" spans="1:58" s="1574" customFormat="1" ht="11.25" customHeight="1">
      <c r="A89" s="1574" t="s">
        <v>1980</v>
      </c>
    </row>
    <row r="91" spans="1:58" s="1423" customFormat="1" ht="11.25" customHeight="1">
      <c r="A91" s="967"/>
      <c r="B91" s="967"/>
      <c r="C91" s="967"/>
      <c r="D91" s="961"/>
      <c r="E91" s="971"/>
      <c r="F91" s="1587"/>
      <c r="G91" s="1588"/>
      <c r="H91" s="1588"/>
      <c r="I91" s="1523"/>
      <c r="J91" s="1523"/>
      <c r="K91" s="1589"/>
      <c r="L91" s="1523"/>
      <c r="M91" s="1588"/>
      <c r="N91" s="2549"/>
      <c r="O91" s="2603">
        <v>1</v>
      </c>
      <c r="P91" s="2551" t="s">
        <v>6</v>
      </c>
      <c r="Q91" s="2513" t="s">
        <v>9</v>
      </c>
      <c r="R91" s="2513" t="s">
        <v>9</v>
      </c>
      <c r="S91" s="2513" t="s">
        <v>9</v>
      </c>
      <c r="T91" s="2513" t="s">
        <v>9</v>
      </c>
      <c r="U91" s="2513" t="s">
        <v>9</v>
      </c>
      <c r="V91" s="2513" t="s">
        <v>9</v>
      </c>
      <c r="W91" s="2513" t="s">
        <v>9</v>
      </c>
      <c r="X91" s="2513" t="s">
        <v>9</v>
      </c>
      <c r="Y91" s="2513"/>
      <c r="Z91" s="974"/>
      <c r="AA91" s="975"/>
      <c r="AB91" s="975"/>
      <c r="AC91" s="979"/>
      <c r="AD91" s="979"/>
      <c r="AE91" s="979"/>
      <c r="AF91" s="1840"/>
      <c r="AG91" s="1518"/>
      <c r="AH91" s="1518"/>
      <c r="AI91" s="1840"/>
      <c r="AJ91" s="1518"/>
      <c r="AK91" s="1737"/>
      <c r="AL91" s="1738"/>
      <c r="AM91" s="1581"/>
      <c r="AN91" s="1581"/>
      <c r="AO91" s="1581"/>
      <c r="AP91" s="1581"/>
      <c r="AQ91" s="1581"/>
      <c r="AR91" s="1581"/>
      <c r="AS91" s="1581"/>
      <c r="AT91" s="1581"/>
      <c r="AU91" s="1581"/>
      <c r="AV91" s="1581"/>
      <c r="AW91" s="1581"/>
      <c r="AX91" s="1581"/>
      <c r="AY91" s="1581"/>
      <c r="AZ91" s="1581"/>
      <c r="BA91" s="1581"/>
      <c r="BB91" s="1581"/>
      <c r="BC91" s="1581"/>
      <c r="BD91" s="1581"/>
      <c r="BE91" s="1581"/>
      <c r="BF91" s="1581"/>
    </row>
    <row r="92" spans="1:58" s="1423" customFormat="1" ht="11.25" customHeight="1">
      <c r="A92" s="967"/>
      <c r="B92" s="967"/>
      <c r="C92" s="967"/>
      <c r="D92" s="961"/>
      <c r="E92" s="971"/>
      <c r="F92" s="1587"/>
      <c r="G92" s="1588"/>
      <c r="H92" s="1588"/>
      <c r="I92" s="1524"/>
      <c r="J92" s="1524"/>
      <c r="K92" s="1589"/>
      <c r="L92" s="1524"/>
      <c r="M92" s="1588"/>
      <c r="N92" s="2549"/>
      <c r="O92" s="2603"/>
      <c r="P92" s="2552"/>
      <c r="Q92" s="2513"/>
      <c r="R92" s="2513"/>
      <c r="S92" s="2554"/>
      <c r="T92" s="2513"/>
      <c r="U92" s="2513"/>
      <c r="V92" s="2513"/>
      <c r="W92" s="2513"/>
      <c r="X92" s="2513"/>
      <c r="Y92" s="2513"/>
      <c r="Z92" s="1586"/>
      <c r="AA92" s="1553">
        <v>1</v>
      </c>
      <c r="AB92" s="978"/>
      <c r="AC92" s="970"/>
      <c r="AD92" s="978">
        <f>AB92</f>
        <v>0</v>
      </c>
      <c r="AE92" s="638"/>
      <c r="AF92" s="1841"/>
      <c r="AG92" s="1518"/>
      <c r="AH92" s="1518"/>
      <c r="AI92" s="1841"/>
      <c r="AJ92" s="1518"/>
      <c r="AK92" s="1737"/>
      <c r="AL92" s="1738"/>
      <c r="AM92" s="1581"/>
      <c r="AN92" s="1581"/>
      <c r="AO92" s="1581"/>
      <c r="AP92" s="1581"/>
      <c r="AQ92" s="1581"/>
      <c r="AR92" s="1581"/>
      <c r="AS92" s="1581"/>
      <c r="AT92" s="1581"/>
      <c r="AU92" s="1581"/>
      <c r="AV92" s="1581"/>
      <c r="AW92" s="1581"/>
      <c r="AX92" s="1581"/>
      <c r="AY92" s="1581"/>
      <c r="AZ92" s="1581"/>
      <c r="BA92" s="1581"/>
      <c r="BB92" s="1581"/>
      <c r="BC92" s="1581"/>
      <c r="BD92" s="1581"/>
      <c r="BE92" s="1581"/>
      <c r="BF92" s="1581"/>
    </row>
    <row r="93" spans="1:58" s="1423" customFormat="1" ht="11.25" customHeight="1">
      <c r="A93" s="967"/>
      <c r="B93" s="967"/>
      <c r="C93" s="967"/>
      <c r="D93" s="961"/>
      <c r="E93" s="971"/>
      <c r="F93" s="1587"/>
      <c r="G93" s="1588"/>
      <c r="H93" s="1588"/>
      <c r="I93" s="1525"/>
      <c r="J93" s="1525"/>
      <c r="K93" s="1589"/>
      <c r="L93" s="1525"/>
      <c r="M93" s="1588"/>
      <c r="N93" s="2549"/>
      <c r="O93" s="2603"/>
      <c r="P93" s="2553"/>
      <c r="Q93" s="2513"/>
      <c r="R93" s="2513"/>
      <c r="S93" s="2554"/>
      <c r="T93" s="2513"/>
      <c r="U93" s="2513"/>
      <c r="V93" s="2513"/>
      <c r="W93" s="2513"/>
      <c r="X93" s="2513"/>
      <c r="Y93" s="2513"/>
      <c r="Z93" s="974"/>
      <c r="AA93" s="975"/>
      <c r="AB93" s="1029" t="s">
        <v>1055</v>
      </c>
      <c r="AC93" s="979"/>
      <c r="AD93" s="979"/>
      <c r="AE93" s="979"/>
      <c r="AF93" s="1842"/>
      <c r="AG93" s="1518"/>
      <c r="AH93" s="1518"/>
      <c r="AI93" s="1842"/>
      <c r="AJ93" s="1518"/>
      <c r="AK93" s="1737"/>
      <c r="AL93" s="1738"/>
      <c r="AM93" s="1581"/>
      <c r="AN93" s="1581"/>
      <c r="AO93" s="1581"/>
      <c r="AP93" s="1581"/>
      <c r="AQ93" s="1581"/>
      <c r="AR93" s="1581"/>
      <c r="AS93" s="1581"/>
      <c r="AT93" s="1581"/>
      <c r="AU93" s="1581"/>
      <c r="AV93" s="1581"/>
      <c r="AW93" s="1581"/>
      <c r="AX93" s="1581"/>
      <c r="AY93" s="1581"/>
      <c r="AZ93" s="1581"/>
      <c r="BA93" s="1581"/>
      <c r="BB93" s="1581"/>
      <c r="BC93" s="1581"/>
      <c r="BD93" s="1581"/>
      <c r="BE93" s="1581"/>
      <c r="BF93" s="1581"/>
    </row>
    <row r="95" spans="1:58" s="1574" customFormat="1" ht="11.25" customHeight="1">
      <c r="A95" s="1574" t="s">
        <v>1981</v>
      </c>
    </row>
    <row r="97" spans="1:184" s="1423" customFormat="1" ht="11.25" customHeight="1">
      <c r="A97" s="967"/>
      <c r="B97" s="967"/>
      <c r="C97" s="967"/>
      <c r="D97" s="961"/>
      <c r="E97" s="971"/>
      <c r="F97" s="1588"/>
      <c r="G97" s="1588"/>
      <c r="H97" s="1588"/>
      <c r="I97" s="1588"/>
      <c r="J97" s="1588"/>
      <c r="K97" s="1588"/>
      <c r="L97" s="1588"/>
      <c r="M97" s="1588"/>
      <c r="N97" s="1588"/>
      <c r="O97" s="1588"/>
      <c r="P97" s="1588"/>
      <c r="Q97" s="1588"/>
      <c r="R97" s="1588"/>
      <c r="S97" s="1588"/>
      <c r="T97" s="1588"/>
      <c r="U97" s="1588"/>
      <c r="V97" s="1588"/>
      <c r="W97" s="1588"/>
      <c r="X97" s="1588"/>
      <c r="Y97" s="1588"/>
      <c r="Z97" s="1590"/>
      <c r="AA97" s="1573">
        <v>1</v>
      </c>
      <c r="AB97" s="978"/>
      <c r="AC97" s="970"/>
      <c r="AD97" s="978">
        <f>AB97</f>
        <v>0</v>
      </c>
      <c r="AE97" s="970"/>
      <c r="AF97" s="1839"/>
      <c r="AG97" s="1518"/>
      <c r="AH97" s="1518"/>
      <c r="AI97" s="1839"/>
      <c r="AJ97" s="1518"/>
      <c r="AK97" s="1737"/>
      <c r="AL97" s="1738"/>
      <c r="AM97" s="1581"/>
      <c r="AN97" s="1581"/>
      <c r="AO97" s="1581"/>
      <c r="AP97" s="1581"/>
      <c r="AQ97" s="1581"/>
      <c r="AR97" s="1581"/>
      <c r="AS97" s="1581"/>
      <c r="AT97" s="1581"/>
      <c r="AU97" s="1581"/>
      <c r="AV97" s="1581"/>
      <c r="AW97" s="1581"/>
      <c r="AX97" s="1581"/>
      <c r="AY97" s="1581"/>
      <c r="AZ97" s="1581"/>
      <c r="BA97" s="1581"/>
      <c r="BB97" s="1581"/>
      <c r="BC97" s="1581"/>
      <c r="BD97" s="1581"/>
      <c r="BE97" s="1581"/>
      <c r="BF97" s="1581"/>
    </row>
    <row r="99" spans="1:184" s="1574" customFormat="1" ht="11.25" customHeight="1">
      <c r="A99" s="1574" t="s">
        <v>1982</v>
      </c>
    </row>
    <row r="101" spans="1:184" s="1423" customFormat="1" ht="11.25" customHeight="1">
      <c r="A101" s="967"/>
      <c r="B101" s="967"/>
      <c r="C101" s="967"/>
      <c r="D101" s="961"/>
      <c r="E101" s="971"/>
      <c r="F101" s="1587"/>
      <c r="G101" s="1588"/>
      <c r="H101" s="2534" t="s">
        <v>161</v>
      </c>
      <c r="I101" s="2544"/>
      <c r="J101" s="2545"/>
      <c r="K101" s="2546"/>
      <c r="L101" s="2276" t="s">
        <v>6</v>
      </c>
      <c r="M101" s="2277"/>
      <c r="N101" s="1736"/>
      <c r="O101" s="976" t="s">
        <v>460</v>
      </c>
      <c r="P101" s="977"/>
      <c r="Q101" s="977"/>
      <c r="R101" s="977"/>
      <c r="S101" s="977"/>
      <c r="T101" s="977"/>
      <c r="U101" s="977"/>
      <c r="V101" s="977"/>
      <c r="W101" s="977"/>
      <c r="X101" s="977"/>
      <c r="Y101" s="977"/>
      <c r="Z101" s="977"/>
      <c r="AA101" s="977"/>
      <c r="AB101" s="977"/>
      <c r="AC101" s="977"/>
      <c r="AD101" s="977"/>
      <c r="AE101" s="977"/>
      <c r="AF101" s="2547"/>
      <c r="AG101" s="2548"/>
      <c r="AH101" s="2548"/>
      <c r="AI101" s="2547"/>
      <c r="AJ101" s="2548"/>
      <c r="AK101" s="2548"/>
      <c r="AL101" s="1738"/>
      <c r="AM101" s="1581"/>
      <c r="AN101" s="1581"/>
      <c r="AO101" s="1581"/>
      <c r="AP101" s="1581"/>
      <c r="AQ101" s="1581"/>
      <c r="AR101" s="1581"/>
      <c r="AS101" s="1581"/>
      <c r="AT101" s="1581"/>
      <c r="AU101" s="1581"/>
      <c r="AV101" s="1581"/>
      <c r="AW101" s="1581"/>
      <c r="AX101" s="1581"/>
      <c r="AY101" s="1581"/>
      <c r="AZ101" s="1581"/>
      <c r="BA101" s="1581"/>
      <c r="BB101" s="1581"/>
      <c r="BC101" s="1581"/>
      <c r="BD101" s="1581"/>
      <c r="BE101" s="1581"/>
      <c r="BF101" s="1581"/>
    </row>
    <row r="102" spans="1:184" s="1423" customFormat="1" ht="11.25" customHeight="1">
      <c r="A102" s="967"/>
      <c r="B102" s="967"/>
      <c r="C102" s="967"/>
      <c r="D102" s="961"/>
      <c r="E102" s="971"/>
      <c r="F102" s="1587"/>
      <c r="G102" s="1588"/>
      <c r="H102" s="2534"/>
      <c r="I102" s="2544"/>
      <c r="J102" s="2545"/>
      <c r="K102" s="2546"/>
      <c r="L102" s="2276"/>
      <c r="M102" s="2277"/>
      <c r="N102" s="2549"/>
      <c r="O102" s="2550">
        <v>1</v>
      </c>
      <c r="P102" s="2551" t="s">
        <v>6</v>
      </c>
      <c r="Q102" s="2513" t="s">
        <v>9</v>
      </c>
      <c r="R102" s="2513" t="s">
        <v>9</v>
      </c>
      <c r="S102" s="2513" t="s">
        <v>9</v>
      </c>
      <c r="T102" s="2513" t="s">
        <v>9</v>
      </c>
      <c r="U102" s="2513" t="s">
        <v>9</v>
      </c>
      <c r="V102" s="2513" t="s">
        <v>9</v>
      </c>
      <c r="W102" s="2513" t="s">
        <v>9</v>
      </c>
      <c r="X102" s="2513" t="s">
        <v>9</v>
      </c>
      <c r="Y102" s="2513"/>
      <c r="Z102" s="974"/>
      <c r="AA102" s="975"/>
      <c r="AB102" s="975"/>
      <c r="AC102" s="979"/>
      <c r="AD102" s="979"/>
      <c r="AE102" s="980"/>
      <c r="AF102" s="2547"/>
      <c r="AG102" s="2548"/>
      <c r="AH102" s="2548"/>
      <c r="AI102" s="2547"/>
      <c r="AJ102" s="2548"/>
      <c r="AK102" s="2548"/>
      <c r="AL102" s="1738"/>
      <c r="AM102" s="1581"/>
      <c r="AN102" s="1581"/>
      <c r="AO102" s="1581"/>
      <c r="AP102" s="1581"/>
      <c r="AQ102" s="1581"/>
      <c r="AR102" s="1581"/>
      <c r="AS102" s="1581"/>
      <c r="AT102" s="1581"/>
      <c r="AU102" s="1581"/>
      <c r="AV102" s="1581"/>
      <c r="AW102" s="1581"/>
      <c r="AX102" s="1581"/>
      <c r="AY102" s="1581"/>
      <c r="AZ102" s="1581"/>
      <c r="BA102" s="1581"/>
      <c r="BB102" s="1581"/>
      <c r="BC102" s="1581"/>
      <c r="BD102" s="1581"/>
      <c r="BE102" s="1581"/>
      <c r="BF102" s="1581"/>
    </row>
    <row r="103" spans="1:184" s="1423" customFormat="1" ht="11.25" customHeight="1">
      <c r="A103" s="967"/>
      <c r="B103" s="967"/>
      <c r="C103" s="967"/>
      <c r="D103" s="961"/>
      <c r="E103" s="971"/>
      <c r="F103" s="1587"/>
      <c r="G103" s="1588"/>
      <c r="H103" s="2534"/>
      <c r="I103" s="2544"/>
      <c r="J103" s="2545"/>
      <c r="K103" s="2546"/>
      <c r="L103" s="2276"/>
      <c r="M103" s="2277"/>
      <c r="N103" s="2549"/>
      <c r="O103" s="2550"/>
      <c r="P103" s="2552"/>
      <c r="Q103" s="2513"/>
      <c r="R103" s="2513"/>
      <c r="S103" s="2554"/>
      <c r="T103" s="2513"/>
      <c r="U103" s="2513"/>
      <c r="V103" s="2513"/>
      <c r="W103" s="2513"/>
      <c r="X103" s="2513"/>
      <c r="Y103" s="2513"/>
      <c r="Z103" s="1586"/>
      <c r="AA103" s="1553">
        <v>1</v>
      </c>
      <c r="AB103" s="978"/>
      <c r="AC103" s="970"/>
      <c r="AD103" s="978">
        <f>AB103</f>
        <v>0</v>
      </c>
      <c r="AE103" s="970"/>
      <c r="AF103" s="2547"/>
      <c r="AG103" s="2548"/>
      <c r="AH103" s="2548"/>
      <c r="AI103" s="2547"/>
      <c r="AJ103" s="2548"/>
      <c r="AK103" s="2548"/>
      <c r="AL103" s="1738"/>
      <c r="AM103" s="1581"/>
      <c r="AN103" s="1581"/>
      <c r="AO103" s="1581"/>
      <c r="AP103" s="1581"/>
      <c r="AQ103" s="1581"/>
      <c r="AR103" s="1581"/>
      <c r="AS103" s="1581"/>
      <c r="AT103" s="1581"/>
      <c r="AU103" s="1581"/>
      <c r="AV103" s="1581"/>
      <c r="AW103" s="1581"/>
      <c r="AX103" s="1581"/>
      <c r="AY103" s="1581"/>
      <c r="AZ103" s="1581"/>
      <c r="BA103" s="1581"/>
      <c r="BB103" s="1581"/>
      <c r="BC103" s="1581"/>
      <c r="BD103" s="1581"/>
      <c r="BE103" s="1581"/>
      <c r="BF103" s="1581"/>
    </row>
    <row r="104" spans="1:184" s="1423" customFormat="1" ht="11.25" customHeight="1">
      <c r="A104" s="967"/>
      <c r="B104" s="967"/>
      <c r="C104" s="967"/>
      <c r="D104" s="961"/>
      <c r="E104" s="971"/>
      <c r="F104" s="1587"/>
      <c r="G104" s="1588"/>
      <c r="H104" s="2534"/>
      <c r="I104" s="2544"/>
      <c r="J104" s="2545"/>
      <c r="K104" s="2546"/>
      <c r="L104" s="2276"/>
      <c r="M104" s="2277"/>
      <c r="N104" s="2549"/>
      <c r="O104" s="2550"/>
      <c r="P104" s="2553"/>
      <c r="Q104" s="2513"/>
      <c r="R104" s="2513"/>
      <c r="S104" s="2554"/>
      <c r="T104" s="2513"/>
      <c r="U104" s="2513"/>
      <c r="V104" s="2513"/>
      <c r="W104" s="2513"/>
      <c r="X104" s="2513"/>
      <c r="Y104" s="2513"/>
      <c r="Z104" s="974"/>
      <c r="AA104" s="975"/>
      <c r="AB104" s="1029" t="s">
        <v>1055</v>
      </c>
      <c r="AC104" s="979"/>
      <c r="AD104" s="979"/>
      <c r="AE104" s="981"/>
      <c r="AF104" s="2547"/>
      <c r="AG104" s="2548"/>
      <c r="AH104" s="2548"/>
      <c r="AI104" s="2547"/>
      <c r="AJ104" s="2548"/>
      <c r="AK104" s="2548"/>
      <c r="AL104" s="1738"/>
      <c r="AM104" s="1581"/>
      <c r="AN104" s="1581"/>
      <c r="AO104" s="1581"/>
      <c r="AP104" s="1581"/>
      <c r="AQ104" s="1581"/>
      <c r="AR104" s="1581"/>
      <c r="AS104" s="1581"/>
      <c r="AT104" s="1581"/>
      <c r="AU104" s="1581"/>
      <c r="AV104" s="1581"/>
      <c r="AW104" s="1581"/>
      <c r="AX104" s="1581"/>
      <c r="AY104" s="1581"/>
      <c r="AZ104" s="1581"/>
      <c r="BA104" s="1581"/>
      <c r="BB104" s="1581"/>
      <c r="BC104" s="1581"/>
      <c r="BD104" s="1581"/>
      <c r="BE104" s="1581"/>
      <c r="BF104" s="1581"/>
    </row>
    <row r="105" spans="1:184" s="1423" customFormat="1" ht="11.25" customHeight="1">
      <c r="A105" s="967"/>
      <c r="B105" s="967"/>
      <c r="C105" s="967"/>
      <c r="D105" s="961"/>
      <c r="E105" s="971"/>
      <c r="F105" s="1587"/>
      <c r="G105" s="1588"/>
      <c r="H105" s="2534"/>
      <c r="I105" s="2544"/>
      <c r="J105" s="2545"/>
      <c r="K105" s="2546"/>
      <c r="L105" s="2276"/>
      <c r="M105" s="2277"/>
      <c r="N105" s="974"/>
      <c r="O105" s="975"/>
      <c r="P105" s="969" t="s">
        <v>1056</v>
      </c>
      <c r="Q105" s="975"/>
      <c r="R105" s="975"/>
      <c r="S105" s="975"/>
      <c r="T105" s="975"/>
      <c r="U105" s="975"/>
      <c r="V105" s="975"/>
      <c r="W105" s="975"/>
      <c r="X105" s="975"/>
      <c r="Y105" s="975"/>
      <c r="Z105" s="975"/>
      <c r="AA105" s="975"/>
      <c r="AB105" s="975"/>
      <c r="AC105" s="975"/>
      <c r="AD105" s="975"/>
      <c r="AE105" s="982"/>
      <c r="AF105" s="2547"/>
      <c r="AG105" s="2548"/>
      <c r="AH105" s="2548"/>
      <c r="AI105" s="2547"/>
      <c r="AJ105" s="2548"/>
      <c r="AK105" s="2548"/>
      <c r="AL105" s="1738"/>
      <c r="AM105" s="1581"/>
      <c r="AN105" s="1581"/>
      <c r="AO105" s="1581"/>
      <c r="AP105" s="1581"/>
      <c r="AQ105" s="1581"/>
      <c r="AR105" s="1581"/>
      <c r="AS105" s="1581"/>
      <c r="AT105" s="1581"/>
      <c r="AU105" s="1581"/>
      <c r="AV105" s="1581"/>
      <c r="AW105" s="1581"/>
      <c r="AX105" s="1581"/>
      <c r="AY105" s="1581"/>
      <c r="AZ105" s="1581"/>
      <c r="BA105" s="1581"/>
      <c r="BB105" s="1581"/>
      <c r="BC105" s="1581"/>
      <c r="BD105" s="1581"/>
      <c r="BE105" s="1581"/>
      <c r="BF105" s="1581"/>
    </row>
    <row r="107" spans="1:184" s="1574" customFormat="1" ht="11.25" customHeight="1">
      <c r="A107" s="1574" t="s">
        <v>1983</v>
      </c>
    </row>
    <row r="108" spans="1:184" ht="17.25" customHeight="1"/>
    <row r="109" spans="1:184" s="801" customFormat="1" ht="21" customHeight="1">
      <c r="A109" s="968"/>
      <c r="B109" s="803"/>
      <c r="D109" s="800"/>
      <c r="E109" s="802" t="s">
        <v>9</v>
      </c>
      <c r="F109" s="950" t="e">
        <f>INDEX(IP_MAIN_LIST_NAME_IP,MATCH(A109,IP_MAIN_LIST_IP_ID,0))&amp;" ("&amp;INDEX(IP_MAIN_START_DATE,MATCH(A109,IP_MAIN_LIST_IP_ID,0))&amp;"-"&amp;INDEX(IP_MAIN_END_DATE,MATCH(A109,IP_MAIN_LIST_IP_ID,0))&amp;")"</f>
        <v>#REF!</v>
      </c>
      <c r="G109" s="991"/>
      <c r="H109" s="992"/>
      <c r="I109" s="992"/>
      <c r="J109" s="992"/>
      <c r="K109" s="992"/>
      <c r="L109" s="992"/>
      <c r="M109" s="992"/>
      <c r="N109" s="992"/>
      <c r="O109" s="991"/>
      <c r="P109" s="991"/>
      <c r="Q109" s="991"/>
      <c r="R109" s="991"/>
      <c r="S109" s="991"/>
      <c r="T109" s="991"/>
      <c r="U109" s="993"/>
      <c r="V109" s="993"/>
      <c r="W109" s="993"/>
      <c r="X109" s="993"/>
      <c r="Y109" s="993"/>
      <c r="Z109" s="993"/>
      <c r="AA109" s="993"/>
      <c r="AB109" s="991"/>
      <c r="AC109" s="992"/>
      <c r="AD109" s="992"/>
      <c r="AE109" s="992"/>
      <c r="AF109" s="992"/>
      <c r="AG109" s="992"/>
      <c r="AH109" s="992"/>
      <c r="AI109" s="992"/>
      <c r="AJ109" s="992"/>
      <c r="AK109" s="992"/>
      <c r="AL109" s="992"/>
      <c r="AM109" s="992"/>
      <c r="AN109" s="992"/>
      <c r="AO109" s="992"/>
      <c r="AP109" s="992"/>
      <c r="AQ109" s="992"/>
      <c r="AR109" s="992"/>
      <c r="AS109" s="992"/>
      <c r="AT109" s="992"/>
      <c r="AU109" s="992"/>
      <c r="AV109" s="992"/>
      <c r="AW109" s="992"/>
      <c r="AX109" s="992"/>
      <c r="AY109" s="992"/>
      <c r="AZ109" s="992"/>
      <c r="BA109" s="992"/>
      <c r="BB109" s="992"/>
      <c r="BC109" s="992"/>
      <c r="BD109" s="992"/>
      <c r="BE109" s="992"/>
      <c r="BF109" s="992"/>
      <c r="BG109" s="992"/>
      <c r="BH109" s="992"/>
      <c r="BI109" s="992"/>
      <c r="BJ109" s="992"/>
      <c r="BK109" s="992"/>
      <c r="BL109" s="992"/>
      <c r="BM109" s="992"/>
      <c r="BN109" s="992"/>
      <c r="BO109" s="992"/>
      <c r="BP109" s="992"/>
      <c r="BQ109" s="992"/>
      <c r="BR109" s="992"/>
      <c r="BS109" s="992"/>
      <c r="BT109" s="992"/>
      <c r="BU109" s="992"/>
      <c r="BV109" s="992"/>
      <c r="BW109" s="992"/>
      <c r="BX109" s="992"/>
      <c r="BY109" s="992"/>
      <c r="BZ109" s="992"/>
      <c r="CA109" s="992"/>
      <c r="CB109" s="992"/>
      <c r="CC109" s="992"/>
      <c r="CD109" s="992"/>
      <c r="CE109" s="992"/>
      <c r="CF109" s="992"/>
      <c r="CG109" s="992"/>
      <c r="CH109" s="992"/>
      <c r="CI109" s="992"/>
      <c r="CJ109" s="992"/>
      <c r="CK109" s="992"/>
      <c r="CL109" s="994"/>
      <c r="CM109" s="994"/>
      <c r="CN109" s="994"/>
      <c r="CO109" s="994"/>
      <c r="CP109" s="994"/>
      <c r="CQ109" s="994"/>
      <c r="CR109" s="994"/>
      <c r="CS109" s="994"/>
      <c r="CT109" s="994"/>
      <c r="CU109" s="994"/>
      <c r="CV109" s="994"/>
      <c r="CW109" s="994"/>
      <c r="CX109" s="994"/>
      <c r="CY109" s="994"/>
      <c r="CZ109" s="994"/>
      <c r="DA109" s="994"/>
      <c r="DB109" s="994"/>
      <c r="DC109" s="994"/>
      <c r="DD109" s="994"/>
      <c r="DE109" s="994"/>
      <c r="DF109" s="994"/>
      <c r="DG109" s="994"/>
      <c r="DH109" s="994"/>
      <c r="DI109" s="994"/>
      <c r="DJ109" s="994"/>
      <c r="DK109" s="994"/>
      <c r="DL109" s="994"/>
      <c r="DM109" s="994"/>
      <c r="DN109" s="994"/>
      <c r="DO109" s="994"/>
      <c r="DP109" s="994"/>
      <c r="DQ109" s="994"/>
      <c r="DR109" s="994"/>
      <c r="DS109" s="994"/>
      <c r="DT109" s="994"/>
      <c r="DU109" s="994"/>
      <c r="DV109" s="994"/>
      <c r="DW109" s="994"/>
      <c r="DX109" s="994"/>
      <c r="DY109" s="994"/>
      <c r="DZ109" s="994"/>
      <c r="EA109" s="994"/>
      <c r="EB109" s="994"/>
      <c r="EC109" s="994"/>
      <c r="ED109" s="994"/>
      <c r="EE109" s="994"/>
      <c r="EF109" s="994"/>
      <c r="EG109" s="994"/>
      <c r="EH109" s="994"/>
      <c r="EI109" s="994"/>
      <c r="EJ109" s="994"/>
      <c r="EK109" s="994"/>
      <c r="EL109" s="994"/>
      <c r="EM109" s="994"/>
      <c r="EN109" s="994"/>
      <c r="EO109" s="994"/>
      <c r="EP109" s="994"/>
      <c r="EQ109" s="994"/>
      <c r="ER109" s="994"/>
      <c r="ES109" s="994"/>
      <c r="ET109" s="994"/>
      <c r="EU109" s="994"/>
      <c r="EV109" s="994"/>
      <c r="EW109" s="994"/>
      <c r="EX109" s="994"/>
      <c r="EY109" s="994"/>
      <c r="EZ109" s="994"/>
      <c r="FA109" s="994"/>
      <c r="FB109" s="994"/>
      <c r="FC109" s="994"/>
      <c r="FD109" s="994"/>
      <c r="FE109" s="994"/>
      <c r="FF109" s="994"/>
      <c r="FG109" s="994"/>
      <c r="FH109" s="994"/>
      <c r="FI109" s="994"/>
      <c r="FJ109" s="994"/>
      <c r="FK109" s="994"/>
      <c r="FL109" s="994"/>
      <c r="FM109" s="994"/>
      <c r="FN109" s="994"/>
      <c r="FO109" s="994"/>
      <c r="FP109" s="994"/>
      <c r="FQ109" s="994"/>
      <c r="FR109" s="994"/>
      <c r="FS109" s="994"/>
      <c r="FT109" s="994"/>
      <c r="FU109" s="994"/>
      <c r="FV109" s="995"/>
      <c r="FW109" s="989"/>
      <c r="FX109" s="990"/>
    </row>
    <row r="110" spans="1:184" s="801" customFormat="1" ht="24.75" customHeight="1">
      <c r="B110" s="799"/>
      <c r="C110" s="800"/>
      <c r="D110" s="800"/>
      <c r="E110" s="1591"/>
      <c r="F110" s="996">
        <v>1</v>
      </c>
      <c r="G110" s="997"/>
      <c r="H110" s="998"/>
      <c r="I110" s="1732"/>
      <c r="J110" s="999"/>
      <c r="K110" s="999"/>
      <c r="L110" s="999"/>
      <c r="M110" s="999"/>
      <c r="N110" s="999"/>
      <c r="O110" s="1000"/>
      <c r="P110" s="1000"/>
      <c r="Q110" s="1000"/>
      <c r="R110" s="1000"/>
      <c r="S110" s="1000"/>
      <c r="T110" s="1000"/>
      <c r="U110" s="1000"/>
      <c r="V110" s="1000"/>
      <c r="W110" s="1000"/>
      <c r="X110" s="1000"/>
      <c r="Y110" s="1000"/>
      <c r="Z110" s="1000"/>
      <c r="AA110" s="1000"/>
      <c r="AB110" s="1000"/>
      <c r="AC110" s="999"/>
      <c r="AD110" s="999"/>
      <c r="AE110" s="999"/>
      <c r="AF110" s="999"/>
      <c r="AG110" s="999"/>
      <c r="AH110" s="999"/>
      <c r="AI110" s="999"/>
      <c r="AJ110" s="999"/>
      <c r="AK110" s="999"/>
      <c r="AL110" s="999"/>
      <c r="AM110" s="999"/>
      <c r="AN110" s="999"/>
      <c r="AO110" s="999"/>
      <c r="AP110" s="999"/>
      <c r="AQ110" s="999"/>
      <c r="AR110" s="999"/>
      <c r="AS110" s="999"/>
      <c r="AT110" s="999"/>
      <c r="AU110" s="999"/>
      <c r="AV110" s="999"/>
      <c r="AW110" s="999"/>
      <c r="AX110" s="999"/>
      <c r="AY110" s="999"/>
      <c r="AZ110" s="999"/>
      <c r="BA110" s="999"/>
      <c r="BB110" s="999"/>
      <c r="BC110" s="999"/>
      <c r="BD110" s="999"/>
      <c r="BE110" s="999"/>
      <c r="BF110" s="999"/>
      <c r="BG110" s="999"/>
      <c r="BH110" s="999"/>
      <c r="BI110" s="999"/>
      <c r="BJ110" s="999"/>
      <c r="BK110" s="999"/>
      <c r="BL110" s="999"/>
      <c r="BM110" s="999"/>
      <c r="BN110" s="999"/>
      <c r="BO110" s="999"/>
      <c r="BP110" s="999"/>
      <c r="BQ110" s="999"/>
      <c r="BR110" s="999"/>
      <c r="BS110" s="999"/>
      <c r="BT110" s="1000"/>
      <c r="BU110" s="1000"/>
      <c r="BV110" s="1000"/>
      <c r="BW110" s="1000"/>
      <c r="BX110" s="1000"/>
      <c r="BY110" s="1000"/>
      <c r="BZ110" s="1000"/>
      <c r="CA110" s="1000"/>
      <c r="CB110" s="1000"/>
      <c r="CC110" s="1000"/>
      <c r="CD110" s="1000"/>
      <c r="CE110" s="1000"/>
      <c r="CF110" s="1000"/>
      <c r="CG110" s="1000"/>
      <c r="CH110" s="1000"/>
      <c r="CI110" s="1000"/>
      <c r="CJ110" s="1000"/>
      <c r="CK110" s="1000"/>
      <c r="CL110" s="999"/>
      <c r="CM110" s="999"/>
      <c r="CN110" s="999"/>
      <c r="CO110" s="999"/>
      <c r="CP110" s="999"/>
      <c r="CQ110" s="999"/>
      <c r="CR110" s="999"/>
      <c r="CS110" s="999"/>
      <c r="CT110" s="999"/>
      <c r="CU110" s="999"/>
      <c r="CV110" s="999"/>
      <c r="CW110" s="999"/>
      <c r="CX110" s="999"/>
      <c r="CY110" s="1000"/>
      <c r="CZ110" s="1000"/>
      <c r="DA110" s="1000"/>
      <c r="DB110" s="1000"/>
      <c r="DC110" s="1000"/>
      <c r="DD110" s="1000"/>
      <c r="DE110" s="1000"/>
      <c r="DF110" s="1000"/>
      <c r="DG110" s="1000"/>
      <c r="DH110" s="1000"/>
      <c r="DI110" s="1000"/>
      <c r="DJ110" s="1000"/>
      <c r="DK110" s="999"/>
      <c r="DL110" s="999"/>
      <c r="DM110" s="999"/>
      <c r="DN110" s="999"/>
      <c r="DO110" s="999"/>
      <c r="DP110" s="999"/>
      <c r="DQ110" s="999"/>
      <c r="DR110" s="999"/>
      <c r="DS110" s="999"/>
      <c r="DT110" s="999"/>
      <c r="DU110" s="999"/>
      <c r="DV110" s="999"/>
      <c r="DW110" s="999"/>
      <c r="DX110" s="999"/>
      <c r="DY110" s="999"/>
      <c r="DZ110" s="999"/>
      <c r="EA110" s="999"/>
      <c r="EB110" s="999"/>
      <c r="EC110" s="999"/>
      <c r="ED110" s="999"/>
      <c r="EE110" s="999"/>
      <c r="EF110" s="999"/>
      <c r="EG110" s="999"/>
      <c r="EH110" s="999"/>
      <c r="EI110" s="999"/>
      <c r="EJ110" s="999"/>
      <c r="EK110" s="999"/>
      <c r="EL110" s="999"/>
      <c r="EM110" s="999"/>
      <c r="EN110" s="999"/>
      <c r="EO110" s="999"/>
      <c r="EP110" s="999"/>
      <c r="EQ110" s="999"/>
      <c r="ER110" s="999"/>
      <c r="ES110" s="999"/>
      <c r="ET110" s="999"/>
      <c r="EU110" s="999"/>
      <c r="EV110" s="999"/>
      <c r="EW110" s="999"/>
      <c r="EX110" s="999"/>
      <c r="EY110" s="999"/>
      <c r="EZ110" s="999"/>
      <c r="FA110" s="999"/>
      <c r="FB110" s="999"/>
      <c r="FC110" s="999"/>
      <c r="FD110" s="999"/>
      <c r="FE110" s="999"/>
      <c r="FF110" s="999"/>
      <c r="FG110" s="999"/>
      <c r="FH110" s="999"/>
      <c r="FI110" s="999"/>
      <c r="FJ110" s="999"/>
      <c r="FK110" s="999"/>
      <c r="FL110" s="999"/>
      <c r="FM110" s="999"/>
      <c r="FN110" s="999"/>
      <c r="FO110" s="999"/>
      <c r="FP110" s="999"/>
      <c r="FQ110" s="999"/>
      <c r="FR110" s="999"/>
      <c r="FS110" s="999"/>
      <c r="FT110" s="999"/>
      <c r="FU110" s="999"/>
      <c r="FV110" s="999"/>
      <c r="FW110" s="999"/>
      <c r="FX110" s="990"/>
    </row>
    <row r="111" spans="1:184" s="801" customFormat="1" ht="12" customHeight="1">
      <c r="A111" s="800"/>
      <c r="B111" s="799"/>
      <c r="C111" s="800"/>
      <c r="D111" s="800"/>
      <c r="E111" s="800"/>
      <c r="F111" s="1001"/>
      <c r="G111" s="1559" t="s">
        <v>1192</v>
      </c>
      <c r="H111" s="1002"/>
      <c r="I111" s="1002"/>
      <c r="J111" s="1002"/>
      <c r="K111" s="1002"/>
      <c r="L111" s="1002"/>
      <c r="M111" s="1002"/>
      <c r="N111" s="1002"/>
      <c r="O111" s="1002"/>
      <c r="P111" s="1002"/>
      <c r="Q111" s="1002"/>
      <c r="R111" s="1002"/>
      <c r="S111" s="1002"/>
      <c r="T111" s="1002"/>
      <c r="U111" s="1002"/>
      <c r="V111" s="1002"/>
      <c r="W111" s="1002"/>
      <c r="X111" s="1002"/>
      <c r="Y111" s="1002"/>
      <c r="Z111" s="1002"/>
      <c r="AA111" s="1002"/>
      <c r="AB111" s="1002"/>
      <c r="AC111" s="1002"/>
      <c r="AD111" s="1002"/>
      <c r="AE111" s="1002"/>
      <c r="AF111" s="1002"/>
      <c r="AG111" s="1002"/>
      <c r="AH111" s="1002"/>
      <c r="AI111" s="1002"/>
      <c r="AJ111" s="1002"/>
      <c r="AK111" s="1002"/>
      <c r="AL111" s="1002"/>
      <c r="AM111" s="1002"/>
      <c r="AN111" s="1002"/>
      <c r="AO111" s="1002"/>
      <c r="AP111" s="1002"/>
      <c r="AQ111" s="1002"/>
      <c r="AR111" s="1002"/>
      <c r="AS111" s="1002"/>
      <c r="AT111" s="1002"/>
      <c r="AU111" s="1002"/>
      <c r="AV111" s="1002"/>
      <c r="AW111" s="1002"/>
      <c r="AX111" s="1002"/>
      <c r="AY111" s="1002"/>
      <c r="AZ111" s="1002"/>
      <c r="BA111" s="1002"/>
      <c r="BB111" s="1002"/>
      <c r="BC111" s="1002"/>
      <c r="BD111" s="1002"/>
      <c r="BE111" s="1002"/>
      <c r="BF111" s="1002"/>
      <c r="BG111" s="1002"/>
      <c r="BH111" s="1002"/>
      <c r="BI111" s="1002"/>
      <c r="BJ111" s="1002"/>
      <c r="BK111" s="1002"/>
      <c r="BL111" s="1002"/>
      <c r="BM111" s="1002"/>
      <c r="BN111" s="1002"/>
      <c r="BO111" s="1002"/>
      <c r="BP111" s="1002"/>
      <c r="BQ111" s="1002"/>
      <c r="BR111" s="1002"/>
      <c r="BS111" s="1002"/>
      <c r="BT111" s="1002"/>
      <c r="BU111" s="1002"/>
      <c r="BV111" s="1002"/>
      <c r="BW111" s="1002"/>
      <c r="BX111" s="1002"/>
      <c r="BY111" s="1002"/>
      <c r="BZ111" s="1002"/>
      <c r="CA111" s="1002"/>
      <c r="CB111" s="1002"/>
      <c r="CC111" s="1002"/>
      <c r="CD111" s="1002"/>
      <c r="CE111" s="1002"/>
      <c r="CF111" s="1002"/>
      <c r="CG111" s="1002"/>
      <c r="CH111" s="1002"/>
      <c r="CI111" s="1002"/>
      <c r="CJ111" s="1002"/>
      <c r="CK111" s="1002"/>
      <c r="CL111" s="1002"/>
      <c r="CM111" s="1002"/>
      <c r="CN111" s="1002"/>
      <c r="CO111" s="1002"/>
      <c r="CP111" s="1002"/>
      <c r="CQ111" s="1002"/>
      <c r="CR111" s="1002"/>
      <c r="CS111" s="1002"/>
      <c r="CT111" s="1002"/>
      <c r="CU111" s="1002"/>
      <c r="CV111" s="1002"/>
      <c r="CW111" s="1002"/>
      <c r="CX111" s="1002"/>
      <c r="CY111" s="1002"/>
      <c r="CZ111" s="1002"/>
      <c r="DA111" s="1002"/>
      <c r="DB111" s="1002"/>
      <c r="DC111" s="1002"/>
      <c r="DD111" s="1002"/>
      <c r="DE111" s="1002"/>
      <c r="DF111" s="1002"/>
      <c r="DG111" s="1002"/>
      <c r="DH111" s="1002"/>
      <c r="DI111" s="1002"/>
      <c r="DJ111" s="1002"/>
      <c r="DK111" s="1002"/>
      <c r="DL111" s="1002"/>
      <c r="DM111" s="1002"/>
      <c r="DN111" s="1002"/>
      <c r="DO111" s="1002"/>
      <c r="DP111" s="1002"/>
      <c r="DQ111" s="1002"/>
      <c r="DR111" s="1002"/>
      <c r="DS111" s="1002"/>
      <c r="DT111" s="1002"/>
      <c r="DU111" s="1002"/>
      <c r="DV111" s="1002"/>
      <c r="DW111" s="1002"/>
      <c r="DX111" s="1002"/>
      <c r="DY111" s="1002"/>
      <c r="DZ111" s="1002"/>
      <c r="EA111" s="1002"/>
      <c r="EB111" s="1002"/>
      <c r="EC111" s="1002"/>
      <c r="ED111" s="1002"/>
      <c r="EE111" s="1002"/>
      <c r="EF111" s="1002"/>
      <c r="EG111" s="1002"/>
      <c r="EH111" s="1002"/>
      <c r="EI111" s="1002"/>
      <c r="EJ111" s="1002"/>
      <c r="EK111" s="1002"/>
      <c r="EL111" s="1002"/>
      <c r="EM111" s="1002"/>
      <c r="EN111" s="1002"/>
      <c r="EO111" s="1002"/>
      <c r="EP111" s="1002"/>
      <c r="EQ111" s="1002"/>
      <c r="ER111" s="1002"/>
      <c r="ES111" s="1002"/>
      <c r="ET111" s="1002"/>
      <c r="EU111" s="1002"/>
      <c r="EV111" s="1002"/>
      <c r="EW111" s="1002"/>
      <c r="EX111" s="1002"/>
      <c r="EY111" s="1002"/>
      <c r="EZ111" s="1002"/>
      <c r="FA111" s="1002"/>
      <c r="FB111" s="1002"/>
      <c r="FC111" s="1002"/>
      <c r="FD111" s="1002"/>
      <c r="FE111" s="1002"/>
      <c r="FF111" s="1002"/>
      <c r="FG111" s="1002"/>
      <c r="FH111" s="1002"/>
      <c r="FI111" s="1002"/>
      <c r="FJ111" s="1002"/>
      <c r="FK111" s="1002"/>
      <c r="FL111" s="1002"/>
      <c r="FM111" s="1002"/>
      <c r="FN111" s="1002"/>
      <c r="FO111" s="1002"/>
      <c r="FP111" s="1002"/>
      <c r="FQ111" s="1002"/>
      <c r="FR111" s="1002"/>
      <c r="FS111" s="1002"/>
      <c r="FT111" s="1002"/>
      <c r="FU111" s="1002"/>
      <c r="FV111" s="1002"/>
      <c r="FW111" s="1003"/>
      <c r="FX111" s="1004"/>
      <c r="FY111" s="804"/>
      <c r="FZ111" s="804"/>
      <c r="GA111" s="804"/>
      <c r="GB111" s="804"/>
    </row>
    <row r="113" spans="1:83" s="1574" customFormat="1" ht="11.25" customHeight="1">
      <c r="A113" s="1574" t="s">
        <v>1984</v>
      </c>
    </row>
    <row r="115" spans="1:83" s="1606" customFormat="1" ht="15" customHeight="1">
      <c r="A115" s="554"/>
      <c r="B115" s="555"/>
      <c r="C115" s="555"/>
      <c r="D115" s="2498" t="s">
        <v>161</v>
      </c>
      <c r="E115" s="2495" t="s">
        <v>157</v>
      </c>
      <c r="F115" s="2496"/>
      <c r="G115" s="2497"/>
      <c r="H115" s="2491" t="str">
        <f>IF(A115="","",INDEX(DIFFERENTIATION_UNMERGE_VD,MATCH(A115,DIFFERENTIATION_ID_DIFF,0)))</f>
        <v/>
      </c>
      <c r="I115" s="2491"/>
      <c r="J115" s="2491"/>
      <c r="K115" s="2491"/>
      <c r="L115" s="2491"/>
      <c r="M115" s="2491"/>
      <c r="N115" s="2491"/>
      <c r="O115" s="2491"/>
      <c r="P115" s="2491"/>
      <c r="Q115" s="2491"/>
      <c r="R115" s="2491"/>
      <c r="S115" s="637"/>
      <c r="T115" s="634"/>
      <c r="U115" s="556"/>
      <c r="V115" s="556"/>
      <c r="W115" s="557"/>
      <c r="X115" s="557"/>
      <c r="Y115" s="557"/>
      <c r="Z115" s="557"/>
      <c r="AA115" s="558"/>
      <c r="AB115" s="559"/>
      <c r="AC115" s="2494"/>
      <c r="AD115" s="560"/>
      <c r="AE115" s="561" t="s">
        <v>9</v>
      </c>
      <c r="AF115" s="561"/>
      <c r="AG115" s="562" t="s">
        <v>704</v>
      </c>
      <c r="AH115" s="563">
        <v>3</v>
      </c>
      <c r="AI115" s="556"/>
      <c r="AJ115" s="556"/>
      <c r="AK115" s="556"/>
      <c r="AL115" s="556"/>
      <c r="AM115" s="556"/>
      <c r="AN115" s="556"/>
      <c r="AO115" s="556"/>
      <c r="AP115" s="556"/>
      <c r="AQ115" s="556"/>
      <c r="AR115" s="556"/>
      <c r="AS115" s="556"/>
      <c r="AT115" s="556"/>
      <c r="AU115" s="556"/>
      <c r="AV115" s="556"/>
      <c r="AW115" s="556"/>
      <c r="AX115" s="556"/>
      <c r="AY115" s="556"/>
      <c r="AZ115" s="556"/>
      <c r="BA115" s="556"/>
      <c r="BB115" s="556"/>
      <c r="BC115" s="556"/>
      <c r="BD115" s="556"/>
      <c r="BE115" s="556"/>
      <c r="BF115" s="556"/>
      <c r="BG115" s="556"/>
      <c r="BH115" s="556"/>
      <c r="BI115" s="556"/>
      <c r="BJ115" s="556"/>
      <c r="BK115" s="556"/>
      <c r="BL115" s="556"/>
      <c r="BM115" s="556"/>
      <c r="BN115" s="556"/>
      <c r="BO115" s="556"/>
      <c r="BP115" s="556"/>
      <c r="BQ115" s="556"/>
      <c r="BR115" s="556"/>
      <c r="BS115" s="556"/>
      <c r="BT115" s="556"/>
      <c r="BU115" s="556"/>
      <c r="BV115" s="557"/>
      <c r="BW115" s="557"/>
      <c r="BX115" s="557"/>
      <c r="BY115" s="557"/>
      <c r="BZ115" s="557"/>
      <c r="CA115" s="557"/>
      <c r="CB115" s="557"/>
      <c r="CC115" s="557"/>
      <c r="CD115" s="557"/>
      <c r="CE115" s="557"/>
    </row>
    <row r="116" spans="1:83" s="1606" customFormat="1" ht="15" customHeight="1">
      <c r="A116" s="554"/>
      <c r="B116" s="555"/>
      <c r="C116" s="555"/>
      <c r="D116" s="2499"/>
      <c r="E116" s="2495" t="s">
        <v>648</v>
      </c>
      <c r="F116" s="2496"/>
      <c r="G116" s="2497"/>
      <c r="H116" s="2491" t="str">
        <f>IF(A115="","",INDEX(DIFFERENTIATION_UNMERGE_AREA,MATCH(A115,DIFFERENTIATION_ID_DIFF,0)))</f>
        <v/>
      </c>
      <c r="I116" s="2491"/>
      <c r="J116" s="2491"/>
      <c r="K116" s="2491"/>
      <c r="L116" s="2491"/>
      <c r="M116" s="2491"/>
      <c r="N116" s="2491"/>
      <c r="O116" s="2491"/>
      <c r="P116" s="2491"/>
      <c r="Q116" s="2491"/>
      <c r="R116" s="2491"/>
      <c r="S116" s="637"/>
      <c r="T116" s="634"/>
      <c r="U116" s="556"/>
      <c r="V116" s="556"/>
      <c r="W116" s="557"/>
      <c r="X116" s="557"/>
      <c r="Y116" s="557"/>
      <c r="Z116" s="557"/>
      <c r="AA116" s="558"/>
      <c r="AB116" s="559"/>
      <c r="AC116" s="2494"/>
      <c r="AD116" s="560"/>
      <c r="AE116" s="561"/>
      <c r="AF116" s="561"/>
      <c r="AG116" s="562"/>
      <c r="AH116" s="563"/>
      <c r="AI116" s="556"/>
      <c r="AJ116" s="556"/>
      <c r="AK116" s="556"/>
      <c r="AL116" s="556"/>
      <c r="AM116" s="556"/>
      <c r="AN116" s="556"/>
      <c r="AO116" s="556"/>
      <c r="AP116" s="556"/>
      <c r="AQ116" s="556"/>
      <c r="AR116" s="556"/>
      <c r="AS116" s="556"/>
      <c r="AT116" s="556"/>
      <c r="AU116" s="556"/>
      <c r="AV116" s="556"/>
      <c r="AW116" s="556"/>
      <c r="AX116" s="556"/>
      <c r="AY116" s="556"/>
      <c r="AZ116" s="556"/>
      <c r="BA116" s="556"/>
      <c r="BB116" s="556"/>
      <c r="BC116" s="556"/>
      <c r="BD116" s="556"/>
      <c r="BE116" s="556"/>
      <c r="BF116" s="556"/>
      <c r="BG116" s="556"/>
      <c r="BH116" s="556"/>
      <c r="BI116" s="556"/>
      <c r="BJ116" s="556"/>
      <c r="BK116" s="556"/>
      <c r="BL116" s="556"/>
      <c r="BM116" s="556"/>
      <c r="BN116" s="556"/>
      <c r="BO116" s="556"/>
      <c r="BP116" s="556"/>
      <c r="BQ116" s="556"/>
      <c r="BR116" s="556"/>
      <c r="BS116" s="556"/>
      <c r="BT116" s="556"/>
      <c r="BU116" s="556"/>
      <c r="BV116" s="557"/>
      <c r="BW116" s="557"/>
      <c r="BX116" s="557"/>
      <c r="BY116" s="557"/>
      <c r="BZ116" s="557"/>
      <c r="CA116" s="557"/>
      <c r="CB116" s="557"/>
      <c r="CC116" s="557"/>
      <c r="CD116" s="557"/>
      <c r="CE116" s="557"/>
    </row>
    <row r="117" spans="1:83" s="1606" customFormat="1" ht="15" customHeight="1">
      <c r="A117" s="554"/>
      <c r="B117" s="555"/>
      <c r="C117" s="555"/>
      <c r="D117" s="2499"/>
      <c r="E117" s="2495" t="s">
        <v>649</v>
      </c>
      <c r="F117" s="2496"/>
      <c r="G117" s="2497"/>
      <c r="H117" s="2491" t="str">
        <f>IF(A115="","",INDEX(DIFFERENTIATION_UNMERGE_SYSTEM,MATCH(A115,DIFFERENTIATION_ID_DIFF,0)))</f>
        <v/>
      </c>
      <c r="I117" s="2491"/>
      <c r="J117" s="2491"/>
      <c r="K117" s="2491"/>
      <c r="L117" s="2491"/>
      <c r="M117" s="2491"/>
      <c r="N117" s="2491"/>
      <c r="O117" s="2491"/>
      <c r="P117" s="2491"/>
      <c r="Q117" s="2491"/>
      <c r="R117" s="2491"/>
      <c r="S117" s="637"/>
      <c r="T117" s="634"/>
      <c r="U117" s="556"/>
      <c r="V117" s="556"/>
      <c r="W117" s="557"/>
      <c r="X117" s="557"/>
      <c r="Y117" s="557"/>
      <c r="Z117" s="557"/>
      <c r="AA117" s="558"/>
      <c r="AB117" s="559"/>
      <c r="AC117" s="2494"/>
      <c r="AD117" s="560"/>
      <c r="AE117" s="561"/>
      <c r="AF117" s="561"/>
      <c r="AG117" s="562"/>
      <c r="AH117" s="563"/>
      <c r="AI117" s="556"/>
      <c r="AJ117" s="556"/>
      <c r="AK117" s="556"/>
      <c r="AL117" s="556"/>
      <c r="AM117" s="556"/>
      <c r="AN117" s="556"/>
      <c r="AO117" s="556"/>
      <c r="AP117" s="556"/>
      <c r="AQ117" s="556"/>
      <c r="AR117" s="556"/>
      <c r="AS117" s="556"/>
      <c r="AT117" s="556"/>
      <c r="AU117" s="556"/>
      <c r="AV117" s="556"/>
      <c r="AW117" s="556"/>
      <c r="AX117" s="556"/>
      <c r="AY117" s="556"/>
      <c r="AZ117" s="556"/>
      <c r="BA117" s="556"/>
      <c r="BB117" s="556"/>
      <c r="BC117" s="556"/>
      <c r="BD117" s="556"/>
      <c r="BE117" s="556"/>
      <c r="BF117" s="556"/>
      <c r="BG117" s="556"/>
      <c r="BH117" s="556"/>
      <c r="BI117" s="556"/>
      <c r="BJ117" s="556"/>
      <c r="BK117" s="556"/>
      <c r="BL117" s="556"/>
      <c r="BM117" s="556"/>
      <c r="BN117" s="556"/>
      <c r="BO117" s="556"/>
      <c r="BP117" s="556"/>
      <c r="BQ117" s="556"/>
      <c r="BR117" s="556"/>
      <c r="BS117" s="556"/>
      <c r="BT117" s="556"/>
      <c r="BU117" s="556"/>
      <c r="BV117" s="557"/>
      <c r="BW117" s="557"/>
      <c r="BX117" s="557"/>
      <c r="BY117" s="557"/>
      <c r="BZ117" s="557"/>
      <c r="CA117" s="557"/>
      <c r="CB117" s="557"/>
      <c r="CC117" s="557"/>
      <c r="CD117" s="557"/>
      <c r="CE117" s="557"/>
    </row>
    <row r="118" spans="1:83" s="1606" customFormat="1" ht="24.75" customHeight="1">
      <c r="A118" s="1565"/>
      <c r="B118" s="961"/>
      <c r="C118" s="345"/>
      <c r="D118" s="2499"/>
      <c r="E118" s="2493" t="s">
        <v>705</v>
      </c>
      <c r="F118" s="2493"/>
      <c r="G118" s="2493"/>
      <c r="H118" s="2493"/>
      <c r="I118" s="2493"/>
      <c r="J118" s="2493"/>
      <c r="K118" s="2493"/>
      <c r="L118" s="2493"/>
      <c r="M118" s="2493"/>
      <c r="N118" s="2493"/>
      <c r="O118" s="2493"/>
      <c r="P118" s="2493"/>
      <c r="Q118" s="490">
        <f>SUMIF(T119:T120,"i",Q119:Q120)</f>
        <v>0</v>
      </c>
      <c r="R118" s="869"/>
      <c r="S118" s="1557" t="s">
        <v>706</v>
      </c>
      <c r="T118" s="635" t="s">
        <v>707</v>
      </c>
      <c r="U118" s="2399">
        <v>1</v>
      </c>
      <c r="V118" s="2399" t="e">
        <f>INDEX(B_FHD_FLAG_INDEX_1,1,MATCH(A115,B_FHD_FLAG_DIFFERENTIATION,0))</f>
        <v>#N/A</v>
      </c>
      <c r="W118" s="961"/>
      <c r="X118" s="961"/>
      <c r="Y118" s="961"/>
      <c r="Z118" s="961"/>
      <c r="AA118" s="1424"/>
      <c r="AB118" s="961"/>
      <c r="AC118" s="2494"/>
      <c r="AD118" s="560"/>
      <c r="AE118" s="961"/>
      <c r="AF118" s="961"/>
      <c r="AG118" s="1424"/>
      <c r="AH118" s="1424"/>
      <c r="AI118" s="1424"/>
      <c r="AJ118" s="1424"/>
      <c r="AK118" s="1424"/>
      <c r="AL118" s="1424"/>
      <c r="AM118" s="1424"/>
      <c r="AN118" s="1424"/>
      <c r="AO118" s="1424"/>
      <c r="AP118" s="1424"/>
      <c r="AQ118" s="1424"/>
      <c r="AR118" s="1424"/>
      <c r="AS118" s="1424"/>
      <c r="AT118" s="1424"/>
      <c r="AU118" s="1424"/>
      <c r="AV118" s="1424"/>
      <c r="AW118" s="1424"/>
      <c r="AX118" s="1424"/>
      <c r="AY118" s="1424"/>
      <c r="AZ118" s="1424"/>
      <c r="BA118" s="1424"/>
      <c r="BB118" s="1424"/>
      <c r="BC118" s="1424"/>
      <c r="BD118" s="1424"/>
      <c r="BE118" s="1424"/>
      <c r="BF118" s="1424"/>
      <c r="BG118" s="1424"/>
      <c r="BH118" s="1424"/>
      <c r="BI118" s="1424"/>
      <c r="BJ118" s="1424"/>
      <c r="BK118" s="1424"/>
      <c r="BL118" s="1424"/>
      <c r="BM118" s="1424"/>
      <c r="BN118" s="1424"/>
      <c r="BO118" s="1424"/>
      <c r="BP118" s="1424"/>
      <c r="BQ118" s="1424"/>
      <c r="BR118" s="1424"/>
      <c r="BS118" s="1424"/>
      <c r="BT118" s="1424"/>
      <c r="BU118" s="1424"/>
      <c r="BV118" s="961"/>
      <c r="BW118" s="961"/>
      <c r="BX118" s="961"/>
      <c r="BY118" s="961"/>
      <c r="BZ118" s="961"/>
      <c r="CA118" s="961"/>
      <c r="CB118" s="961"/>
      <c r="CC118" s="961"/>
      <c r="CD118" s="961"/>
      <c r="CE118" s="961"/>
    </row>
    <row r="119" spans="1:83" s="1606" customFormat="1" ht="11.25" hidden="1" customHeight="1">
      <c r="A119" s="1552"/>
      <c r="B119" s="1424"/>
      <c r="C119" s="1424"/>
      <c r="D119" s="2499"/>
      <c r="E119" s="566"/>
      <c r="F119" s="566">
        <v>0</v>
      </c>
      <c r="G119" s="566"/>
      <c r="H119" s="566"/>
      <c r="I119" s="566"/>
      <c r="J119" s="566"/>
      <c r="K119" s="566"/>
      <c r="L119" s="566"/>
      <c r="M119" s="566"/>
      <c r="N119" s="566"/>
      <c r="O119" s="566"/>
      <c r="P119" s="566"/>
      <c r="Q119" s="566"/>
      <c r="R119" s="566"/>
      <c r="S119" s="567"/>
      <c r="T119" s="636"/>
      <c r="U119" s="2399"/>
      <c r="V119" s="2399"/>
      <c r="W119" s="1424"/>
      <c r="X119" s="1424"/>
      <c r="Y119" s="1424"/>
      <c r="Z119" s="1424"/>
      <c r="AA119" s="1424"/>
      <c r="AB119" s="961"/>
      <c r="AC119" s="2494"/>
      <c r="AD119" s="560"/>
      <c r="AE119" s="961"/>
      <c r="AF119" s="961"/>
      <c r="AG119" s="1424"/>
      <c r="AH119" s="1424"/>
      <c r="AI119" s="1424"/>
      <c r="AJ119" s="1424"/>
      <c r="AK119" s="1424"/>
      <c r="AL119" s="1424"/>
      <c r="AM119" s="1424"/>
      <c r="AN119" s="1424"/>
      <c r="AO119" s="1424"/>
      <c r="AP119" s="1424"/>
      <c r="AQ119" s="1424"/>
      <c r="AR119" s="1424"/>
      <c r="AS119" s="1424"/>
      <c r="AT119" s="1424"/>
      <c r="AU119" s="1424"/>
      <c r="AV119" s="1424"/>
      <c r="AW119" s="1424"/>
      <c r="AX119" s="1424"/>
      <c r="AY119" s="1424"/>
      <c r="AZ119" s="1424"/>
      <c r="BA119" s="1424"/>
      <c r="BB119" s="1424"/>
      <c r="BC119" s="1424"/>
      <c r="BD119" s="1424"/>
      <c r="BE119" s="1424"/>
      <c r="BF119" s="1424"/>
      <c r="BG119" s="1424"/>
      <c r="BH119" s="1424"/>
      <c r="BI119" s="1424"/>
      <c r="BJ119" s="1424"/>
      <c r="BK119" s="1424"/>
      <c r="BL119" s="1424"/>
      <c r="BM119" s="1424"/>
      <c r="BN119" s="1424"/>
      <c r="BO119" s="1424"/>
      <c r="BP119" s="1424"/>
      <c r="BQ119" s="1424"/>
      <c r="BR119" s="1424"/>
      <c r="BS119" s="1424"/>
      <c r="BT119" s="1424"/>
      <c r="BU119" s="1424"/>
      <c r="BV119" s="1424"/>
      <c r="BW119" s="1424"/>
      <c r="BX119" s="1424"/>
      <c r="BY119" s="1424"/>
      <c r="BZ119" s="1424"/>
      <c r="CA119" s="1424"/>
      <c r="CB119" s="1424"/>
      <c r="CC119" s="1424"/>
      <c r="CD119" s="1424"/>
      <c r="CE119" s="1424"/>
    </row>
    <row r="120" spans="1:83" s="1606" customFormat="1" ht="11.25" customHeight="1">
      <c r="A120" s="1565"/>
      <c r="B120" s="961"/>
      <c r="C120" s="345"/>
      <c r="D120" s="2499"/>
      <c r="E120" s="580" t="s">
        <v>9</v>
      </c>
      <c r="F120" s="969" t="s">
        <v>9</v>
      </c>
      <c r="G120" s="969" t="s">
        <v>710</v>
      </c>
      <c r="H120" s="582" t="s">
        <v>9</v>
      </c>
      <c r="I120" s="582"/>
      <c r="J120" s="582"/>
      <c r="K120" s="582"/>
      <c r="L120" s="582"/>
      <c r="M120" s="582"/>
      <c r="N120" s="582"/>
      <c r="O120" s="582"/>
      <c r="P120" s="582"/>
      <c r="Q120" s="582"/>
      <c r="R120" s="583"/>
      <c r="S120" s="584"/>
      <c r="T120" s="636"/>
      <c r="U120" s="2399"/>
      <c r="V120" s="2399"/>
      <c r="W120" s="961"/>
      <c r="X120" s="961"/>
      <c r="Y120" s="961"/>
      <c r="Z120" s="961"/>
      <c r="AA120" s="1424"/>
      <c r="AB120" s="961"/>
      <c r="AC120" s="2494"/>
      <c r="AD120" s="560"/>
      <c r="AE120" s="961"/>
      <c r="AF120" s="961"/>
      <c r="AG120" s="1424"/>
      <c r="AH120" s="1424"/>
      <c r="AI120" s="1424"/>
      <c r="AJ120" s="1424"/>
      <c r="AK120" s="1424"/>
      <c r="AL120" s="1424"/>
      <c r="AM120" s="1424"/>
      <c r="AN120" s="1424"/>
      <c r="AO120" s="1424"/>
      <c r="AP120" s="1424"/>
      <c r="AQ120" s="1424"/>
      <c r="AR120" s="1424"/>
      <c r="AS120" s="1424"/>
      <c r="AT120" s="1424"/>
      <c r="AU120" s="1424"/>
      <c r="AV120" s="1424"/>
      <c r="AW120" s="1424"/>
      <c r="AX120" s="1424"/>
      <c r="AY120" s="1424"/>
      <c r="AZ120" s="1424"/>
      <c r="BA120" s="1424"/>
      <c r="BB120" s="1424"/>
      <c r="BC120" s="1424"/>
      <c r="BD120" s="1424"/>
      <c r="BE120" s="1424"/>
      <c r="BF120" s="1424"/>
      <c r="BG120" s="1424"/>
      <c r="BH120" s="1424"/>
      <c r="BI120" s="1424"/>
      <c r="BJ120" s="1424"/>
      <c r="BK120" s="1424"/>
      <c r="BL120" s="1424"/>
      <c r="BM120" s="1424"/>
      <c r="BN120" s="1424"/>
      <c r="BO120" s="1424"/>
      <c r="BP120" s="1424"/>
      <c r="BQ120" s="1424"/>
      <c r="BR120" s="1424"/>
      <c r="BS120" s="1424"/>
      <c r="BT120" s="1424"/>
      <c r="BU120" s="1424"/>
      <c r="BV120" s="961"/>
      <c r="BW120" s="961"/>
      <c r="BX120" s="961"/>
      <c r="BY120" s="961"/>
      <c r="BZ120" s="961"/>
      <c r="CA120" s="961"/>
      <c r="CB120" s="961"/>
      <c r="CC120" s="961"/>
      <c r="CD120" s="961"/>
      <c r="CE120" s="961"/>
    </row>
    <row r="121" spans="1:83" s="1606" customFormat="1" ht="24.75" customHeight="1">
      <c r="A121" s="1565"/>
      <c r="B121" s="961"/>
      <c r="C121" s="345"/>
      <c r="D121" s="2499"/>
      <c r="E121" s="2493" t="s">
        <v>708</v>
      </c>
      <c r="F121" s="2493"/>
      <c r="G121" s="2493"/>
      <c r="H121" s="2493"/>
      <c r="I121" s="2493"/>
      <c r="J121" s="2493"/>
      <c r="K121" s="2493"/>
      <c r="L121" s="2493"/>
      <c r="M121" s="2493"/>
      <c r="N121" s="2493"/>
      <c r="O121" s="2493"/>
      <c r="P121" s="2493"/>
      <c r="Q121" s="490">
        <f>SUMIF(T122:T123,"i",Q122:Q123)</f>
        <v>0</v>
      </c>
      <c r="R121" s="869"/>
      <c r="S121" s="1557" t="s">
        <v>709</v>
      </c>
      <c r="T121" s="635" t="s">
        <v>707</v>
      </c>
      <c r="U121" s="2399">
        <v>1</v>
      </c>
      <c r="V121" s="2399" t="e">
        <f>INDEX(B_FHD_FLAG_INDEX_2,1,MATCH(A115,B_FHD_FLAG_DIFFERENTIATION,0))</f>
        <v>#N/A</v>
      </c>
      <c r="W121" s="961"/>
      <c r="X121" s="961"/>
      <c r="Y121" s="961"/>
      <c r="Z121" s="961"/>
      <c r="AA121" s="1424"/>
      <c r="AB121" s="961"/>
      <c r="AC121" s="1555"/>
      <c r="AD121" s="560"/>
      <c r="AE121" s="961"/>
      <c r="AF121" s="961"/>
      <c r="AG121" s="1424"/>
      <c r="AH121" s="1424"/>
      <c r="AI121" s="1424"/>
      <c r="AJ121" s="1424"/>
      <c r="AK121" s="1424"/>
      <c r="AL121" s="1424"/>
      <c r="AM121" s="1424"/>
      <c r="AN121" s="1424"/>
      <c r="AO121" s="1424"/>
      <c r="AP121" s="1424"/>
      <c r="AQ121" s="1424"/>
      <c r="AR121" s="1424"/>
      <c r="AS121" s="1424"/>
      <c r="AT121" s="1424"/>
      <c r="AU121" s="1424"/>
      <c r="AV121" s="1424"/>
      <c r="AW121" s="1424"/>
      <c r="AX121" s="1424"/>
      <c r="AY121" s="1424"/>
      <c r="AZ121" s="1424"/>
      <c r="BA121" s="1424"/>
      <c r="BB121" s="1424"/>
      <c r="BC121" s="1424"/>
      <c r="BD121" s="1424"/>
      <c r="BE121" s="1424"/>
      <c r="BF121" s="1424"/>
      <c r="BG121" s="1424"/>
      <c r="BH121" s="1424"/>
      <c r="BI121" s="1424"/>
      <c r="BJ121" s="1424"/>
      <c r="BK121" s="1424"/>
      <c r="BL121" s="1424"/>
      <c r="BM121" s="1424"/>
      <c r="BN121" s="1424"/>
      <c r="BO121" s="1424"/>
      <c r="BP121" s="1424"/>
      <c r="BQ121" s="1424"/>
      <c r="BR121" s="1424"/>
      <c r="BS121" s="1424"/>
      <c r="BT121" s="1424"/>
      <c r="BU121" s="1424"/>
      <c r="BV121" s="961"/>
      <c r="BW121" s="961"/>
      <c r="BX121" s="961"/>
      <c r="BY121" s="961"/>
      <c r="BZ121" s="961"/>
      <c r="CA121" s="961"/>
      <c r="CB121" s="961"/>
      <c r="CC121" s="961"/>
      <c r="CD121" s="961"/>
      <c r="CE121" s="961"/>
    </row>
    <row r="122" spans="1:83" s="1606" customFormat="1" ht="11.25" hidden="1" customHeight="1">
      <c r="A122" s="1552"/>
      <c r="B122" s="1424"/>
      <c r="C122" s="1424"/>
      <c r="D122" s="2499"/>
      <c r="E122" s="566"/>
      <c r="F122" s="566">
        <v>0</v>
      </c>
      <c r="G122" s="566"/>
      <c r="H122" s="566"/>
      <c r="I122" s="566"/>
      <c r="J122" s="566"/>
      <c r="K122" s="566"/>
      <c r="L122" s="566"/>
      <c r="M122" s="566"/>
      <c r="N122" s="566"/>
      <c r="O122" s="566"/>
      <c r="P122" s="566"/>
      <c r="Q122" s="566"/>
      <c r="R122" s="566"/>
      <c r="S122" s="567"/>
      <c r="T122" s="636"/>
      <c r="U122" s="2399"/>
      <c r="V122" s="2399"/>
      <c r="W122" s="1424"/>
      <c r="X122" s="1424"/>
      <c r="Y122" s="1424"/>
      <c r="Z122" s="1424"/>
      <c r="AA122" s="1424"/>
      <c r="AB122" s="961"/>
      <c r="AC122" s="1555"/>
      <c r="AD122" s="560"/>
      <c r="AE122" s="961"/>
      <c r="AF122" s="961"/>
      <c r="AG122" s="1424"/>
      <c r="AH122" s="1424"/>
      <c r="AI122" s="1424"/>
      <c r="AJ122" s="1424"/>
      <c r="AK122" s="1424"/>
      <c r="AL122" s="1424"/>
      <c r="AM122" s="1424"/>
      <c r="AN122" s="1424"/>
      <c r="AO122" s="1424"/>
      <c r="AP122" s="1424"/>
      <c r="AQ122" s="1424"/>
      <c r="AR122" s="1424"/>
      <c r="AS122" s="1424"/>
      <c r="AT122" s="1424"/>
      <c r="AU122" s="1424"/>
      <c r="AV122" s="1424"/>
      <c r="AW122" s="1424"/>
      <c r="AX122" s="1424"/>
      <c r="AY122" s="1424"/>
      <c r="AZ122" s="1424"/>
      <c r="BA122" s="1424"/>
      <c r="BB122" s="1424"/>
      <c r="BC122" s="1424"/>
      <c r="BD122" s="1424"/>
      <c r="BE122" s="1424"/>
      <c r="BF122" s="1424"/>
      <c r="BG122" s="1424"/>
      <c r="BH122" s="1424"/>
      <c r="BI122" s="1424"/>
      <c r="BJ122" s="1424"/>
      <c r="BK122" s="1424"/>
      <c r="BL122" s="1424"/>
      <c r="BM122" s="1424"/>
      <c r="BN122" s="1424"/>
      <c r="BO122" s="1424"/>
      <c r="BP122" s="1424"/>
      <c r="BQ122" s="1424"/>
      <c r="BR122" s="1424"/>
      <c r="BS122" s="1424"/>
      <c r="BT122" s="1424"/>
      <c r="BU122" s="1424"/>
      <c r="BV122" s="1424"/>
      <c r="BW122" s="1424"/>
      <c r="BX122" s="1424"/>
      <c r="BY122" s="1424"/>
      <c r="BZ122" s="1424"/>
      <c r="CA122" s="1424"/>
      <c r="CB122" s="1424"/>
      <c r="CC122" s="1424"/>
      <c r="CD122" s="1424"/>
      <c r="CE122" s="1424"/>
    </row>
    <row r="123" spans="1:83" s="1606" customFormat="1" ht="11.25" customHeight="1">
      <c r="A123" s="1565"/>
      <c r="B123" s="961"/>
      <c r="C123" s="345"/>
      <c r="D123" s="2500"/>
      <c r="E123" s="580" t="s">
        <v>9</v>
      </c>
      <c r="F123" s="969" t="s">
        <v>9</v>
      </c>
      <c r="G123" s="969" t="s">
        <v>710</v>
      </c>
      <c r="H123" s="582" t="s">
        <v>9</v>
      </c>
      <c r="I123" s="582"/>
      <c r="J123" s="582"/>
      <c r="K123" s="582"/>
      <c r="L123" s="582"/>
      <c r="M123" s="582"/>
      <c r="N123" s="582"/>
      <c r="O123" s="582"/>
      <c r="P123" s="582"/>
      <c r="Q123" s="582"/>
      <c r="R123" s="583"/>
      <c r="S123" s="584"/>
      <c r="T123" s="636"/>
      <c r="U123" s="2399"/>
      <c r="V123" s="2399"/>
      <c r="W123" s="961"/>
      <c r="X123" s="961"/>
      <c r="Y123" s="961"/>
      <c r="Z123" s="961"/>
      <c r="AA123" s="1424"/>
      <c r="AB123" s="961"/>
      <c r="AC123" s="1555"/>
      <c r="AD123" s="560"/>
      <c r="AE123" s="961"/>
      <c r="AF123" s="961"/>
      <c r="AG123" s="1424"/>
      <c r="AH123" s="1424"/>
      <c r="AI123" s="1424"/>
      <c r="AJ123" s="1424"/>
      <c r="AK123" s="1424"/>
      <c r="AL123" s="1424"/>
      <c r="AM123" s="1424"/>
      <c r="AN123" s="1424"/>
      <c r="AO123" s="1424"/>
      <c r="AP123" s="1424"/>
      <c r="AQ123" s="1424"/>
      <c r="AR123" s="1424"/>
      <c r="AS123" s="1424"/>
      <c r="AT123" s="1424"/>
      <c r="AU123" s="1424"/>
      <c r="AV123" s="1424"/>
      <c r="AW123" s="1424"/>
      <c r="AX123" s="1424"/>
      <c r="AY123" s="1424"/>
      <c r="AZ123" s="1424"/>
      <c r="BA123" s="1424"/>
      <c r="BB123" s="1424"/>
      <c r="BC123" s="1424"/>
      <c r="BD123" s="1424"/>
      <c r="BE123" s="1424"/>
      <c r="BF123" s="1424"/>
      <c r="BG123" s="1424"/>
      <c r="BH123" s="1424"/>
      <c r="BI123" s="1424"/>
      <c r="BJ123" s="1424"/>
      <c r="BK123" s="1424"/>
      <c r="BL123" s="1424"/>
      <c r="BM123" s="1424"/>
      <c r="BN123" s="1424"/>
      <c r="BO123" s="1424"/>
      <c r="BP123" s="1424"/>
      <c r="BQ123" s="1424"/>
      <c r="BR123" s="1424"/>
      <c r="BS123" s="1424"/>
      <c r="BT123" s="1424"/>
      <c r="BU123" s="1424"/>
      <c r="BV123" s="961"/>
      <c r="BW123" s="961"/>
      <c r="BX123" s="961"/>
      <c r="BY123" s="961"/>
      <c r="BZ123" s="961"/>
      <c r="CA123" s="961"/>
      <c r="CB123" s="961"/>
      <c r="CC123" s="961"/>
      <c r="CD123" s="961"/>
      <c r="CE123" s="961"/>
    </row>
    <row r="125" spans="1:83" s="1574" customFormat="1" ht="11.25" customHeight="1">
      <c r="A125" s="1574" t="s">
        <v>1985</v>
      </c>
    </row>
    <row r="127" spans="1:83" s="1606" customFormat="1" ht="15" hidden="1" customHeight="1">
      <c r="A127" s="554"/>
      <c r="B127" s="555"/>
      <c r="C127" s="555"/>
      <c r="D127" s="2498" t="s">
        <v>161</v>
      </c>
      <c r="E127" s="2495" t="s">
        <v>157</v>
      </c>
      <c r="F127" s="2496"/>
      <c r="G127" s="2497"/>
      <c r="H127" s="2491" t="str">
        <f>IF(A127="","",INDEX(DIFFERENTIATION_UNMERGE_VD,MATCH(A127,DIFFERENTIATION_ID_DIFF,0)))</f>
        <v/>
      </c>
      <c r="I127" s="2491"/>
      <c r="J127" s="2491"/>
      <c r="K127" s="2491"/>
      <c r="L127" s="2491"/>
      <c r="M127" s="2491"/>
      <c r="N127" s="2491"/>
      <c r="O127" s="2491"/>
      <c r="P127" s="2491"/>
      <c r="Q127" s="2491"/>
      <c r="R127" s="2491"/>
      <c r="S127" s="637"/>
      <c r="T127" s="634"/>
      <c r="U127" s="556"/>
      <c r="V127" s="556"/>
      <c r="W127" s="557"/>
      <c r="X127" s="557"/>
      <c r="Y127" s="557"/>
      <c r="Z127" s="557"/>
      <c r="AA127" s="558"/>
      <c r="AB127" s="559"/>
      <c r="AC127" s="2494"/>
      <c r="AD127" s="560"/>
      <c r="AE127" s="561" t="s">
        <v>9</v>
      </c>
      <c r="AF127" s="561"/>
      <c r="AG127" s="562" t="s">
        <v>704</v>
      </c>
      <c r="AH127" s="563">
        <v>3</v>
      </c>
      <c r="AI127" s="556"/>
      <c r="AJ127" s="556"/>
      <c r="AK127" s="556"/>
      <c r="AL127" s="556"/>
      <c r="AM127" s="556"/>
      <c r="AN127" s="556"/>
      <c r="AO127" s="556"/>
      <c r="AP127" s="556"/>
      <c r="AQ127" s="556"/>
      <c r="AR127" s="556"/>
      <c r="AS127" s="556"/>
      <c r="AT127" s="556"/>
      <c r="AU127" s="556"/>
      <c r="AV127" s="556"/>
      <c r="AW127" s="556"/>
      <c r="AX127" s="556"/>
      <c r="AY127" s="556"/>
      <c r="AZ127" s="556"/>
      <c r="BA127" s="556"/>
      <c r="BB127" s="556"/>
      <c r="BC127" s="556"/>
      <c r="BD127" s="556"/>
      <c r="BE127" s="556"/>
      <c r="BF127" s="556"/>
      <c r="BG127" s="556"/>
      <c r="BH127" s="556"/>
      <c r="BI127" s="556"/>
      <c r="BJ127" s="556"/>
      <c r="BK127" s="556"/>
      <c r="BL127" s="556"/>
      <c r="BM127" s="556"/>
      <c r="BN127" s="556"/>
      <c r="BO127" s="556"/>
      <c r="BP127" s="556"/>
      <c r="BQ127" s="556"/>
      <c r="BR127" s="556"/>
      <c r="BS127" s="556"/>
      <c r="BT127" s="556"/>
      <c r="BU127" s="556"/>
      <c r="BV127" s="557"/>
      <c r="BW127" s="557"/>
      <c r="BX127" s="557"/>
      <c r="BY127" s="557"/>
      <c r="BZ127" s="557"/>
      <c r="CA127" s="557"/>
      <c r="CB127" s="557"/>
      <c r="CC127" s="557"/>
      <c r="CD127" s="557"/>
      <c r="CE127" s="557"/>
    </row>
    <row r="128" spans="1:83" s="1606" customFormat="1" ht="15" hidden="1" customHeight="1">
      <c r="A128" s="554"/>
      <c r="B128" s="555"/>
      <c r="C128" s="555"/>
      <c r="D128" s="2499"/>
      <c r="E128" s="2495" t="s">
        <v>648</v>
      </c>
      <c r="F128" s="2496"/>
      <c r="G128" s="2497"/>
      <c r="H128" s="2491" t="str">
        <f>IF(A127="","",INDEX(DIFFERENTIATION_UNMERGE_AREA,MATCH(A127,DIFFERENTIATION_ID_DIFF,0)))</f>
        <v/>
      </c>
      <c r="I128" s="2491"/>
      <c r="J128" s="2491"/>
      <c r="K128" s="2491"/>
      <c r="L128" s="2491"/>
      <c r="M128" s="2491"/>
      <c r="N128" s="2491"/>
      <c r="O128" s="2491"/>
      <c r="P128" s="2491"/>
      <c r="Q128" s="2491"/>
      <c r="R128" s="2491"/>
      <c r="S128" s="637"/>
      <c r="T128" s="634"/>
      <c r="U128" s="556"/>
      <c r="V128" s="556"/>
      <c r="W128" s="557"/>
      <c r="X128" s="557"/>
      <c r="Y128" s="557"/>
      <c r="Z128" s="557"/>
      <c r="AA128" s="558"/>
      <c r="AB128" s="559"/>
      <c r="AC128" s="2494"/>
      <c r="AD128" s="560"/>
      <c r="AE128" s="561"/>
      <c r="AF128" s="561"/>
      <c r="AG128" s="562"/>
      <c r="AH128" s="563"/>
      <c r="AI128" s="556"/>
      <c r="AJ128" s="556"/>
      <c r="AK128" s="556"/>
      <c r="AL128" s="556"/>
      <c r="AM128" s="556"/>
      <c r="AN128" s="556"/>
      <c r="AO128" s="556"/>
      <c r="AP128" s="556"/>
      <c r="AQ128" s="556"/>
      <c r="AR128" s="556"/>
      <c r="AS128" s="556"/>
      <c r="AT128" s="556"/>
      <c r="AU128" s="556"/>
      <c r="AV128" s="556"/>
      <c r="AW128" s="556"/>
      <c r="AX128" s="556"/>
      <c r="AY128" s="556"/>
      <c r="AZ128" s="556"/>
      <c r="BA128" s="556"/>
      <c r="BB128" s="556"/>
      <c r="BC128" s="556"/>
      <c r="BD128" s="556"/>
      <c r="BE128" s="556"/>
      <c r="BF128" s="556"/>
      <c r="BG128" s="556"/>
      <c r="BH128" s="556"/>
      <c r="BI128" s="556"/>
      <c r="BJ128" s="556"/>
      <c r="BK128" s="556"/>
      <c r="BL128" s="556"/>
      <c r="BM128" s="556"/>
      <c r="BN128" s="556"/>
      <c r="BO128" s="556"/>
      <c r="BP128" s="556"/>
      <c r="BQ128" s="556"/>
      <c r="BR128" s="556"/>
      <c r="BS128" s="556"/>
      <c r="BT128" s="556"/>
      <c r="BU128" s="556"/>
      <c r="BV128" s="557"/>
      <c r="BW128" s="557"/>
      <c r="BX128" s="557"/>
      <c r="BY128" s="557"/>
      <c r="BZ128" s="557"/>
      <c r="CA128" s="557"/>
      <c r="CB128" s="557"/>
      <c r="CC128" s="557"/>
      <c r="CD128" s="557"/>
      <c r="CE128" s="557"/>
    </row>
    <row r="129" spans="1:83" s="1606" customFormat="1" ht="15" hidden="1" customHeight="1">
      <c r="A129" s="554"/>
      <c r="B129" s="555"/>
      <c r="C129" s="555"/>
      <c r="D129" s="2499"/>
      <c r="E129" s="2495" t="s">
        <v>649</v>
      </c>
      <c r="F129" s="2496"/>
      <c r="G129" s="2497"/>
      <c r="H129" s="2491" t="str">
        <f>IF(A127="","",INDEX(DIFFERENTIATION_UNMERGE_SYSTEM,MATCH(A127,DIFFERENTIATION_ID_DIFF,0)))</f>
        <v/>
      </c>
      <c r="I129" s="2491"/>
      <c r="J129" s="2491"/>
      <c r="K129" s="2491"/>
      <c r="L129" s="2491"/>
      <c r="M129" s="2491"/>
      <c r="N129" s="2491"/>
      <c r="O129" s="2491"/>
      <c r="P129" s="2491"/>
      <c r="Q129" s="2491"/>
      <c r="R129" s="2491"/>
      <c r="S129" s="637"/>
      <c r="T129" s="634"/>
      <c r="U129" s="556"/>
      <c r="V129" s="556"/>
      <c r="W129" s="557"/>
      <c r="X129" s="557"/>
      <c r="Y129" s="557"/>
      <c r="Z129" s="557"/>
      <c r="AA129" s="558"/>
      <c r="AB129" s="559"/>
      <c r="AC129" s="2494"/>
      <c r="AD129" s="560"/>
      <c r="AE129" s="561"/>
      <c r="AF129" s="561"/>
      <c r="AG129" s="562"/>
      <c r="AH129" s="563"/>
      <c r="AI129" s="556"/>
      <c r="AJ129" s="556"/>
      <c r="AK129" s="556"/>
      <c r="AL129" s="556"/>
      <c r="AM129" s="556"/>
      <c r="AN129" s="556"/>
      <c r="AO129" s="556"/>
      <c r="AP129" s="556"/>
      <c r="AQ129" s="556"/>
      <c r="AR129" s="556"/>
      <c r="AS129" s="556"/>
      <c r="AT129" s="556"/>
      <c r="AU129" s="556"/>
      <c r="AV129" s="556"/>
      <c r="AW129" s="556"/>
      <c r="AX129" s="556"/>
      <c r="AY129" s="556"/>
      <c r="AZ129" s="556"/>
      <c r="BA129" s="556"/>
      <c r="BB129" s="556"/>
      <c r="BC129" s="556"/>
      <c r="BD129" s="556"/>
      <c r="BE129" s="556"/>
      <c r="BF129" s="556"/>
      <c r="BG129" s="556"/>
      <c r="BH129" s="556"/>
      <c r="BI129" s="556"/>
      <c r="BJ129" s="556"/>
      <c r="BK129" s="556"/>
      <c r="BL129" s="556"/>
      <c r="BM129" s="556"/>
      <c r="BN129" s="556"/>
      <c r="BO129" s="556"/>
      <c r="BP129" s="556"/>
      <c r="BQ129" s="556"/>
      <c r="BR129" s="556"/>
      <c r="BS129" s="556"/>
      <c r="BT129" s="556"/>
      <c r="BU129" s="556"/>
      <c r="BV129" s="557"/>
      <c r="BW129" s="557"/>
      <c r="BX129" s="557"/>
      <c r="BY129" s="557"/>
      <c r="BZ129" s="557"/>
      <c r="CA129" s="557"/>
      <c r="CB129" s="557"/>
      <c r="CC129" s="557"/>
      <c r="CD129" s="557"/>
      <c r="CE129" s="557"/>
    </row>
    <row r="130" spans="1:83" s="1606" customFormat="1" ht="24.75" hidden="1" customHeight="1">
      <c r="A130" s="1565"/>
      <c r="B130" s="961"/>
      <c r="C130" s="345"/>
      <c r="D130" s="2499"/>
      <c r="E130" s="2493" t="s">
        <v>705</v>
      </c>
      <c r="F130" s="2493"/>
      <c r="G130" s="2493"/>
      <c r="H130" s="2493"/>
      <c r="I130" s="2493"/>
      <c r="J130" s="2493"/>
      <c r="K130" s="2493"/>
      <c r="L130" s="2493"/>
      <c r="M130" s="2493"/>
      <c r="N130" s="2493"/>
      <c r="O130" s="2493"/>
      <c r="P130" s="2493"/>
      <c r="Q130" s="490">
        <f>SUMIF(T131:T132,"i",Q131:Q132)</f>
        <v>0</v>
      </c>
      <c r="R130" s="869"/>
      <c r="S130" s="1557" t="s">
        <v>706</v>
      </c>
      <c r="T130" s="635" t="s">
        <v>707</v>
      </c>
      <c r="U130" s="2399">
        <v>1</v>
      </c>
      <c r="V130" s="2399" t="e">
        <f>INDEX(B_FHD_FLAG_INDEX_1,1,MATCH(A127,B_FHD_FLAG_DIFFERENTIATION,0))</f>
        <v>#N/A</v>
      </c>
      <c r="W130" s="961"/>
      <c r="X130" s="961"/>
      <c r="Y130" s="961"/>
      <c r="Z130" s="961"/>
      <c r="AA130" s="1424"/>
      <c r="AB130" s="961"/>
      <c r="AC130" s="2494"/>
      <c r="AD130" s="560"/>
      <c r="AE130" s="961"/>
      <c r="AF130" s="961"/>
      <c r="AG130" s="1424"/>
      <c r="AH130" s="1424"/>
      <c r="AI130" s="1424"/>
      <c r="AJ130" s="1424"/>
      <c r="AK130" s="1424"/>
      <c r="AL130" s="1424"/>
      <c r="AM130" s="1424"/>
      <c r="AN130" s="1424"/>
      <c r="AO130" s="1424"/>
      <c r="AP130" s="1424"/>
      <c r="AQ130" s="1424"/>
      <c r="AR130" s="1424"/>
      <c r="AS130" s="1424"/>
      <c r="AT130" s="1424"/>
      <c r="AU130" s="1424"/>
      <c r="AV130" s="1424"/>
      <c r="AW130" s="1424"/>
      <c r="AX130" s="1424"/>
      <c r="AY130" s="1424"/>
      <c r="AZ130" s="1424"/>
      <c r="BA130" s="1424"/>
      <c r="BB130" s="1424"/>
      <c r="BC130" s="1424"/>
      <c r="BD130" s="1424"/>
      <c r="BE130" s="1424"/>
      <c r="BF130" s="1424"/>
      <c r="BG130" s="1424"/>
      <c r="BH130" s="1424"/>
      <c r="BI130" s="1424"/>
      <c r="BJ130" s="1424"/>
      <c r="BK130" s="1424"/>
      <c r="BL130" s="1424"/>
      <c r="BM130" s="1424"/>
      <c r="BN130" s="1424"/>
      <c r="BO130" s="1424"/>
      <c r="BP130" s="1424"/>
      <c r="BQ130" s="1424"/>
      <c r="BR130" s="1424"/>
      <c r="BS130" s="1424"/>
      <c r="BT130" s="1424"/>
      <c r="BU130" s="1424"/>
      <c r="BV130" s="961"/>
      <c r="BW130" s="961"/>
      <c r="BX130" s="961"/>
      <c r="BY130" s="961"/>
      <c r="BZ130" s="961"/>
      <c r="CA130" s="961"/>
      <c r="CB130" s="961"/>
      <c r="CC130" s="961"/>
      <c r="CD130" s="961"/>
      <c r="CE130" s="961"/>
    </row>
    <row r="131" spans="1:83" s="1606" customFormat="1" ht="11.25" hidden="1" customHeight="1">
      <c r="A131" s="1552"/>
      <c r="B131" s="1424"/>
      <c r="C131" s="1424"/>
      <c r="D131" s="2499"/>
      <c r="E131" s="566"/>
      <c r="F131" s="566">
        <v>0</v>
      </c>
      <c r="G131" s="566"/>
      <c r="H131" s="566"/>
      <c r="I131" s="566"/>
      <c r="J131" s="566"/>
      <c r="K131" s="566"/>
      <c r="L131" s="566"/>
      <c r="M131" s="566"/>
      <c r="N131" s="566"/>
      <c r="O131" s="566"/>
      <c r="P131" s="566"/>
      <c r="Q131" s="566"/>
      <c r="R131" s="566"/>
      <c r="S131" s="567"/>
      <c r="T131" s="636"/>
      <c r="U131" s="2399"/>
      <c r="V131" s="2399"/>
      <c r="W131" s="1424"/>
      <c r="X131" s="1424"/>
      <c r="Y131" s="1424"/>
      <c r="Z131" s="1424"/>
      <c r="AA131" s="1424"/>
      <c r="AB131" s="961"/>
      <c r="AC131" s="2494"/>
      <c r="AD131" s="560"/>
      <c r="AE131" s="961"/>
      <c r="AF131" s="961"/>
      <c r="AG131" s="1424"/>
      <c r="AH131" s="1424"/>
      <c r="AI131" s="1424"/>
      <c r="AJ131" s="1424"/>
      <c r="AK131" s="1424"/>
      <c r="AL131" s="1424"/>
      <c r="AM131" s="1424"/>
      <c r="AN131" s="1424"/>
      <c r="AO131" s="1424"/>
      <c r="AP131" s="1424"/>
      <c r="AQ131" s="1424"/>
      <c r="AR131" s="1424"/>
      <c r="AS131" s="1424"/>
      <c r="AT131" s="1424"/>
      <c r="AU131" s="1424"/>
      <c r="AV131" s="1424"/>
      <c r="AW131" s="1424"/>
      <c r="AX131" s="1424"/>
      <c r="AY131" s="1424"/>
      <c r="AZ131" s="1424"/>
      <c r="BA131" s="1424"/>
      <c r="BB131" s="1424"/>
      <c r="BC131" s="1424"/>
      <c r="BD131" s="1424"/>
      <c r="BE131" s="1424"/>
      <c r="BF131" s="1424"/>
      <c r="BG131" s="1424"/>
      <c r="BH131" s="1424"/>
      <c r="BI131" s="1424"/>
      <c r="BJ131" s="1424"/>
      <c r="BK131" s="1424"/>
      <c r="BL131" s="1424"/>
      <c r="BM131" s="1424"/>
      <c r="BN131" s="1424"/>
      <c r="BO131" s="1424"/>
      <c r="BP131" s="1424"/>
      <c r="BQ131" s="1424"/>
      <c r="BR131" s="1424"/>
      <c r="BS131" s="1424"/>
      <c r="BT131" s="1424"/>
      <c r="BU131" s="1424"/>
      <c r="BV131" s="1424"/>
      <c r="BW131" s="1424"/>
      <c r="BX131" s="1424"/>
      <c r="BY131" s="1424"/>
      <c r="BZ131" s="1424"/>
      <c r="CA131" s="1424"/>
      <c r="CB131" s="1424"/>
      <c r="CC131" s="1424"/>
      <c r="CD131" s="1424"/>
      <c r="CE131" s="1424"/>
    </row>
    <row r="132" spans="1:83" s="1606" customFormat="1" ht="11.25" hidden="1" customHeight="1">
      <c r="A132" s="1565"/>
      <c r="B132" s="961"/>
      <c r="C132" s="345"/>
      <c r="D132" s="2499"/>
      <c r="E132" s="580" t="s">
        <v>9</v>
      </c>
      <c r="F132" s="969" t="s">
        <v>9</v>
      </c>
      <c r="G132" s="969" t="s">
        <v>710</v>
      </c>
      <c r="H132" s="582" t="s">
        <v>9</v>
      </c>
      <c r="I132" s="582"/>
      <c r="J132" s="582"/>
      <c r="K132" s="582"/>
      <c r="L132" s="582"/>
      <c r="M132" s="582"/>
      <c r="N132" s="582"/>
      <c r="O132" s="582"/>
      <c r="P132" s="582"/>
      <c r="Q132" s="582"/>
      <c r="R132" s="583"/>
      <c r="S132" s="584"/>
      <c r="T132" s="636"/>
      <c r="U132" s="2399"/>
      <c r="V132" s="2399"/>
      <c r="W132" s="961"/>
      <c r="X132" s="961"/>
      <c r="Y132" s="961"/>
      <c r="Z132" s="961"/>
      <c r="AA132" s="1424"/>
      <c r="AB132" s="961"/>
      <c r="AC132" s="2494"/>
      <c r="AD132" s="560"/>
      <c r="AE132" s="961"/>
      <c r="AF132" s="961"/>
      <c r="AG132" s="1424"/>
      <c r="AH132" s="1424"/>
      <c r="AI132" s="1424"/>
      <c r="AJ132" s="1424"/>
      <c r="AK132" s="1424"/>
      <c r="AL132" s="1424"/>
      <c r="AM132" s="1424"/>
      <c r="AN132" s="1424"/>
      <c r="AO132" s="1424"/>
      <c r="AP132" s="1424"/>
      <c r="AQ132" s="1424"/>
      <c r="AR132" s="1424"/>
      <c r="AS132" s="1424"/>
      <c r="AT132" s="1424"/>
      <c r="AU132" s="1424"/>
      <c r="AV132" s="1424"/>
      <c r="AW132" s="1424"/>
      <c r="AX132" s="1424"/>
      <c r="AY132" s="1424"/>
      <c r="AZ132" s="1424"/>
      <c r="BA132" s="1424"/>
      <c r="BB132" s="1424"/>
      <c r="BC132" s="1424"/>
      <c r="BD132" s="1424"/>
      <c r="BE132" s="1424"/>
      <c r="BF132" s="1424"/>
      <c r="BG132" s="1424"/>
      <c r="BH132" s="1424"/>
      <c r="BI132" s="1424"/>
      <c r="BJ132" s="1424"/>
      <c r="BK132" s="1424"/>
      <c r="BL132" s="1424"/>
      <c r="BM132" s="1424"/>
      <c r="BN132" s="1424"/>
      <c r="BO132" s="1424"/>
      <c r="BP132" s="1424"/>
      <c r="BQ132" s="1424"/>
      <c r="BR132" s="1424"/>
      <c r="BS132" s="1424"/>
      <c r="BT132" s="1424"/>
      <c r="BU132" s="1424"/>
      <c r="BV132" s="961"/>
      <c r="BW132" s="961"/>
      <c r="BX132" s="961"/>
      <c r="BY132" s="961"/>
      <c r="BZ132" s="961"/>
      <c r="CA132" s="961"/>
      <c r="CB132" s="961"/>
      <c r="CC132" s="961"/>
      <c r="CD132" s="961"/>
      <c r="CE132" s="961"/>
    </row>
    <row r="133" spans="1:83" s="1104" customFormat="1" ht="5.25" hidden="1" customHeight="1">
      <c r="A133" s="1552"/>
      <c r="B133" s="1424"/>
      <c r="C133" s="1424"/>
      <c r="D133" s="2499"/>
      <c r="E133" s="878"/>
      <c r="F133" s="878"/>
      <c r="G133" s="878"/>
      <c r="H133" s="878"/>
      <c r="I133" s="878"/>
      <c r="J133" s="878"/>
      <c r="K133" s="878"/>
      <c r="L133" s="878"/>
      <c r="M133" s="878"/>
      <c r="N133" s="878"/>
      <c r="O133" s="878"/>
      <c r="P133" s="878"/>
      <c r="Q133" s="879"/>
      <c r="R133" s="880"/>
      <c r="S133" s="881"/>
      <c r="T133" s="635" t="s">
        <v>707</v>
      </c>
      <c r="U133" s="2399">
        <v>1</v>
      </c>
      <c r="V133" s="2399" t="s">
        <v>664</v>
      </c>
      <c r="W133" s="1424"/>
      <c r="X133" s="1424"/>
      <c r="Y133" s="1424"/>
      <c r="Z133" s="1424"/>
      <c r="AA133" s="1424"/>
      <c r="AB133" s="1424"/>
      <c r="AC133" s="876"/>
      <c r="AD133" s="877"/>
      <c r="AE133" s="1424"/>
      <c r="AF133" s="1424"/>
      <c r="AG133" s="1424"/>
      <c r="AH133" s="1424"/>
      <c r="AI133" s="1424"/>
      <c r="AJ133" s="1424"/>
      <c r="AK133" s="1424"/>
      <c r="AL133" s="1424"/>
      <c r="AM133" s="1424"/>
      <c r="AN133" s="1424"/>
      <c r="AO133" s="1424"/>
      <c r="AP133" s="1424"/>
      <c r="AQ133" s="1424"/>
      <c r="AR133" s="1424"/>
      <c r="AS133" s="1424"/>
      <c r="AT133" s="1424"/>
      <c r="AU133" s="1424"/>
      <c r="AV133" s="1424"/>
      <c r="AW133" s="1424"/>
      <c r="AX133" s="1424"/>
      <c r="AY133" s="1424"/>
      <c r="AZ133" s="1424"/>
      <c r="BA133" s="1424"/>
      <c r="BB133" s="1424"/>
      <c r="BC133" s="1424"/>
      <c r="BD133" s="1424"/>
      <c r="BE133" s="1424"/>
      <c r="BF133" s="1424"/>
      <c r="BG133" s="1424"/>
      <c r="BH133" s="1424"/>
      <c r="BI133" s="1424"/>
      <c r="BJ133" s="1424"/>
      <c r="BK133" s="1424"/>
      <c r="BL133" s="1424"/>
      <c r="BM133" s="1424"/>
      <c r="BN133" s="1424"/>
      <c r="BO133" s="1424"/>
      <c r="BP133" s="1424"/>
      <c r="BQ133" s="1424"/>
      <c r="BR133" s="1424"/>
      <c r="BS133" s="1424"/>
      <c r="BT133" s="1424"/>
      <c r="BU133" s="1424"/>
      <c r="BV133" s="1424"/>
      <c r="BW133" s="1424"/>
      <c r="BX133" s="1424"/>
      <c r="BY133" s="1424"/>
      <c r="BZ133" s="1424"/>
      <c r="CA133" s="1424"/>
      <c r="CB133" s="1424"/>
      <c r="CC133" s="1424"/>
      <c r="CD133" s="1424"/>
      <c r="CE133" s="1424"/>
    </row>
    <row r="134" spans="1:83" s="1104" customFormat="1" ht="5.25" hidden="1" customHeight="1">
      <c r="A134" s="1552"/>
      <c r="B134" s="1424"/>
      <c r="C134" s="1424"/>
      <c r="D134" s="2499"/>
      <c r="E134" s="566"/>
      <c r="F134" s="566"/>
      <c r="G134" s="566"/>
      <c r="H134" s="566"/>
      <c r="I134" s="566"/>
      <c r="J134" s="566"/>
      <c r="K134" s="566"/>
      <c r="L134" s="566"/>
      <c r="M134" s="566"/>
      <c r="N134" s="566"/>
      <c r="O134" s="566"/>
      <c r="P134" s="566"/>
      <c r="Q134" s="566"/>
      <c r="R134" s="566"/>
      <c r="S134" s="567"/>
      <c r="T134" s="636"/>
      <c r="U134" s="2399"/>
      <c r="V134" s="2399"/>
      <c r="W134" s="1424"/>
      <c r="X134" s="1424"/>
      <c r="Y134" s="1424"/>
      <c r="Z134" s="1424"/>
      <c r="AA134" s="1424"/>
      <c r="AB134" s="1424"/>
      <c r="AC134" s="876"/>
      <c r="AD134" s="877"/>
      <c r="AE134" s="1424"/>
      <c r="AF134" s="1424"/>
      <c r="AG134" s="1424"/>
      <c r="AH134" s="1424"/>
      <c r="AI134" s="1424"/>
      <c r="AJ134" s="1424"/>
      <c r="AK134" s="1424"/>
      <c r="AL134" s="1424"/>
      <c r="AM134" s="1424"/>
      <c r="AN134" s="1424"/>
      <c r="AO134" s="1424"/>
      <c r="AP134" s="1424"/>
      <c r="AQ134" s="1424"/>
      <c r="AR134" s="1424"/>
      <c r="AS134" s="1424"/>
      <c r="AT134" s="1424"/>
      <c r="AU134" s="1424"/>
      <c r="AV134" s="1424"/>
      <c r="AW134" s="1424"/>
      <c r="AX134" s="1424"/>
      <c r="AY134" s="1424"/>
      <c r="AZ134" s="1424"/>
      <c r="BA134" s="1424"/>
      <c r="BB134" s="1424"/>
      <c r="BC134" s="1424"/>
      <c r="BD134" s="1424"/>
      <c r="BE134" s="1424"/>
      <c r="BF134" s="1424"/>
      <c r="BG134" s="1424"/>
      <c r="BH134" s="1424"/>
      <c r="BI134" s="1424"/>
      <c r="BJ134" s="1424"/>
      <c r="BK134" s="1424"/>
      <c r="BL134" s="1424"/>
      <c r="BM134" s="1424"/>
      <c r="BN134" s="1424"/>
      <c r="BO134" s="1424"/>
      <c r="BP134" s="1424"/>
      <c r="BQ134" s="1424"/>
      <c r="BR134" s="1424"/>
      <c r="BS134" s="1424"/>
      <c r="BT134" s="1424"/>
      <c r="BU134" s="1424"/>
      <c r="BV134" s="1424"/>
      <c r="BW134" s="1424"/>
      <c r="BX134" s="1424"/>
      <c r="BY134" s="1424"/>
      <c r="BZ134" s="1424"/>
      <c r="CA134" s="1424"/>
      <c r="CB134" s="1424"/>
      <c r="CC134" s="1424"/>
      <c r="CD134" s="1424"/>
      <c r="CE134" s="1424"/>
    </row>
    <row r="135" spans="1:83" s="1104" customFormat="1" ht="5.25" hidden="1" customHeight="1">
      <c r="A135" s="1552"/>
      <c r="B135" s="1424"/>
      <c r="C135" s="1424"/>
      <c r="D135" s="2500"/>
      <c r="E135" s="882"/>
      <c r="F135" s="883"/>
      <c r="G135" s="883"/>
      <c r="H135" s="884"/>
      <c r="I135" s="884"/>
      <c r="J135" s="884"/>
      <c r="K135" s="884"/>
      <c r="L135" s="884"/>
      <c r="M135" s="884"/>
      <c r="N135" s="884"/>
      <c r="O135" s="884"/>
      <c r="P135" s="884"/>
      <c r="Q135" s="884"/>
      <c r="R135" s="806"/>
      <c r="S135" s="885"/>
      <c r="T135" s="636"/>
      <c r="U135" s="2399"/>
      <c r="V135" s="2399"/>
      <c r="W135" s="1424"/>
      <c r="X135" s="1424"/>
      <c r="Y135" s="1424"/>
      <c r="Z135" s="1424"/>
      <c r="AA135" s="1424"/>
      <c r="AB135" s="1424"/>
      <c r="AC135" s="876"/>
      <c r="AD135" s="877"/>
      <c r="AE135" s="1424"/>
      <c r="AF135" s="1424"/>
      <c r="AG135" s="1424"/>
      <c r="AH135" s="1424"/>
      <c r="AI135" s="1424"/>
      <c r="AJ135" s="1424"/>
      <c r="AK135" s="1424"/>
      <c r="AL135" s="1424"/>
      <c r="AM135" s="1424"/>
      <c r="AN135" s="1424"/>
      <c r="AO135" s="1424"/>
      <c r="AP135" s="1424"/>
      <c r="AQ135" s="1424"/>
      <c r="AR135" s="1424"/>
      <c r="AS135" s="1424"/>
      <c r="AT135" s="1424"/>
      <c r="AU135" s="1424"/>
      <c r="AV135" s="1424"/>
      <c r="AW135" s="1424"/>
      <c r="AX135" s="1424"/>
      <c r="AY135" s="1424"/>
      <c r="AZ135" s="1424"/>
      <c r="BA135" s="1424"/>
      <c r="BB135" s="1424"/>
      <c r="BC135" s="1424"/>
      <c r="BD135" s="1424"/>
      <c r="BE135" s="1424"/>
      <c r="BF135" s="1424"/>
      <c r="BG135" s="1424"/>
      <c r="BH135" s="1424"/>
      <c r="BI135" s="1424"/>
      <c r="BJ135" s="1424"/>
      <c r="BK135" s="1424"/>
      <c r="BL135" s="1424"/>
      <c r="BM135" s="1424"/>
      <c r="BN135" s="1424"/>
      <c r="BO135" s="1424"/>
      <c r="BP135" s="1424"/>
      <c r="BQ135" s="1424"/>
      <c r="BR135" s="1424"/>
      <c r="BS135" s="1424"/>
      <c r="BT135" s="1424"/>
      <c r="BU135" s="1424"/>
      <c r="BV135" s="1424"/>
      <c r="BW135" s="1424"/>
      <c r="BX135" s="1424"/>
      <c r="BY135" s="1424"/>
      <c r="BZ135" s="1424"/>
      <c r="CA135" s="1424"/>
      <c r="CB135" s="1424"/>
      <c r="CC135" s="1424"/>
      <c r="CD135" s="1424"/>
      <c r="CE135" s="1424"/>
    </row>
    <row r="136" spans="1:83" ht="17.25" customHeight="1">
      <c r="D136" s="1592"/>
    </row>
    <row r="137" spans="1:83" s="1574" customFormat="1" ht="11.25" customHeight="1">
      <c r="A137" s="1574" t="s">
        <v>1986</v>
      </c>
    </row>
    <row r="139" spans="1:83" s="1606" customFormat="1" ht="45" customHeight="1">
      <c r="A139" s="1565"/>
      <c r="B139" s="961"/>
      <c r="C139" s="345"/>
      <c r="D139" s="27"/>
      <c r="E139" s="2610"/>
      <c r="F139" s="2277" t="s">
        <v>161</v>
      </c>
      <c r="G139" s="2613" t="s">
        <v>9</v>
      </c>
      <c r="H139" s="223"/>
      <c r="I139" s="568" t="s">
        <v>161</v>
      </c>
      <c r="J139" s="1566" t="s">
        <v>1987</v>
      </c>
      <c r="K139" s="569" t="s">
        <v>630</v>
      </c>
      <c r="L139" s="2363" t="s">
        <v>630</v>
      </c>
      <c r="M139" s="2325"/>
      <c r="N139" s="569" t="s">
        <v>630</v>
      </c>
      <c r="O139" s="569" t="s">
        <v>630</v>
      </c>
      <c r="P139" s="569" t="s">
        <v>630</v>
      </c>
      <c r="Q139" s="570">
        <f>SUM(Q140:Q142)</f>
        <v>0</v>
      </c>
      <c r="R139" s="570">
        <f>IF(R136=0,0,(Q136/R136)*100)</f>
        <v>0</v>
      </c>
      <c r="S139" s="2337"/>
      <c r="T139" s="635" t="s">
        <v>707</v>
      </c>
      <c r="U139" s="27"/>
      <c r="V139" s="27"/>
      <c r="AC139" s="27"/>
    </row>
    <row r="140" spans="1:83" s="1606" customFormat="1" ht="11.25" customHeight="1">
      <c r="A140" s="1565"/>
      <c r="B140" s="961"/>
      <c r="C140" s="345"/>
      <c r="D140" s="27"/>
      <c r="E140" s="2611"/>
      <c r="F140" s="2277"/>
      <c r="G140" s="2613"/>
      <c r="H140" s="2266"/>
      <c r="I140" s="2534" t="s">
        <v>1141</v>
      </c>
      <c r="J140" s="2608"/>
      <c r="K140" s="2609"/>
      <c r="L140" s="571"/>
      <c r="M140" s="572" t="s">
        <v>161</v>
      </c>
      <c r="N140" s="1554"/>
      <c r="O140" s="573"/>
      <c r="P140" s="574"/>
      <c r="Q140" s="573"/>
      <c r="R140" s="575">
        <v>0</v>
      </c>
      <c r="S140" s="2337"/>
      <c r="T140" s="635"/>
      <c r="U140" s="27"/>
      <c r="V140" s="27"/>
      <c r="AC140" s="27"/>
    </row>
    <row r="141" spans="1:83" s="1606" customFormat="1" ht="11.25" customHeight="1">
      <c r="A141" s="1565"/>
      <c r="B141" s="961"/>
      <c r="C141" s="345"/>
      <c r="D141" s="27"/>
      <c r="E141" s="2611"/>
      <c r="F141" s="2277"/>
      <c r="G141" s="2613"/>
      <c r="H141" s="2266"/>
      <c r="I141" s="2534"/>
      <c r="J141" s="2608"/>
      <c r="K141" s="2605"/>
      <c r="L141" s="576"/>
      <c r="M141" s="577"/>
      <c r="N141" s="578" t="s">
        <v>1988</v>
      </c>
      <c r="O141" s="578"/>
      <c r="P141" s="578"/>
      <c r="Q141" s="578"/>
      <c r="R141" s="579"/>
      <c r="S141" s="2337"/>
      <c r="T141" s="635"/>
      <c r="U141" s="27"/>
      <c r="V141" s="27"/>
      <c r="AC141" s="27"/>
    </row>
    <row r="142" spans="1:83" s="1606" customFormat="1" ht="11.25" customHeight="1">
      <c r="A142" s="1565"/>
      <c r="B142" s="961"/>
      <c r="C142" s="345"/>
      <c r="D142" s="27"/>
      <c r="E142" s="2612"/>
      <c r="F142" s="2277"/>
      <c r="G142" s="2614"/>
      <c r="H142" s="576" t="s">
        <v>9</v>
      </c>
      <c r="I142" s="577"/>
      <c r="J142" s="578" t="s">
        <v>1989</v>
      </c>
      <c r="K142" s="578"/>
      <c r="L142" s="578"/>
      <c r="M142" s="578"/>
      <c r="N142" s="578"/>
      <c r="O142" s="578"/>
      <c r="P142" s="578"/>
      <c r="Q142" s="578"/>
      <c r="R142" s="579"/>
      <c r="S142" s="2337"/>
      <c r="T142" s="635"/>
      <c r="U142" s="27"/>
      <c r="V142" s="27"/>
      <c r="AC142" s="27"/>
    </row>
    <row r="147" spans="1:43" s="1606" customFormat="1" ht="11.25" customHeight="1">
      <c r="A147" s="1565"/>
      <c r="B147" s="961"/>
      <c r="C147" s="345"/>
      <c r="D147" s="27"/>
      <c r="E147" s="1588"/>
      <c r="F147" s="1588"/>
      <c r="G147" s="1588"/>
      <c r="H147" s="2266"/>
      <c r="I147" s="2534" t="s">
        <v>1141</v>
      </c>
      <c r="J147" s="2608"/>
      <c r="K147" s="2609"/>
      <c r="L147" s="571"/>
      <c r="M147" s="572" t="s">
        <v>161</v>
      </c>
      <c r="N147" s="1554"/>
      <c r="O147" s="573"/>
      <c r="P147" s="574"/>
      <c r="Q147" s="573"/>
      <c r="R147" s="575">
        <v>0</v>
      </c>
      <c r="S147" s="27"/>
      <c r="T147" s="635"/>
      <c r="U147" s="27"/>
      <c r="V147" s="27"/>
      <c r="AC147" s="27"/>
    </row>
    <row r="148" spans="1:43" s="1606" customFormat="1" ht="11.25" customHeight="1">
      <c r="A148" s="1565"/>
      <c r="B148" s="961"/>
      <c r="C148" s="345"/>
      <c r="D148" s="27"/>
      <c r="E148" s="1588"/>
      <c r="F148" s="1588"/>
      <c r="G148" s="1588"/>
      <c r="H148" s="2266"/>
      <c r="I148" s="2534"/>
      <c r="J148" s="2608"/>
      <c r="K148" s="2605"/>
      <c r="L148" s="576"/>
      <c r="M148" s="577"/>
      <c r="N148" s="578" t="s">
        <v>1988</v>
      </c>
      <c r="O148" s="578"/>
      <c r="P148" s="578"/>
      <c r="Q148" s="578"/>
      <c r="R148" s="579"/>
      <c r="S148" s="27"/>
      <c r="T148" s="635"/>
      <c r="U148" s="27"/>
      <c r="V148" s="27"/>
      <c r="AC148" s="27"/>
    </row>
    <row r="150" spans="1:43" s="1606" customFormat="1" ht="11.25" customHeight="1">
      <c r="A150" s="1565"/>
      <c r="B150" s="961"/>
      <c r="C150" s="345"/>
      <c r="D150" s="27"/>
      <c r="E150" s="1593"/>
      <c r="F150" s="1591"/>
      <c r="G150" s="1591"/>
      <c r="H150" s="1594"/>
      <c r="I150" s="1588"/>
      <c r="J150" s="1589"/>
      <c r="K150" s="1589"/>
      <c r="L150" s="571"/>
      <c r="M150" s="572" t="s">
        <v>161</v>
      </c>
      <c r="N150" s="1554"/>
      <c r="O150" s="573"/>
      <c r="P150" s="574"/>
      <c r="Q150" s="573"/>
      <c r="R150" s="575">
        <v>0</v>
      </c>
      <c r="S150" s="27"/>
      <c r="T150" s="635"/>
      <c r="U150" s="27"/>
      <c r="V150" s="27"/>
      <c r="AC150" s="27"/>
    </row>
    <row r="152" spans="1:43" s="1574" customFormat="1" ht="17.25" customHeight="1">
      <c r="A152" s="1574" t="s">
        <v>1990</v>
      </c>
    </row>
    <row r="153" spans="1:43" ht="17.25" customHeight="1">
      <c r="G153" s="1595"/>
      <c r="H153" s="1595"/>
      <c r="I153" s="1595"/>
      <c r="M153" s="1591"/>
    </row>
    <row r="154" spans="1:43" s="1609" customFormat="1" ht="17.25" customHeight="1">
      <c r="A154" s="1596"/>
      <c r="C154" s="1598"/>
      <c r="D154" s="2604"/>
      <c r="E154" s="2291"/>
      <c r="F154" s="2303"/>
      <c r="G154" s="2606"/>
      <c r="H154" s="2604"/>
      <c r="I154" s="2604">
        <v>1</v>
      </c>
      <c r="J154" s="2617"/>
      <c r="K154" s="2340" t="s">
        <v>52</v>
      </c>
      <c r="L154" s="2277"/>
      <c r="M154" s="2277" t="s">
        <v>161</v>
      </c>
      <c r="N154" s="2615" t="str">
        <f>IF(Z154="","",INDEX(TERRITORY_MR_LIST,MATCH(Z154,TERRITORY_LIST_ID,0)))</f>
        <v/>
      </c>
      <c r="O154" s="2340" t="s">
        <v>52</v>
      </c>
      <c r="P154" s="2277"/>
      <c r="Q154" s="2277" t="s">
        <v>161</v>
      </c>
      <c r="R154" s="2605" t="s">
        <v>9</v>
      </c>
      <c r="S154" s="2276" t="s">
        <v>52</v>
      </c>
      <c r="T154" s="1570"/>
      <c r="U154" s="1570" t="s">
        <v>161</v>
      </c>
      <c r="V154" s="1599" t="s">
        <v>9</v>
      </c>
      <c r="W154" s="1560"/>
      <c r="Y154" s="1055"/>
      <c r="Z154" s="1055"/>
      <c r="AA154" s="1055"/>
      <c r="AB154" s="1055"/>
      <c r="AC154" s="1055"/>
      <c r="AD154" s="1055"/>
      <c r="AE154" s="1055"/>
      <c r="AF154" s="1055"/>
      <c r="AG154" s="1055"/>
      <c r="AH154" s="1055"/>
      <c r="AI154" s="1055"/>
      <c r="AJ154" s="1055"/>
      <c r="AK154" s="1055"/>
      <c r="AL154" s="1600"/>
      <c r="AM154" s="1600"/>
      <c r="AN154" s="1055"/>
      <c r="AO154" s="1055"/>
      <c r="AP154" s="1055"/>
      <c r="AQ154" s="1055"/>
    </row>
    <row r="155" spans="1:43" s="1609" customFormat="1" ht="17.25" customHeight="1">
      <c r="A155" s="1596"/>
      <c r="C155" s="1601"/>
      <c r="D155" s="2604"/>
      <c r="E155" s="2291"/>
      <c r="F155" s="2304"/>
      <c r="G155" s="2606"/>
      <c r="H155" s="2604"/>
      <c r="I155" s="2604"/>
      <c r="J155" s="2617"/>
      <c r="K155" s="2341"/>
      <c r="L155" s="2277"/>
      <c r="M155" s="2277"/>
      <c r="N155" s="2615"/>
      <c r="O155" s="2341"/>
      <c r="P155" s="2277"/>
      <c r="Q155" s="2277"/>
      <c r="R155" s="2605"/>
      <c r="S155" s="2276"/>
      <c r="T155" s="251"/>
      <c r="U155" s="252"/>
      <c r="V155" s="252" t="s">
        <v>498</v>
      </c>
      <c r="W155" s="253"/>
      <c r="Y155" s="1047"/>
      <c r="Z155" s="1047"/>
      <c r="AA155" s="1047"/>
      <c r="AB155" s="1047"/>
      <c r="AC155" s="1047"/>
      <c r="AD155" s="1047"/>
      <c r="AE155" s="1047"/>
      <c r="AF155" s="1047"/>
      <c r="AG155" s="1047"/>
      <c r="AH155" s="1047"/>
      <c r="AI155" s="1047"/>
      <c r="AJ155" s="1047"/>
      <c r="AK155" s="1047"/>
    </row>
    <row r="156" spans="1:43" s="1609" customFormat="1" ht="17.25" customHeight="1">
      <c r="A156" s="1596"/>
      <c r="C156" s="1601"/>
      <c r="D156" s="2278"/>
      <c r="E156" s="2292"/>
      <c r="F156" s="2304"/>
      <c r="G156" s="2607"/>
      <c r="H156" s="2278"/>
      <c r="I156" s="2278"/>
      <c r="J156" s="2618"/>
      <c r="K156" s="2341"/>
      <c r="L156" s="2278"/>
      <c r="M156" s="2278"/>
      <c r="N156" s="2616"/>
      <c r="O156" s="2282"/>
      <c r="P156" s="251"/>
      <c r="Q156" s="252"/>
      <c r="R156" s="252" t="s">
        <v>499</v>
      </c>
      <c r="S156" s="1602"/>
      <c r="T156" s="1602"/>
      <c r="U156" s="1602"/>
      <c r="V156" s="1602"/>
      <c r="W156" s="253"/>
      <c r="Y156" s="1047"/>
      <c r="Z156" s="1047"/>
      <c r="AA156" s="1047"/>
      <c r="AB156" s="1047"/>
      <c r="AC156" s="1047"/>
      <c r="AD156" s="1047"/>
      <c r="AE156" s="1047"/>
      <c r="AF156" s="1047"/>
      <c r="AG156" s="1047"/>
      <c r="AH156" s="1047"/>
      <c r="AI156" s="1047"/>
      <c r="AJ156" s="1047"/>
      <c r="AK156" s="1047"/>
    </row>
    <row r="157" spans="1:43" s="1609" customFormat="1" ht="17.25" customHeight="1">
      <c r="A157" s="1596"/>
      <c r="C157" s="1601"/>
      <c r="D157" s="2278"/>
      <c r="E157" s="2292"/>
      <c r="F157" s="2304"/>
      <c r="G157" s="2607"/>
      <c r="H157" s="2278"/>
      <c r="I157" s="2278"/>
      <c r="J157" s="2618"/>
      <c r="K157" s="2282"/>
      <c r="L157" s="251"/>
      <c r="M157" s="252"/>
      <c r="N157" s="252" t="s">
        <v>500</v>
      </c>
      <c r="O157" s="252"/>
      <c r="P157" s="252"/>
      <c r="Q157" s="252"/>
      <c r="R157" s="252"/>
      <c r="S157" s="1602"/>
      <c r="T157" s="1602"/>
      <c r="U157" s="1602"/>
      <c r="V157" s="1602"/>
      <c r="W157" s="253"/>
      <c r="Y157" s="1047"/>
      <c r="Z157" s="1047"/>
      <c r="AA157" s="1047"/>
      <c r="AB157" s="1047"/>
      <c r="AC157" s="1047"/>
      <c r="AD157" s="1047"/>
      <c r="AE157" s="1047"/>
      <c r="AF157" s="1047"/>
      <c r="AG157" s="1047"/>
      <c r="AH157" s="1047"/>
      <c r="AI157" s="1047"/>
      <c r="AJ157" s="1047"/>
      <c r="AK157" s="1047"/>
    </row>
    <row r="158" spans="1:43" s="1609" customFormat="1" ht="17.25" customHeight="1">
      <c r="A158" s="1596"/>
      <c r="C158" s="1601"/>
      <c r="D158" s="2278"/>
      <c r="E158" s="2292"/>
      <c r="F158" s="2305"/>
      <c r="G158" s="2607"/>
      <c r="H158" s="251"/>
      <c r="I158" s="252"/>
      <c r="J158" s="252" t="s">
        <v>532</v>
      </c>
      <c r="K158" s="252"/>
      <c r="L158" s="252"/>
      <c r="M158" s="252"/>
      <c r="N158" s="252"/>
      <c r="O158" s="252"/>
      <c r="P158" s="252"/>
      <c r="Q158" s="252"/>
      <c r="R158" s="252"/>
      <c r="S158" s="1602"/>
      <c r="T158" s="1602"/>
      <c r="U158" s="1602"/>
      <c r="V158" s="1602"/>
      <c r="W158" s="253"/>
      <c r="Y158" s="1047"/>
      <c r="Z158" s="1047"/>
      <c r="AA158" s="1047"/>
      <c r="AB158" s="1047"/>
      <c r="AC158" s="1047"/>
      <c r="AD158" s="1047"/>
      <c r="AE158" s="1047"/>
      <c r="AF158" s="1047"/>
      <c r="AG158" s="1047"/>
      <c r="AH158" s="1047"/>
      <c r="AI158" s="1047"/>
      <c r="AJ158" s="1047"/>
      <c r="AK158" s="1047"/>
    </row>
    <row r="159" spans="1:43" ht="17.25" customHeight="1">
      <c r="G159" s="1595"/>
      <c r="H159" s="1595"/>
      <c r="I159" s="1595"/>
      <c r="M159" s="1591"/>
    </row>
    <row r="160" spans="1:43" s="1609" customFormat="1" ht="17.25" customHeight="1">
      <c r="A160" s="1596"/>
      <c r="C160" s="1598"/>
      <c r="D160" s="1588"/>
      <c r="E160" s="1603"/>
      <c r="F160" s="1543"/>
      <c r="G160" s="1604"/>
      <c r="H160" s="2604"/>
      <c r="I160" s="2604">
        <v>1</v>
      </c>
      <c r="J160" s="2617"/>
      <c r="K160" s="2340" t="s">
        <v>52</v>
      </c>
      <c r="L160" s="2277"/>
      <c r="M160" s="2277" t="s">
        <v>161</v>
      </c>
      <c r="N160" s="2615" t="str">
        <f>IF(Z160="","",INDEX(TERRITORY_MR_LIST,MATCH(Z160,TERRITORY_LIST_ID,0)))</f>
        <v/>
      </c>
      <c r="O160" s="2340" t="s">
        <v>52</v>
      </c>
      <c r="P160" s="2277"/>
      <c r="Q160" s="2277" t="s">
        <v>161</v>
      </c>
      <c r="R160" s="2605" t="s">
        <v>9</v>
      </c>
      <c r="S160" s="2276" t="s">
        <v>52</v>
      </c>
      <c r="T160" s="1570"/>
      <c r="U160" s="1570" t="s">
        <v>161</v>
      </c>
      <c r="V160" s="1599" t="s">
        <v>9</v>
      </c>
      <c r="W160" s="1560"/>
      <c r="Y160" s="1055"/>
      <c r="Z160" s="1055"/>
      <c r="AA160" s="1055"/>
      <c r="AB160" s="1055"/>
      <c r="AC160" s="1055"/>
      <c r="AD160" s="1055"/>
      <c r="AE160" s="1055"/>
      <c r="AF160" s="1055"/>
      <c r="AG160" s="1055"/>
      <c r="AH160" s="1055"/>
      <c r="AI160" s="1055"/>
      <c r="AJ160" s="1055"/>
      <c r="AK160" s="1055"/>
      <c r="AL160" s="1600"/>
      <c r="AM160" s="1600"/>
      <c r="AN160" s="1055"/>
      <c r="AO160" s="1055"/>
      <c r="AP160" s="1055"/>
      <c r="AQ160" s="1055"/>
    </row>
    <row r="161" spans="1:43" s="1609" customFormat="1" ht="17.25" customHeight="1">
      <c r="A161" s="1596"/>
      <c r="C161" s="1601"/>
      <c r="D161" s="1588"/>
      <c r="E161" s="1603"/>
      <c r="F161" s="1543"/>
      <c r="G161" s="1604"/>
      <c r="H161" s="2604"/>
      <c r="I161" s="2604"/>
      <c r="J161" s="2617"/>
      <c r="K161" s="2341"/>
      <c r="L161" s="2277"/>
      <c r="M161" s="2277"/>
      <c r="N161" s="2615"/>
      <c r="O161" s="2341"/>
      <c r="P161" s="2277"/>
      <c r="Q161" s="2277"/>
      <c r="R161" s="2605"/>
      <c r="S161" s="2276"/>
      <c r="T161" s="251"/>
      <c r="U161" s="252"/>
      <c r="V161" s="252" t="s">
        <v>498</v>
      </c>
      <c r="W161" s="253"/>
      <c r="Y161" s="1047"/>
      <c r="Z161" s="1047"/>
      <c r="AA161" s="1047"/>
      <c r="AB161" s="1047"/>
      <c r="AC161" s="1047"/>
      <c r="AD161" s="1047"/>
      <c r="AE161" s="1047"/>
      <c r="AF161" s="1047"/>
      <c r="AG161" s="1047"/>
      <c r="AH161" s="1047"/>
      <c r="AI161" s="1047"/>
      <c r="AJ161" s="1047"/>
      <c r="AK161" s="1047"/>
    </row>
    <row r="162" spans="1:43" s="1609" customFormat="1" ht="17.25" customHeight="1">
      <c r="A162" s="1596"/>
      <c r="C162" s="1601"/>
      <c r="D162" s="1588"/>
      <c r="E162" s="1603"/>
      <c r="F162" s="1543"/>
      <c r="G162" s="1604"/>
      <c r="H162" s="2278"/>
      <c r="I162" s="2278"/>
      <c r="J162" s="2618"/>
      <c r="K162" s="2341"/>
      <c r="L162" s="2278"/>
      <c r="M162" s="2278"/>
      <c r="N162" s="2616"/>
      <c r="O162" s="2282"/>
      <c r="P162" s="251"/>
      <c r="Q162" s="252"/>
      <c r="R162" s="252" t="s">
        <v>499</v>
      </c>
      <c r="S162" s="1602"/>
      <c r="T162" s="1602"/>
      <c r="U162" s="1602"/>
      <c r="V162" s="1602"/>
      <c r="W162" s="253"/>
      <c r="Y162" s="1047"/>
      <c r="Z162" s="1047"/>
      <c r="AA162" s="1047"/>
      <c r="AB162" s="1047"/>
      <c r="AC162" s="1047"/>
      <c r="AD162" s="1047"/>
      <c r="AE162" s="1047"/>
      <c r="AF162" s="1047"/>
      <c r="AG162" s="1047"/>
      <c r="AH162" s="1047"/>
      <c r="AI162" s="1047"/>
      <c r="AJ162" s="1047"/>
      <c r="AK162" s="1047"/>
    </row>
    <row r="163" spans="1:43" s="1609" customFormat="1" ht="17.25" customHeight="1">
      <c r="A163" s="1596"/>
      <c r="C163" s="1601"/>
      <c r="D163" s="1588"/>
      <c r="E163" s="1603"/>
      <c r="F163" s="1543"/>
      <c r="G163" s="1604"/>
      <c r="H163" s="2278"/>
      <c r="I163" s="2278"/>
      <c r="J163" s="2618"/>
      <c r="K163" s="2282"/>
      <c r="L163" s="251"/>
      <c r="M163" s="252"/>
      <c r="N163" s="252" t="s">
        <v>500</v>
      </c>
      <c r="O163" s="252"/>
      <c r="P163" s="252"/>
      <c r="Q163" s="252"/>
      <c r="R163" s="252"/>
      <c r="S163" s="1602"/>
      <c r="T163" s="1602"/>
      <c r="U163" s="1602"/>
      <c r="V163" s="1602"/>
      <c r="W163" s="253"/>
      <c r="Y163" s="1047"/>
      <c r="Z163" s="1047"/>
      <c r="AA163" s="1047"/>
      <c r="AB163" s="1047"/>
      <c r="AC163" s="1047"/>
      <c r="AD163" s="1047"/>
      <c r="AE163" s="1047"/>
      <c r="AF163" s="1047"/>
      <c r="AG163" s="1047"/>
      <c r="AH163" s="1047"/>
      <c r="AI163" s="1047"/>
      <c r="AJ163" s="1047"/>
      <c r="AK163" s="1047"/>
    </row>
    <row r="164" spans="1:43" ht="17.25" customHeight="1">
      <c r="G164" s="1595"/>
      <c r="H164" s="1595"/>
      <c r="I164" s="1595"/>
      <c r="M164" s="1591"/>
    </row>
    <row r="165" spans="1:43" s="1609" customFormat="1" ht="17.25" customHeight="1">
      <c r="A165" s="1596"/>
      <c r="C165" s="1598"/>
      <c r="D165" s="1588"/>
      <c r="E165" s="1603"/>
      <c r="F165" s="1543"/>
      <c r="G165" s="1604"/>
      <c r="H165" s="1588"/>
      <c r="I165" s="1588"/>
      <c r="J165" s="1605"/>
      <c r="K165" s="1519"/>
      <c r="L165" s="2277"/>
      <c r="M165" s="2277" t="s">
        <v>161</v>
      </c>
      <c r="N165" s="2615" t="str">
        <f>IF(Z165="","",INDEX(TERRITORY_MR_LIST,MATCH(Z165,TERRITORY_LIST_ID,0)))</f>
        <v/>
      </c>
      <c r="O165" s="2340" t="s">
        <v>52</v>
      </c>
      <c r="P165" s="2277"/>
      <c r="Q165" s="2277" t="s">
        <v>161</v>
      </c>
      <c r="R165" s="2605" t="s">
        <v>9</v>
      </c>
      <c r="S165" s="2276" t="s">
        <v>52</v>
      </c>
      <c r="T165" s="1570"/>
      <c r="U165" s="1570" t="s">
        <v>161</v>
      </c>
      <c r="V165" s="1599" t="s">
        <v>9</v>
      </c>
      <c r="W165" s="1560"/>
      <c r="Y165" s="1055"/>
      <c r="Z165" s="1055"/>
      <c r="AA165" s="1055"/>
      <c r="AB165" s="1055"/>
      <c r="AC165" s="1055"/>
      <c r="AD165" s="1055"/>
      <c r="AE165" s="1055"/>
      <c r="AF165" s="1055"/>
      <c r="AG165" s="1055"/>
      <c r="AH165" s="1055"/>
      <c r="AI165" s="1055"/>
      <c r="AJ165" s="1055"/>
      <c r="AK165" s="1055"/>
      <c r="AL165" s="1600"/>
      <c r="AM165" s="1600"/>
      <c r="AN165" s="1055"/>
      <c r="AO165" s="1055"/>
      <c r="AP165" s="1055"/>
      <c r="AQ165" s="1055"/>
    </row>
    <row r="166" spans="1:43" s="1609" customFormat="1" ht="17.25" customHeight="1">
      <c r="A166" s="1596"/>
      <c r="C166" s="1601"/>
      <c r="D166" s="1588"/>
      <c r="E166" s="1603"/>
      <c r="F166" s="1543"/>
      <c r="G166" s="1604"/>
      <c r="H166" s="1588"/>
      <c r="I166" s="1588"/>
      <c r="J166" s="1605"/>
      <c r="K166" s="1519"/>
      <c r="L166" s="2277"/>
      <c r="M166" s="2277"/>
      <c r="N166" s="2615"/>
      <c r="O166" s="2341"/>
      <c r="P166" s="2277"/>
      <c r="Q166" s="2277"/>
      <c r="R166" s="2605"/>
      <c r="S166" s="2276"/>
      <c r="T166" s="251"/>
      <c r="U166" s="252"/>
      <c r="V166" s="252" t="s">
        <v>498</v>
      </c>
      <c r="W166" s="253"/>
      <c r="Y166" s="1047"/>
      <c r="Z166" s="1047"/>
      <c r="AA166" s="1047"/>
      <c r="AB166" s="1047"/>
      <c r="AC166" s="1047"/>
      <c r="AD166" s="1047"/>
      <c r="AE166" s="1047"/>
      <c r="AF166" s="1047"/>
      <c r="AG166" s="1047"/>
      <c r="AH166" s="1047"/>
      <c r="AI166" s="1047"/>
      <c r="AJ166" s="1047"/>
      <c r="AK166" s="1047"/>
    </row>
    <row r="167" spans="1:43" s="1609" customFormat="1" ht="17.25" customHeight="1">
      <c r="A167" s="1596"/>
      <c r="C167" s="1601"/>
      <c r="D167" s="1588"/>
      <c r="E167" s="1603"/>
      <c r="F167" s="1543"/>
      <c r="G167" s="1604"/>
      <c r="H167" s="1588"/>
      <c r="I167" s="1588"/>
      <c r="J167" s="1605"/>
      <c r="K167" s="1519"/>
      <c r="L167" s="2278"/>
      <c r="M167" s="2278"/>
      <c r="N167" s="2616"/>
      <c r="O167" s="2282"/>
      <c r="P167" s="251"/>
      <c r="Q167" s="252"/>
      <c r="R167" s="252" t="s">
        <v>499</v>
      </c>
      <c r="S167" s="1602"/>
      <c r="T167" s="1602"/>
      <c r="U167" s="1602"/>
      <c r="V167" s="1602"/>
      <c r="W167" s="253"/>
      <c r="Y167" s="1047"/>
      <c r="Z167" s="1047"/>
      <c r="AA167" s="1047"/>
      <c r="AB167" s="1047"/>
      <c r="AC167" s="1047"/>
      <c r="AD167" s="1047"/>
      <c r="AE167" s="1047"/>
      <c r="AF167" s="1047"/>
      <c r="AG167" s="1047"/>
      <c r="AH167" s="1047"/>
      <c r="AI167" s="1047"/>
      <c r="AJ167" s="1047"/>
      <c r="AK167" s="1047"/>
    </row>
    <row r="168" spans="1:43" ht="17.25" customHeight="1">
      <c r="G168" s="1595"/>
      <c r="H168" s="1595"/>
      <c r="I168" s="1595"/>
      <c r="M168" s="1591"/>
    </row>
    <row r="169" spans="1:43" s="1609" customFormat="1" ht="17.25" customHeight="1">
      <c r="A169" s="1596"/>
      <c r="C169" s="1598"/>
      <c r="D169" s="1588"/>
      <c r="E169" s="1603"/>
      <c r="F169" s="1543"/>
      <c r="G169" s="1604"/>
      <c r="H169" s="1588"/>
      <c r="I169" s="1588"/>
      <c r="J169" s="1605"/>
      <c r="K169" s="1519"/>
      <c r="L169" s="1515"/>
      <c r="M169" s="1515"/>
      <c r="N169" s="1798"/>
      <c r="O169" s="1546"/>
      <c r="P169" s="2277"/>
      <c r="Q169" s="2277" t="s">
        <v>161</v>
      </c>
      <c r="R169" s="2605" t="s">
        <v>9</v>
      </c>
      <c r="S169" s="2276" t="s">
        <v>52</v>
      </c>
      <c r="T169" s="1570"/>
      <c r="U169" s="1570" t="s">
        <v>161</v>
      </c>
      <c r="V169" s="1599" t="s">
        <v>9</v>
      </c>
      <c r="W169" s="1560"/>
      <c r="Y169" s="1055"/>
      <c r="Z169" s="1055"/>
      <c r="AA169" s="1055"/>
      <c r="AB169" s="1055"/>
      <c r="AC169" s="1055"/>
      <c r="AD169" s="1055"/>
      <c r="AE169" s="1055"/>
      <c r="AF169" s="1055"/>
      <c r="AG169" s="1055"/>
      <c r="AH169" s="1055"/>
      <c r="AI169" s="1055"/>
      <c r="AJ169" s="1055"/>
      <c r="AK169" s="1055"/>
      <c r="AL169" s="1600"/>
      <c r="AM169" s="1600"/>
      <c r="AN169" s="1055"/>
      <c r="AO169" s="1055"/>
      <c r="AP169" s="1055"/>
      <c r="AQ169" s="1055"/>
    </row>
    <row r="170" spans="1:43" s="1609" customFormat="1" ht="17.25" customHeight="1">
      <c r="A170" s="1596"/>
      <c r="C170" s="1601"/>
      <c r="D170" s="1588"/>
      <c r="E170" s="1603"/>
      <c r="F170" s="1543"/>
      <c r="G170" s="1604"/>
      <c r="H170" s="1588"/>
      <c r="I170" s="1588"/>
      <c r="J170" s="1605"/>
      <c r="K170" s="1519"/>
      <c r="L170" s="1515"/>
      <c r="M170" s="1515"/>
      <c r="N170" s="1798"/>
      <c r="O170" s="1546"/>
      <c r="P170" s="2277"/>
      <c r="Q170" s="2277"/>
      <c r="R170" s="2605"/>
      <c r="S170" s="2276"/>
      <c r="T170" s="251"/>
      <c r="U170" s="252"/>
      <c r="V170" s="252" t="s">
        <v>498</v>
      </c>
      <c r="W170" s="253"/>
      <c r="Y170" s="1047"/>
      <c r="Z170" s="1047"/>
      <c r="AA170" s="1047"/>
      <c r="AB170" s="1047"/>
      <c r="AC170" s="1047"/>
      <c r="AD170" s="1047"/>
      <c r="AE170" s="1047"/>
      <c r="AF170" s="1047"/>
      <c r="AG170" s="1047"/>
      <c r="AH170" s="1047"/>
      <c r="AI170" s="1047"/>
      <c r="AJ170" s="1047"/>
      <c r="AK170" s="1047"/>
    </row>
    <row r="171" spans="1:43" ht="17.25" customHeight="1">
      <c r="G171" s="1595"/>
      <c r="H171" s="1595"/>
      <c r="I171" s="1595"/>
      <c r="M171" s="1591"/>
    </row>
    <row r="172" spans="1:43" s="1609" customFormat="1" ht="17.25" customHeight="1">
      <c r="A172" s="1596"/>
      <c r="C172" s="1598"/>
      <c r="D172" s="1588"/>
      <c r="E172" s="1603"/>
      <c r="F172" s="1543"/>
      <c r="G172" s="1604"/>
      <c r="H172" s="1515"/>
      <c r="I172" s="1515"/>
      <c r="J172" s="1516"/>
      <c r="K172" s="1604"/>
      <c r="L172" s="1515"/>
      <c r="M172" s="1515"/>
      <c r="N172" s="1604"/>
      <c r="O172" s="1604"/>
      <c r="P172" s="1515"/>
      <c r="Q172" s="1515"/>
      <c r="R172" s="1517"/>
      <c r="S172" s="1604"/>
      <c r="T172" s="1570"/>
      <c r="U172" s="1570" t="s">
        <v>161</v>
      </c>
      <c r="V172" s="1599" t="s">
        <v>9</v>
      </c>
      <c r="W172" s="1560"/>
      <c r="Y172" s="1055"/>
      <c r="Z172" s="1055"/>
      <c r="AA172" s="1055"/>
      <c r="AB172" s="1055"/>
      <c r="AC172" s="1055"/>
      <c r="AD172" s="1055"/>
      <c r="AE172" s="1055"/>
      <c r="AF172" s="1055"/>
      <c r="AG172" s="1055"/>
      <c r="AH172" s="1055"/>
      <c r="AI172" s="1055"/>
      <c r="AJ172" s="1055"/>
      <c r="AK172" s="1055"/>
      <c r="AL172" s="1600"/>
      <c r="AM172" s="1600"/>
      <c r="AN172" s="1055"/>
      <c r="AO172" s="1055"/>
      <c r="AP172" s="1055"/>
      <c r="AQ172" s="1055"/>
    </row>
    <row r="174" spans="1:43" s="1574" customFormat="1" ht="17.25" customHeight="1">
      <c r="A174" s="1574" t="s">
        <v>1991</v>
      </c>
    </row>
    <row r="175" spans="1:43" ht="17.25" customHeight="1">
      <c r="G175" s="1595"/>
      <c r="H175" s="1595"/>
      <c r="I175" s="1595"/>
      <c r="M175" s="1591"/>
    </row>
    <row r="176" spans="1:43" s="1609" customFormat="1" ht="17.25" customHeight="1">
      <c r="A176" s="1596"/>
      <c r="C176" s="1598"/>
      <c r="D176" s="2604"/>
      <c r="E176" s="2291"/>
      <c r="F176" s="2303"/>
      <c r="G176" s="2606"/>
      <c r="H176" s="2604"/>
      <c r="I176" s="2604">
        <v>1</v>
      </c>
      <c r="J176" s="2617"/>
      <c r="K176" s="2340" t="s">
        <v>52</v>
      </c>
      <c r="L176" s="2277"/>
      <c r="M176" s="2277" t="s">
        <v>161</v>
      </c>
      <c r="N176" s="2615" t="str">
        <f>IF(Z176="","",INDEX(TERRITORY_MR_LIST,MATCH(Z176,TERRITORY_LIST_ID,0)))</f>
        <v/>
      </c>
      <c r="O176" s="2340" t="s">
        <v>52</v>
      </c>
      <c r="P176" s="2277"/>
      <c r="Q176" s="2277" t="s">
        <v>161</v>
      </c>
      <c r="R176" s="2605" t="s">
        <v>9</v>
      </c>
      <c r="S176" s="2512" t="s">
        <v>6</v>
      </c>
      <c r="T176" s="1561"/>
      <c r="U176" s="1561" t="s">
        <v>161</v>
      </c>
      <c r="V176" s="1222"/>
      <c r="W176" s="2617"/>
      <c r="Y176" s="1055"/>
      <c r="Z176" s="1055"/>
      <c r="AA176" s="1055"/>
      <c r="AB176" s="1055"/>
      <c r="AC176" s="1055"/>
      <c r="AD176" s="1055"/>
      <c r="AE176" s="1055"/>
      <c r="AF176" s="1055"/>
      <c r="AG176" s="1055"/>
      <c r="AH176" s="1055"/>
      <c r="AI176" s="1055"/>
      <c r="AJ176" s="1055"/>
      <c r="AK176" s="1055"/>
      <c r="AL176" s="1600"/>
      <c r="AM176" s="1600"/>
      <c r="AN176" s="1055"/>
      <c r="AO176" s="1055"/>
      <c r="AP176" s="1055"/>
      <c r="AQ176" s="1055"/>
    </row>
    <row r="177" spans="1:43" s="1609" customFormat="1" ht="17.25" customHeight="1">
      <c r="A177" s="1596"/>
      <c r="C177" s="1601"/>
      <c r="D177" s="2604"/>
      <c r="E177" s="2291"/>
      <c r="F177" s="2304"/>
      <c r="G177" s="2606"/>
      <c r="H177" s="2604"/>
      <c r="I177" s="2604"/>
      <c r="J177" s="2617"/>
      <c r="K177" s="2341"/>
      <c r="L177" s="2277"/>
      <c r="M177" s="2277"/>
      <c r="N177" s="2615"/>
      <c r="O177" s="2341"/>
      <c r="P177" s="2277"/>
      <c r="Q177" s="2277"/>
      <c r="R177" s="2605"/>
      <c r="S177" s="2512"/>
      <c r="T177" s="1223"/>
      <c r="U177" s="1224"/>
      <c r="V177" s="1224"/>
      <c r="W177" s="2617"/>
      <c r="Y177" s="1047"/>
      <c r="Z177" s="1047"/>
      <c r="AA177" s="1047"/>
      <c r="AB177" s="1047"/>
      <c r="AC177" s="1047"/>
      <c r="AD177" s="1047"/>
      <c r="AE177" s="1047"/>
      <c r="AF177" s="1047"/>
      <c r="AG177" s="1047"/>
      <c r="AH177" s="1047"/>
      <c r="AI177" s="1047"/>
      <c r="AJ177" s="1047"/>
      <c r="AK177" s="1047"/>
    </row>
    <row r="178" spans="1:43" s="1609" customFormat="1" ht="17.25" customHeight="1">
      <c r="A178" s="1596"/>
      <c r="C178" s="1601"/>
      <c r="D178" s="2278"/>
      <c r="E178" s="2292"/>
      <c r="F178" s="2304"/>
      <c r="G178" s="2607"/>
      <c r="H178" s="2278"/>
      <c r="I178" s="2278"/>
      <c r="J178" s="2618"/>
      <c r="K178" s="2341"/>
      <c r="L178" s="2278"/>
      <c r="M178" s="2278"/>
      <c r="N178" s="2616"/>
      <c r="O178" s="2282"/>
      <c r="P178" s="251"/>
      <c r="Q178" s="252"/>
      <c r="R178" s="252" t="s">
        <v>499</v>
      </c>
      <c r="S178" s="1602"/>
      <c r="T178" s="1602"/>
      <c r="U178" s="1602"/>
      <c r="V178" s="1602"/>
      <c r="W178" s="1221"/>
      <c r="Y178" s="1047"/>
      <c r="Z178" s="1047"/>
      <c r="AA178" s="1047"/>
      <c r="AB178" s="1047"/>
      <c r="AC178" s="1047"/>
      <c r="AD178" s="1047"/>
      <c r="AE178" s="1047"/>
      <c r="AF178" s="1047"/>
      <c r="AG178" s="1047"/>
      <c r="AH178" s="1047"/>
      <c r="AI178" s="1047"/>
      <c r="AJ178" s="1047"/>
      <c r="AK178" s="1047"/>
    </row>
    <row r="179" spans="1:43" s="1609" customFormat="1" ht="17.25" customHeight="1">
      <c r="A179" s="1596"/>
      <c r="C179" s="1601"/>
      <c r="D179" s="2278"/>
      <c r="E179" s="2292"/>
      <c r="F179" s="2304"/>
      <c r="G179" s="2607"/>
      <c r="H179" s="2278"/>
      <c r="I179" s="2278"/>
      <c r="J179" s="2618"/>
      <c r="K179" s="2282"/>
      <c r="L179" s="251"/>
      <c r="M179" s="252"/>
      <c r="N179" s="252" t="s">
        <v>500</v>
      </c>
      <c r="O179" s="252"/>
      <c r="P179" s="252"/>
      <c r="Q179" s="252"/>
      <c r="R179" s="252"/>
      <c r="S179" s="1602"/>
      <c r="T179" s="1602"/>
      <c r="U179" s="1602"/>
      <c r="V179" s="1602"/>
      <c r="W179" s="253"/>
      <c r="Y179" s="1047"/>
      <c r="Z179" s="1047"/>
      <c r="AA179" s="1047"/>
      <c r="AB179" s="1047"/>
      <c r="AC179" s="1047"/>
      <c r="AD179" s="1047"/>
      <c r="AE179" s="1047"/>
      <c r="AF179" s="1047"/>
      <c r="AG179" s="1047"/>
      <c r="AH179" s="1047"/>
      <c r="AI179" s="1047"/>
      <c r="AJ179" s="1047"/>
      <c r="AK179" s="1047"/>
    </row>
    <row r="180" spans="1:43" s="1609" customFormat="1" ht="17.25" customHeight="1">
      <c r="A180" s="1596"/>
      <c r="C180" s="1601"/>
      <c r="D180" s="2278"/>
      <c r="E180" s="2292"/>
      <c r="F180" s="2305"/>
      <c r="G180" s="2607"/>
      <c r="H180" s="251"/>
      <c r="I180" s="252"/>
      <c r="J180" s="252" t="s">
        <v>532</v>
      </c>
      <c r="K180" s="252"/>
      <c r="L180" s="252"/>
      <c r="M180" s="252"/>
      <c r="N180" s="252"/>
      <c r="O180" s="252"/>
      <c r="P180" s="252"/>
      <c r="Q180" s="252"/>
      <c r="R180" s="252"/>
      <c r="S180" s="1602"/>
      <c r="T180" s="1602"/>
      <c r="U180" s="1602"/>
      <c r="V180" s="1602"/>
      <c r="W180" s="253"/>
      <c r="Y180" s="1047"/>
      <c r="Z180" s="1047"/>
      <c r="AA180" s="1047"/>
      <c r="AB180" s="1047"/>
      <c r="AC180" s="1047"/>
      <c r="AD180" s="1047"/>
      <c r="AE180" s="1047"/>
      <c r="AF180" s="1047"/>
      <c r="AG180" s="1047"/>
      <c r="AH180" s="1047"/>
      <c r="AI180" s="1047"/>
      <c r="AJ180" s="1047"/>
      <c r="AK180" s="1047"/>
    </row>
    <row r="181" spans="1:43" ht="17.25" customHeight="1"/>
    <row r="182" spans="1:43" s="1609" customFormat="1" ht="17.25" customHeight="1">
      <c r="A182" s="1596"/>
      <c r="C182" s="1598"/>
      <c r="D182" s="1588"/>
      <c r="E182" s="1603"/>
      <c r="F182" s="1543"/>
      <c r="G182" s="1604"/>
      <c r="H182" s="2604"/>
      <c r="I182" s="2604">
        <v>1</v>
      </c>
      <c r="J182" s="2617"/>
      <c r="K182" s="2340" t="s">
        <v>52</v>
      </c>
      <c r="L182" s="2277"/>
      <c r="M182" s="2277" t="s">
        <v>161</v>
      </c>
      <c r="N182" s="2615" t="str">
        <f>IF(Z182="","",INDEX(TERRITORY_MR_LIST,MATCH(Z182,TERRITORY_LIST_ID,0)))</f>
        <v/>
      </c>
      <c r="O182" s="2340" t="s">
        <v>52</v>
      </c>
      <c r="P182" s="2277"/>
      <c r="Q182" s="2277" t="s">
        <v>161</v>
      </c>
      <c r="R182" s="2605" t="s">
        <v>9</v>
      </c>
      <c r="S182" s="2512" t="s">
        <v>6</v>
      </c>
      <c r="T182" s="1561"/>
      <c r="U182" s="1561" t="s">
        <v>161</v>
      </c>
      <c r="V182" s="1222"/>
      <c r="W182" s="2617"/>
      <c r="Y182" s="1055"/>
      <c r="Z182" s="1055"/>
      <c r="AA182" s="1055"/>
      <c r="AB182" s="1055"/>
      <c r="AC182" s="1055"/>
      <c r="AD182" s="1055"/>
      <c r="AE182" s="1055"/>
      <c r="AF182" s="1055"/>
      <c r="AG182" s="1055"/>
      <c r="AH182" s="1055"/>
      <c r="AI182" s="1055"/>
      <c r="AJ182" s="1055"/>
      <c r="AK182" s="1055"/>
      <c r="AL182" s="1600"/>
      <c r="AM182" s="1600"/>
      <c r="AN182" s="1055"/>
      <c r="AO182" s="1055"/>
      <c r="AP182" s="1055"/>
      <c r="AQ182" s="1055"/>
    </row>
    <row r="183" spans="1:43" s="1609" customFormat="1" ht="17.25" customHeight="1">
      <c r="A183" s="1596"/>
      <c r="C183" s="1601"/>
      <c r="D183" s="1588"/>
      <c r="E183" s="1603"/>
      <c r="F183" s="1543"/>
      <c r="G183" s="1604"/>
      <c r="H183" s="2604"/>
      <c r="I183" s="2604"/>
      <c r="J183" s="2617"/>
      <c r="K183" s="2341"/>
      <c r="L183" s="2277"/>
      <c r="M183" s="2277"/>
      <c r="N183" s="2615"/>
      <c r="O183" s="2341"/>
      <c r="P183" s="2277"/>
      <c r="Q183" s="2277"/>
      <c r="R183" s="2605"/>
      <c r="S183" s="2512"/>
      <c r="T183" s="1223"/>
      <c r="U183" s="1224"/>
      <c r="V183" s="1224"/>
      <c r="W183" s="2617"/>
      <c r="Y183" s="1047"/>
      <c r="Z183" s="1047"/>
      <c r="AA183" s="1047"/>
      <c r="AB183" s="1047"/>
      <c r="AC183" s="1047"/>
      <c r="AD183" s="1047"/>
      <c r="AE183" s="1047"/>
      <c r="AF183" s="1047"/>
      <c r="AG183" s="1047"/>
      <c r="AH183" s="1047"/>
      <c r="AI183" s="1047"/>
      <c r="AJ183" s="1047"/>
      <c r="AK183" s="1047"/>
    </row>
    <row r="184" spans="1:43" s="1609" customFormat="1" ht="17.25" customHeight="1">
      <c r="A184" s="1596"/>
      <c r="C184" s="1601"/>
      <c r="D184" s="1588"/>
      <c r="E184" s="1603"/>
      <c r="F184" s="1543"/>
      <c r="G184" s="1604"/>
      <c r="H184" s="2278"/>
      <c r="I184" s="2278"/>
      <c r="J184" s="2618"/>
      <c r="K184" s="2341"/>
      <c r="L184" s="2278"/>
      <c r="M184" s="2278"/>
      <c r="N184" s="2616"/>
      <c r="O184" s="2282"/>
      <c r="P184" s="251"/>
      <c r="Q184" s="252"/>
      <c r="R184" s="252" t="s">
        <v>499</v>
      </c>
      <c r="S184" s="1602"/>
      <c r="T184" s="1602"/>
      <c r="U184" s="1602"/>
      <c r="V184" s="1602"/>
      <c r="W184" s="1221"/>
      <c r="Y184" s="1047"/>
      <c r="Z184" s="1047"/>
      <c r="AA184" s="1047"/>
      <c r="AB184" s="1047"/>
      <c r="AC184" s="1047"/>
      <c r="AD184" s="1047"/>
      <c r="AE184" s="1047"/>
      <c r="AF184" s="1047"/>
      <c r="AG184" s="1047"/>
      <c r="AH184" s="1047"/>
      <c r="AI184" s="1047"/>
      <c r="AJ184" s="1047"/>
      <c r="AK184" s="1047"/>
    </row>
    <row r="185" spans="1:43" s="1609" customFormat="1" ht="17.25" customHeight="1">
      <c r="A185" s="1596"/>
      <c r="C185" s="1601"/>
      <c r="D185" s="1588"/>
      <c r="E185" s="1603"/>
      <c r="F185" s="1543"/>
      <c r="G185" s="1604"/>
      <c r="H185" s="2278"/>
      <c r="I185" s="2278"/>
      <c r="J185" s="2618"/>
      <c r="K185" s="2282"/>
      <c r="L185" s="251"/>
      <c r="M185" s="252"/>
      <c r="N185" s="252" t="s">
        <v>500</v>
      </c>
      <c r="O185" s="252"/>
      <c r="P185" s="252"/>
      <c r="Q185" s="252"/>
      <c r="R185" s="252"/>
      <c r="S185" s="1602"/>
      <c r="T185" s="1602"/>
      <c r="U185" s="1602"/>
      <c r="V185" s="1602"/>
      <c r="W185" s="253"/>
      <c r="Y185" s="1047"/>
      <c r="Z185" s="1047"/>
      <c r="AA185" s="1047"/>
      <c r="AB185" s="1047"/>
      <c r="AC185" s="1047"/>
      <c r="AD185" s="1047"/>
      <c r="AE185" s="1047"/>
      <c r="AF185" s="1047"/>
      <c r="AG185" s="1047"/>
      <c r="AH185" s="1047"/>
      <c r="AI185" s="1047"/>
      <c r="AJ185" s="1047"/>
      <c r="AK185" s="1047"/>
    </row>
    <row r="186" spans="1:43" ht="17.25" customHeight="1"/>
    <row r="187" spans="1:43" s="1609" customFormat="1" ht="17.25" customHeight="1">
      <c r="A187" s="1596"/>
      <c r="C187" s="1598"/>
      <c r="D187" s="1588"/>
      <c r="E187" s="1603"/>
      <c r="F187" s="1543"/>
      <c r="G187" s="1604"/>
      <c r="H187" s="1588"/>
      <c r="I187" s="1588"/>
      <c r="J187" s="1607"/>
      <c r="K187" s="1604"/>
      <c r="L187" s="2277"/>
      <c r="M187" s="2277" t="s">
        <v>161</v>
      </c>
      <c r="N187" s="2615" t="str">
        <f>IF(Z187="","",INDEX(TERRITORY_MR_LIST,MATCH(Z187,TERRITORY_LIST_ID,0)))</f>
        <v/>
      </c>
      <c r="O187" s="2340" t="s">
        <v>52</v>
      </c>
      <c r="P187" s="2277"/>
      <c r="Q187" s="2277" t="s">
        <v>161</v>
      </c>
      <c r="R187" s="2605" t="s">
        <v>9</v>
      </c>
      <c r="S187" s="2512" t="s">
        <v>6</v>
      </c>
      <c r="T187" s="1561"/>
      <c r="U187" s="1561" t="s">
        <v>161</v>
      </c>
      <c r="V187" s="1222"/>
      <c r="W187" s="2617"/>
      <c r="Y187" s="1055"/>
      <c r="Z187" s="1055"/>
      <c r="AA187" s="1055"/>
      <c r="AB187" s="1055"/>
      <c r="AC187" s="1055"/>
      <c r="AD187" s="1055"/>
      <c r="AE187" s="1055"/>
      <c r="AF187" s="1055"/>
      <c r="AG187" s="1055"/>
      <c r="AH187" s="1055"/>
      <c r="AI187" s="1055"/>
      <c r="AJ187" s="1055"/>
      <c r="AK187" s="1055"/>
      <c r="AL187" s="1600"/>
      <c r="AM187" s="1600"/>
      <c r="AN187" s="1055"/>
      <c r="AO187" s="1055"/>
      <c r="AP187" s="1055"/>
      <c r="AQ187" s="1055"/>
    </row>
    <row r="188" spans="1:43" s="1609" customFormat="1" ht="17.25" customHeight="1">
      <c r="A188" s="1596"/>
      <c r="C188" s="1601"/>
      <c r="D188" s="1588"/>
      <c r="E188" s="1603"/>
      <c r="F188" s="1543"/>
      <c r="G188" s="1604"/>
      <c r="H188" s="1588"/>
      <c r="I188" s="1588"/>
      <c r="J188" s="1607"/>
      <c r="K188" s="1604"/>
      <c r="L188" s="2277"/>
      <c r="M188" s="2277"/>
      <c r="N188" s="2615"/>
      <c r="O188" s="2341"/>
      <c r="P188" s="2277"/>
      <c r="Q188" s="2277"/>
      <c r="R188" s="2605"/>
      <c r="S188" s="2512"/>
      <c r="T188" s="1223"/>
      <c r="U188" s="1224"/>
      <c r="V188" s="1224"/>
      <c r="W188" s="2617"/>
      <c r="Y188" s="1047"/>
      <c r="Z188" s="1047"/>
      <c r="AA188" s="1047"/>
      <c r="AB188" s="1047"/>
      <c r="AC188" s="1047"/>
      <c r="AD188" s="1047"/>
      <c r="AE188" s="1047"/>
      <c r="AF188" s="1047"/>
      <c r="AG188" s="1047"/>
      <c r="AH188" s="1047"/>
      <c r="AI188" s="1047"/>
      <c r="AJ188" s="1047"/>
      <c r="AK188" s="1047"/>
    </row>
    <row r="189" spans="1:43" s="1609" customFormat="1" ht="17.25" customHeight="1">
      <c r="A189" s="1596"/>
      <c r="C189" s="1601"/>
      <c r="D189" s="1588"/>
      <c r="E189" s="1603"/>
      <c r="F189" s="1543"/>
      <c r="G189" s="1604"/>
      <c r="H189" s="1588"/>
      <c r="I189" s="1588"/>
      <c r="J189" s="1607"/>
      <c r="K189" s="1604"/>
      <c r="L189" s="2278"/>
      <c r="M189" s="2278"/>
      <c r="N189" s="2616"/>
      <c r="O189" s="2282"/>
      <c r="P189" s="251"/>
      <c r="Q189" s="252"/>
      <c r="R189" s="252" t="s">
        <v>499</v>
      </c>
      <c r="S189" s="1602"/>
      <c r="T189" s="1602"/>
      <c r="U189" s="1602"/>
      <c r="V189" s="1602"/>
      <c r="W189" s="1221"/>
      <c r="Y189" s="1047"/>
      <c r="Z189" s="1047"/>
      <c r="AA189" s="1047"/>
      <c r="AB189" s="1047"/>
      <c r="AC189" s="1047"/>
      <c r="AD189" s="1047"/>
      <c r="AE189" s="1047"/>
      <c r="AF189" s="1047"/>
      <c r="AG189" s="1047"/>
      <c r="AH189" s="1047"/>
      <c r="AI189" s="1047"/>
      <c r="AJ189" s="1047"/>
      <c r="AK189" s="1047"/>
    </row>
    <row r="190" spans="1:43" ht="17.25" customHeight="1"/>
    <row r="191" spans="1:43" s="1609" customFormat="1" ht="17.25" customHeight="1">
      <c r="A191" s="1596"/>
      <c r="C191" s="1598"/>
      <c r="D191" s="1588"/>
      <c r="E191" s="1603"/>
      <c r="F191" s="1543"/>
      <c r="G191" s="1604"/>
      <c r="H191" s="1588"/>
      <c r="I191" s="1588"/>
      <c r="J191" s="1607"/>
      <c r="K191" s="1604"/>
      <c r="L191" s="1588"/>
      <c r="M191" s="1588"/>
      <c r="N191" s="1798"/>
      <c r="O191" s="1546"/>
      <c r="P191" s="2277"/>
      <c r="Q191" s="2277" t="s">
        <v>161</v>
      </c>
      <c r="R191" s="2605" t="s">
        <v>9</v>
      </c>
      <c r="S191" s="2512" t="s">
        <v>6</v>
      </c>
      <c r="T191" s="1561"/>
      <c r="U191" s="1561" t="s">
        <v>161</v>
      </c>
      <c r="V191" s="1222"/>
      <c r="W191" s="2617"/>
      <c r="Y191" s="1055"/>
      <c r="Z191" s="1055"/>
      <c r="AA191" s="1055"/>
      <c r="AB191" s="1055"/>
      <c r="AC191" s="1055"/>
      <c r="AD191" s="1055"/>
      <c r="AE191" s="1055"/>
      <c r="AF191" s="1055"/>
      <c r="AG191" s="1055"/>
      <c r="AH191" s="1055"/>
      <c r="AI191" s="1055"/>
      <c r="AJ191" s="1055"/>
      <c r="AK191" s="1055"/>
      <c r="AL191" s="1600"/>
      <c r="AM191" s="1600"/>
      <c r="AN191" s="1055"/>
      <c r="AO191" s="1055"/>
      <c r="AP191" s="1055"/>
      <c r="AQ191" s="1055"/>
    </row>
    <row r="192" spans="1:43" s="1609" customFormat="1" ht="17.25" customHeight="1">
      <c r="A192" s="1596"/>
      <c r="C192" s="1601"/>
      <c r="D192" s="1588"/>
      <c r="E192" s="1603"/>
      <c r="F192" s="1543"/>
      <c r="G192" s="1604"/>
      <c r="H192" s="1588"/>
      <c r="I192" s="1588"/>
      <c r="J192" s="1607"/>
      <c r="K192" s="1604"/>
      <c r="L192" s="1588"/>
      <c r="M192" s="1588"/>
      <c r="N192" s="1798"/>
      <c r="O192" s="1546"/>
      <c r="P192" s="2277"/>
      <c r="Q192" s="2277"/>
      <c r="R192" s="2605"/>
      <c r="S192" s="2512"/>
      <c r="T192" s="1223"/>
      <c r="U192" s="1224"/>
      <c r="V192" s="1224"/>
      <c r="W192" s="2617"/>
      <c r="Y192" s="1047"/>
      <c r="Z192" s="1047"/>
      <c r="AA192" s="1047"/>
      <c r="AB192" s="1047"/>
      <c r="AC192" s="1047"/>
      <c r="AD192" s="1047"/>
      <c r="AE192" s="1047"/>
      <c r="AF192" s="1047"/>
      <c r="AG192" s="1047"/>
      <c r="AH192" s="1047"/>
      <c r="AI192" s="1047"/>
      <c r="AJ192" s="1047"/>
      <c r="AK192" s="1047"/>
    </row>
    <row r="193" spans="1:63" ht="17.25" customHeight="1"/>
    <row r="194" spans="1:63" ht="16.5" customHeight="1">
      <c r="A194" s="1596"/>
      <c r="B194" s="1597"/>
      <c r="C194" s="1601"/>
      <c r="D194" s="2604"/>
      <c r="E194" s="2337"/>
      <c r="F194" s="2337"/>
      <c r="G194" s="2266"/>
      <c r="H194" s="2293"/>
      <c r="I194" s="2295"/>
      <c r="J194" s="2297"/>
      <c r="K194" s="2289"/>
      <c r="L194" s="2289"/>
      <c r="M194" s="2289"/>
      <c r="N194" s="2300"/>
      <c r="O194" s="2289"/>
      <c r="P194" s="2289"/>
      <c r="Q194" s="2289"/>
      <c r="R194" s="2287"/>
      <c r="S194" s="2289"/>
      <c r="T194" s="1542"/>
      <c r="U194" s="1542"/>
      <c r="V194" s="1608"/>
      <c r="W194" s="1084"/>
    </row>
    <row r="195" spans="1:63" ht="16.5" customHeight="1">
      <c r="A195" s="1596"/>
      <c r="B195" s="1597"/>
      <c r="C195" s="1601"/>
      <c r="D195" s="2604"/>
      <c r="E195" s="2337"/>
      <c r="F195" s="2337"/>
      <c r="G195" s="2266"/>
      <c r="H195" s="2294"/>
      <c r="I195" s="2296"/>
      <c r="J195" s="2298"/>
      <c r="K195" s="2290"/>
      <c r="L195" s="2290"/>
      <c r="M195" s="2290"/>
      <c r="N195" s="2301"/>
      <c r="O195" s="2290"/>
      <c r="P195" s="2290"/>
      <c r="Q195" s="2290"/>
      <c r="R195" s="2288"/>
      <c r="S195" s="2290"/>
      <c r="T195" s="1085"/>
      <c r="U195" s="1085"/>
      <c r="V195" s="1085"/>
      <c r="W195" s="1086"/>
    </row>
    <row r="196" spans="1:63" ht="17.25" customHeight="1">
      <c r="A196" s="1596"/>
      <c r="B196" s="1597"/>
      <c r="C196" s="1601"/>
      <c r="D196" s="2604"/>
      <c r="E196" s="2337"/>
      <c r="F196" s="2337"/>
      <c r="G196" s="2266"/>
      <c r="H196" s="2294"/>
      <c r="I196" s="2296"/>
      <c r="J196" s="2299"/>
      <c r="K196" s="2290"/>
      <c r="L196" s="2290"/>
      <c r="M196" s="2290"/>
      <c r="N196" s="2288"/>
      <c r="O196" s="2290"/>
      <c r="P196" s="1545"/>
      <c r="Q196" s="1085"/>
      <c r="R196" s="1085"/>
      <c r="S196" s="1609"/>
      <c r="T196" s="1609"/>
      <c r="U196" s="1609"/>
      <c r="V196" s="1609"/>
      <c r="W196" s="1086"/>
    </row>
    <row r="197" spans="1:63" ht="17.25" customHeight="1">
      <c r="A197" s="1596"/>
      <c r="B197" s="1597"/>
      <c r="C197" s="1601"/>
      <c r="D197" s="2604"/>
      <c r="E197" s="2337"/>
      <c r="F197" s="2337"/>
      <c r="G197" s="2266"/>
      <c r="H197" s="2294"/>
      <c r="I197" s="2296"/>
      <c r="J197" s="2299"/>
      <c r="K197" s="2290"/>
      <c r="L197" s="1085"/>
      <c r="M197" s="1085"/>
      <c r="N197" s="1085"/>
      <c r="O197" s="1085"/>
      <c r="P197" s="1085"/>
      <c r="Q197" s="1085"/>
      <c r="R197" s="1085"/>
      <c r="S197" s="1609"/>
      <c r="T197" s="1609"/>
      <c r="U197" s="1609"/>
      <c r="V197" s="1609"/>
      <c r="W197" s="1086"/>
    </row>
    <row r="198" spans="1:63" ht="17.25" customHeight="1">
      <c r="A198" s="1596"/>
      <c r="B198" s="1597"/>
      <c r="C198" s="1601"/>
      <c r="D198" s="2604"/>
      <c r="E198" s="2337"/>
      <c r="F198" s="2337"/>
      <c r="G198" s="2266"/>
      <c r="H198" s="1087"/>
      <c r="I198" s="1088"/>
      <c r="J198" s="1088"/>
      <c r="K198" s="1088"/>
      <c r="L198" s="1088"/>
      <c r="M198" s="1088"/>
      <c r="N198" s="1088"/>
      <c r="O198" s="1088"/>
      <c r="P198" s="1088"/>
      <c r="Q198" s="1088"/>
      <c r="R198" s="1088"/>
      <c r="S198" s="1610"/>
      <c r="T198" s="1610"/>
      <c r="U198" s="1610"/>
      <c r="V198" s="1610"/>
      <c r="W198" s="1090"/>
    </row>
    <row r="200" spans="1:63" s="1574" customFormat="1" ht="17.25" customHeight="1">
      <c r="A200" s="1574" t="s">
        <v>1992</v>
      </c>
    </row>
    <row r="201" spans="1:63" ht="17.25" customHeight="1">
      <c r="G201" s="1595"/>
      <c r="H201" s="1595"/>
      <c r="I201" s="1595"/>
      <c r="M201" s="1591"/>
    </row>
    <row r="202" spans="1:63" s="1606" customFormat="1" ht="15" customHeight="1">
      <c r="D202" s="2626"/>
      <c r="E202" s="2332"/>
      <c r="F202" s="2332"/>
      <c r="G202" s="2340"/>
      <c r="H202" s="1352"/>
      <c r="I202" s="2627">
        <v>1</v>
      </c>
      <c r="J202" s="2617"/>
      <c r="K202" s="1367"/>
      <c r="L202" s="2340" t="s">
        <v>52</v>
      </c>
      <c r="M202" s="2340" t="s">
        <v>52</v>
      </c>
      <c r="N202" s="1352"/>
      <c r="O202" s="2277" t="s">
        <v>161</v>
      </c>
      <c r="P202" s="2546"/>
      <c r="Q202" s="1368"/>
      <c r="R202" s="2340" t="s">
        <v>52</v>
      </c>
      <c r="S202" s="2340" t="s">
        <v>52</v>
      </c>
      <c r="T202" s="1611"/>
      <c r="U202" s="2277" t="s">
        <v>161</v>
      </c>
      <c r="V202" s="2623" t="str">
        <f>IF(AK202="","",INDEX(TERRITORY_MR_LIST,MATCH(AK202,TERRITORY_LIST_ID,0)))</f>
        <v/>
      </c>
      <c r="W202" s="1369"/>
      <c r="X202" s="2340" t="s">
        <v>52</v>
      </c>
      <c r="Y202" s="2340" t="s">
        <v>6</v>
      </c>
      <c r="Z202" s="1352"/>
      <c r="AA202" s="2277" t="s">
        <v>161</v>
      </c>
      <c r="AB202" s="2625"/>
      <c r="AC202" s="1370"/>
      <c r="AD202" s="2340" t="s">
        <v>52</v>
      </c>
      <c r="AE202" s="2340" t="s">
        <v>6</v>
      </c>
      <c r="AF202" s="1350"/>
      <c r="AG202" s="1570" t="s">
        <v>161</v>
      </c>
      <c r="AH202" s="1360"/>
      <c r="AI202" s="1560"/>
    </row>
    <row r="203" spans="1:63" s="1606" customFormat="1" ht="15" customHeight="1">
      <c r="D203" s="2626"/>
      <c r="E203" s="2332"/>
      <c r="F203" s="2332"/>
      <c r="G203" s="2341"/>
      <c r="H203" s="1352"/>
      <c r="I203" s="2627"/>
      <c r="J203" s="2617"/>
      <c r="K203" s="1351"/>
      <c r="L203" s="2341"/>
      <c r="M203" s="2341"/>
      <c r="N203" s="1352"/>
      <c r="O203" s="2277"/>
      <c r="P203" s="2546"/>
      <c r="Q203" s="1348"/>
      <c r="R203" s="2341"/>
      <c r="S203" s="2341"/>
      <c r="T203" s="1611"/>
      <c r="U203" s="2277"/>
      <c r="V203" s="2624"/>
      <c r="W203" s="1349"/>
      <c r="X203" s="2341"/>
      <c r="Y203" s="2341"/>
      <c r="Z203" s="1352"/>
      <c r="AA203" s="2277"/>
      <c r="AB203" s="2594"/>
      <c r="AC203" s="1353"/>
      <c r="AD203" s="2282"/>
      <c r="AE203" s="2282"/>
      <c r="AF203" s="1354"/>
      <c r="AG203" s="1355"/>
      <c r="AH203" s="2629" t="s">
        <v>1993</v>
      </c>
      <c r="AI203" s="2630"/>
    </row>
    <row r="204" spans="1:63" s="1606" customFormat="1" ht="15" customHeight="1">
      <c r="D204" s="2626"/>
      <c r="E204" s="2332"/>
      <c r="F204" s="2332"/>
      <c r="G204" s="2341"/>
      <c r="H204" s="1352"/>
      <c r="I204" s="2627"/>
      <c r="J204" s="2617"/>
      <c r="K204" s="1351"/>
      <c r="L204" s="2341"/>
      <c r="M204" s="2341"/>
      <c r="N204" s="1352"/>
      <c r="O204" s="2277"/>
      <c r="P204" s="2546"/>
      <c r="Q204" s="1348"/>
      <c r="R204" s="2341"/>
      <c r="S204" s="2341"/>
      <c r="T204" s="1611"/>
      <c r="U204" s="2277"/>
      <c r="V204" s="2624"/>
      <c r="W204" s="1349"/>
      <c r="X204" s="2341"/>
      <c r="Y204" s="2341"/>
      <c r="Z204" s="1391"/>
      <c r="AA204" s="1357"/>
      <c r="AB204" s="2631" t="s">
        <v>1994</v>
      </c>
      <c r="AC204" s="2631"/>
      <c r="AD204" s="2631"/>
      <c r="AE204" s="2631"/>
      <c r="AF204" s="2631"/>
      <c r="AG204" s="2631"/>
      <c r="AH204" s="2631"/>
      <c r="AI204" s="2632"/>
    </row>
    <row r="205" spans="1:63" s="1606" customFormat="1" ht="15" customHeight="1">
      <c r="D205" s="2626"/>
      <c r="E205" s="2332"/>
      <c r="F205" s="2332"/>
      <c r="G205" s="2341"/>
      <c r="H205" s="1352"/>
      <c r="I205" s="2627"/>
      <c r="J205" s="2617"/>
      <c r="K205" s="1351"/>
      <c r="L205" s="2341"/>
      <c r="M205" s="2341"/>
      <c r="N205" s="1352"/>
      <c r="O205" s="2277"/>
      <c r="P205" s="2633"/>
      <c r="Q205" s="1348"/>
      <c r="R205" s="2341"/>
      <c r="S205" s="2341"/>
      <c r="T205" s="1612"/>
      <c r="U205" s="1392"/>
      <c r="V205" s="2629" t="s">
        <v>155</v>
      </c>
      <c r="W205" s="2629"/>
      <c r="X205" s="2629"/>
      <c r="Y205" s="2629"/>
      <c r="Z205" s="2629"/>
      <c r="AA205" s="2629"/>
      <c r="AB205" s="2629"/>
      <c r="AC205" s="2629"/>
      <c r="AD205" s="2629"/>
      <c r="AE205" s="2629"/>
      <c r="AF205" s="2629"/>
      <c r="AG205" s="2629"/>
      <c r="AH205" s="2629"/>
      <c r="AI205" s="2630"/>
    </row>
    <row r="206" spans="1:63" s="1606" customFormat="1" ht="11.25" customHeight="1">
      <c r="D206" s="2626"/>
      <c r="E206" s="2332"/>
      <c r="F206" s="2332"/>
      <c r="G206" s="2341"/>
      <c r="H206" s="1356"/>
      <c r="I206" s="2627"/>
      <c r="J206" s="2628"/>
      <c r="K206" s="1351"/>
      <c r="L206" s="2341"/>
      <c r="M206" s="2341"/>
      <c r="N206" s="1356"/>
      <c r="O206" s="1357"/>
      <c r="P206" s="2629" t="s">
        <v>1995</v>
      </c>
      <c r="Q206" s="2629"/>
      <c r="R206" s="2629"/>
      <c r="S206" s="2629"/>
      <c r="T206" s="2629"/>
      <c r="U206" s="2629"/>
      <c r="V206" s="2629"/>
      <c r="W206" s="2629"/>
      <c r="X206" s="2629"/>
      <c r="Y206" s="2629"/>
      <c r="Z206" s="2629"/>
      <c r="AA206" s="2629"/>
      <c r="AB206" s="2629"/>
      <c r="AC206" s="2629"/>
      <c r="AD206" s="2629"/>
      <c r="AE206" s="2629"/>
      <c r="AF206" s="2629"/>
      <c r="AG206" s="2629"/>
      <c r="AH206" s="2629"/>
      <c r="AI206" s="2630"/>
    </row>
    <row r="207" spans="1:63" s="1342" customFormat="1" ht="11.25" customHeight="1">
      <c r="D207" s="2626"/>
      <c r="E207" s="2332"/>
      <c r="F207" s="2332"/>
      <c r="G207" s="2282"/>
      <c r="H207" s="1358"/>
      <c r="I207" s="1359"/>
      <c r="J207" s="2629" t="s">
        <v>532</v>
      </c>
      <c r="K207" s="2629"/>
      <c r="L207" s="2629"/>
      <c r="M207" s="2629"/>
      <c r="N207" s="2629"/>
      <c r="O207" s="2629"/>
      <c r="P207" s="2629"/>
      <c r="Q207" s="2629"/>
      <c r="R207" s="2629"/>
      <c r="S207" s="2629"/>
      <c r="T207" s="2629"/>
      <c r="U207" s="2629"/>
      <c r="V207" s="2629"/>
      <c r="W207" s="2629"/>
      <c r="X207" s="2629"/>
      <c r="Y207" s="2629"/>
      <c r="Z207" s="2629"/>
      <c r="AA207" s="2629"/>
      <c r="AB207" s="2629"/>
      <c r="AC207" s="2629"/>
      <c r="AD207" s="2629"/>
      <c r="AE207" s="2629"/>
      <c r="AF207" s="2629"/>
      <c r="AG207" s="2629"/>
      <c r="AH207" s="2629"/>
      <c r="AI207" s="2630"/>
      <c r="BK207" s="1362"/>
    </row>
    <row r="208" spans="1:63" ht="17.25" customHeight="1">
      <c r="G208" s="1595"/>
      <c r="I208" s="1595"/>
      <c r="J208" s="1595"/>
      <c r="N208" s="1591"/>
    </row>
    <row r="209" spans="4:63" s="1606" customFormat="1" ht="15" customHeight="1">
      <c r="D209" s="2626"/>
      <c r="E209" s="2332"/>
      <c r="F209" s="2332"/>
      <c r="G209" s="2337"/>
      <c r="H209" s="1387"/>
      <c r="I209" s="2342"/>
      <c r="J209" s="2297"/>
      <c r="K209" s="1544"/>
      <c r="L209" s="2289"/>
      <c r="M209" s="2289"/>
      <c r="N209" s="1372"/>
      <c r="O209" s="2289"/>
      <c r="P209" s="2297"/>
      <c r="Q209" s="1548"/>
      <c r="R209" s="2289"/>
      <c r="S209" s="2289"/>
      <c r="T209" s="1613"/>
      <c r="U209" s="2289"/>
      <c r="V209" s="2297"/>
      <c r="W209" s="1375"/>
      <c r="X209" s="2289"/>
      <c r="Y209" s="2289"/>
      <c r="Z209" s="1372"/>
      <c r="AA209" s="2289"/>
      <c r="AB209" s="2297"/>
      <c r="AC209" s="1376"/>
      <c r="AD209" s="2289"/>
      <c r="AE209" s="2289"/>
      <c r="AF209" s="1542"/>
      <c r="AG209" s="1542"/>
      <c r="AH209" s="1377"/>
      <c r="AI209" s="1084"/>
    </row>
    <row r="210" spans="4:63" s="1606" customFormat="1" ht="15" customHeight="1">
      <c r="D210" s="2626"/>
      <c r="E210" s="2332"/>
      <c r="F210" s="2332"/>
      <c r="G210" s="2337"/>
      <c r="H210" s="1388"/>
      <c r="I210" s="2343"/>
      <c r="J210" s="2298"/>
      <c r="K210" s="1398"/>
      <c r="L210" s="2290"/>
      <c r="M210" s="2290"/>
      <c r="N210" s="1378"/>
      <c r="O210" s="2290"/>
      <c r="P210" s="2298"/>
      <c r="Q210" s="1549"/>
      <c r="R210" s="2290"/>
      <c r="S210" s="2290"/>
      <c r="T210" s="1614"/>
      <c r="U210" s="2290"/>
      <c r="V210" s="2298"/>
      <c r="W210" s="1381"/>
      <c r="X210" s="2290"/>
      <c r="Y210" s="2290"/>
      <c r="Z210" s="1378"/>
      <c r="AA210" s="2290"/>
      <c r="AB210" s="2298"/>
      <c r="AC210" s="1382"/>
      <c r="AD210" s="2290"/>
      <c r="AE210" s="2290"/>
      <c r="AF210" s="1547"/>
      <c r="AG210" s="1547"/>
      <c r="AH210" s="2346"/>
      <c r="AI210" s="2347"/>
    </row>
    <row r="211" spans="4:63" s="1606" customFormat="1" ht="15" customHeight="1">
      <c r="D211" s="2626"/>
      <c r="E211" s="2332"/>
      <c r="F211" s="2332"/>
      <c r="G211" s="2337"/>
      <c r="H211" s="1388"/>
      <c r="I211" s="2343"/>
      <c r="J211" s="2298"/>
      <c r="K211" s="1398"/>
      <c r="L211" s="2290"/>
      <c r="M211" s="2290"/>
      <c r="N211" s="1378"/>
      <c r="O211" s="2290"/>
      <c r="P211" s="2298"/>
      <c r="Q211" s="1549"/>
      <c r="R211" s="2290"/>
      <c r="S211" s="2290"/>
      <c r="T211" s="1614"/>
      <c r="U211" s="2290"/>
      <c r="V211" s="2298"/>
      <c r="W211" s="1381"/>
      <c r="X211" s="2290"/>
      <c r="Y211" s="2290"/>
      <c r="Z211" s="1545"/>
      <c r="AA211" s="1547"/>
      <c r="AB211" s="2346"/>
      <c r="AC211" s="2346"/>
      <c r="AD211" s="2346"/>
      <c r="AE211" s="2346"/>
      <c r="AF211" s="2346"/>
      <c r="AG211" s="2346"/>
      <c r="AH211" s="2346"/>
      <c r="AI211" s="2347"/>
    </row>
    <row r="212" spans="4:63" s="1606" customFormat="1" ht="15" customHeight="1">
      <c r="D212" s="2626"/>
      <c r="E212" s="2332"/>
      <c r="F212" s="2332"/>
      <c r="G212" s="2337"/>
      <c r="H212" s="1388"/>
      <c r="I212" s="2343"/>
      <c r="J212" s="2298"/>
      <c r="K212" s="1398"/>
      <c r="L212" s="2290"/>
      <c r="M212" s="2290"/>
      <c r="N212" s="1378"/>
      <c r="O212" s="2290"/>
      <c r="P212" s="2298"/>
      <c r="Q212" s="1549"/>
      <c r="R212" s="2290"/>
      <c r="S212" s="2290"/>
      <c r="T212" s="1615"/>
      <c r="U212" s="1385"/>
      <c r="V212" s="2346"/>
      <c r="W212" s="2346"/>
      <c r="X212" s="2346"/>
      <c r="Y212" s="2346"/>
      <c r="Z212" s="2346"/>
      <c r="AA212" s="2346"/>
      <c r="AB212" s="2346"/>
      <c r="AC212" s="2346"/>
      <c r="AD212" s="2346"/>
      <c r="AE212" s="2346"/>
      <c r="AF212" s="2346"/>
      <c r="AG212" s="2346"/>
      <c r="AH212" s="2346"/>
      <c r="AI212" s="2347"/>
    </row>
    <row r="213" spans="4:63" s="1606" customFormat="1" ht="11.25" customHeight="1">
      <c r="D213" s="2626"/>
      <c r="E213" s="2332"/>
      <c r="F213" s="2332"/>
      <c r="G213" s="2337"/>
      <c r="H213" s="1389"/>
      <c r="I213" s="2343"/>
      <c r="J213" s="2298"/>
      <c r="K213" s="1398"/>
      <c r="L213" s="2290"/>
      <c r="M213" s="2290"/>
      <c r="N213" s="1547"/>
      <c r="O213" s="1547"/>
      <c r="P213" s="2346"/>
      <c r="Q213" s="2346"/>
      <c r="R213" s="2346"/>
      <c r="S213" s="2346"/>
      <c r="T213" s="2346"/>
      <c r="U213" s="2346"/>
      <c r="V213" s="2346"/>
      <c r="W213" s="2346"/>
      <c r="X213" s="2346"/>
      <c r="Y213" s="2346"/>
      <c r="Z213" s="2346"/>
      <c r="AA213" s="2346"/>
      <c r="AB213" s="2346"/>
      <c r="AC213" s="2346"/>
      <c r="AD213" s="2346"/>
      <c r="AE213" s="2346"/>
      <c r="AF213" s="2346"/>
      <c r="AG213" s="2346"/>
      <c r="AH213" s="2346"/>
      <c r="AI213" s="2347"/>
    </row>
    <row r="214" spans="4:63" s="1342" customFormat="1" ht="11.25" customHeight="1">
      <c r="D214" s="2626"/>
      <c r="E214" s="2332"/>
      <c r="F214" s="2332"/>
      <c r="G214" s="2348"/>
      <c r="H214" s="1386"/>
      <c r="I214" s="1390"/>
      <c r="J214" s="2344"/>
      <c r="K214" s="2344"/>
      <c r="L214" s="2344"/>
      <c r="M214" s="2344"/>
      <c r="N214" s="2344"/>
      <c r="O214" s="2344"/>
      <c r="P214" s="2344"/>
      <c r="Q214" s="2344"/>
      <c r="R214" s="2344"/>
      <c r="S214" s="2344"/>
      <c r="T214" s="2344"/>
      <c r="U214" s="2344"/>
      <c r="V214" s="2344"/>
      <c r="W214" s="2344"/>
      <c r="X214" s="2344"/>
      <c r="Y214" s="2344"/>
      <c r="Z214" s="2344"/>
      <c r="AA214" s="2344"/>
      <c r="AB214" s="2344"/>
      <c r="AC214" s="2344"/>
      <c r="AD214" s="2344"/>
      <c r="AE214" s="2344"/>
      <c r="AF214" s="2344"/>
      <c r="AG214" s="2344"/>
      <c r="AH214" s="2344"/>
      <c r="AI214" s="2345"/>
      <c r="BK214" s="136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39"/>
    <col min="2" max="2" width="43.140625" style="739" hidden="1"/>
    <col min="3" max="3" width="43.140625" style="739"/>
    <col min="4" max="5" width="36.42578125" style="739" customWidth="1"/>
    <col min="6" max="8" width="36.42578125" style="833" customWidth="1"/>
  </cols>
  <sheetData>
    <row r="1" spans="1:8" ht="9" customHeight="1">
      <c r="A1" s="745" t="s">
        <v>1996</v>
      </c>
      <c r="B1" s="745"/>
      <c r="C1" s="834" t="s">
        <v>1997</v>
      </c>
      <c r="D1" s="832" t="s">
        <v>939</v>
      </c>
      <c r="E1" s="832" t="s">
        <v>952</v>
      </c>
      <c r="F1" s="832" t="s">
        <v>960</v>
      </c>
      <c r="G1" s="832" t="s">
        <v>959</v>
      </c>
      <c r="H1" s="832" t="s">
        <v>1680</v>
      </c>
    </row>
    <row r="2" spans="1:8" ht="9" customHeight="1">
      <c r="A2" s="835" t="s">
        <v>1998</v>
      </c>
      <c r="B2" s="835"/>
      <c r="C2" s="836" t="str">
        <f>INDEX(TEMPLATE_NUMBER_FORM_LIST,MATCH(TEMPLATE_SPHERE,TEMPLATE_SPHERE_LIST,0))</f>
        <v>16</v>
      </c>
      <c r="D2" s="835" t="s">
        <v>1533</v>
      </c>
      <c r="E2" s="835" t="s">
        <v>138</v>
      </c>
      <c r="F2" s="837" t="s">
        <v>138</v>
      </c>
      <c r="G2" s="835" t="s">
        <v>138</v>
      </c>
      <c r="H2" s="838"/>
    </row>
    <row r="3" spans="1:8" ht="63" customHeight="1">
      <c r="A3" s="745"/>
      <c r="B3" s="745" t="s">
        <v>161</v>
      </c>
      <c r="C3" s="836"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36" t="s">
        <v>1999</v>
      </c>
      <c r="E3" s="836"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837"/>
      <c r="G3" s="838"/>
      <c r="H3" s="745"/>
    </row>
    <row r="4" spans="1:8" ht="243" customHeight="1">
      <c r="A4" s="745" t="s">
        <v>2000</v>
      </c>
      <c r="B4" s="745" t="s">
        <v>89</v>
      </c>
      <c r="C4" s="836"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835" t="s">
        <v>2001</v>
      </c>
      <c r="E4" s="83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835"/>
      <c r="G4" s="835"/>
      <c r="H4" s="745" t="s">
        <v>2002</v>
      </c>
    </row>
    <row r="5" spans="1:8" ht="117" customHeight="1">
      <c r="A5" s="745" t="s">
        <v>2003</v>
      </c>
      <c r="B5" s="745" t="s">
        <v>77</v>
      </c>
      <c r="C5" s="836"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45" t="s">
        <v>2004</v>
      </c>
      <c r="E5" s="74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838"/>
      <c r="G5" s="838"/>
      <c r="H5" s="745" t="s">
        <v>2005</v>
      </c>
    </row>
    <row r="6" spans="1:8" ht="90" customHeight="1">
      <c r="A6" s="745" t="s">
        <v>2006</v>
      </c>
      <c r="B6" s="745" t="s">
        <v>78</v>
      </c>
      <c r="C6" s="836"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4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4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45"/>
      <c r="G6" s="745"/>
      <c r="H6" s="838"/>
    </row>
    <row r="7" spans="1:8" ht="45" customHeight="1">
      <c r="A7" s="745" t="s">
        <v>2007</v>
      </c>
      <c r="B7" s="745" t="s">
        <v>115</v>
      </c>
      <c r="C7" s="836" t="str">
        <f>IF(TEMPLATE_SPHERE="HEAT",D7,E7)</f>
        <v>Форма 11. Информация о расходах на капитальный и текущий ремонт основных средств</v>
      </c>
      <c r="D7" s="745" t="s">
        <v>2008</v>
      </c>
      <c r="E7" s="745" t="s">
        <v>2009</v>
      </c>
      <c r="F7" s="838"/>
      <c r="G7" s="838"/>
      <c r="H7" s="838"/>
    </row>
    <row r="8" spans="1:8" ht="108" customHeight="1">
      <c r="A8" s="745" t="s">
        <v>2010</v>
      </c>
      <c r="B8" s="745" t="s">
        <v>79</v>
      </c>
      <c r="C8" s="836"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45" t="s">
        <v>1236</v>
      </c>
      <c r="E8" s="745" t="s">
        <v>2011</v>
      </c>
      <c r="F8" s="838"/>
      <c r="G8" s="838"/>
      <c r="H8" s="838"/>
    </row>
    <row r="9" spans="1:8" ht="99" customHeight="1">
      <c r="A9" s="745" t="s">
        <v>2012</v>
      </c>
      <c r="B9" s="745"/>
      <c r="C9" s="745" t="s">
        <v>2013</v>
      </c>
      <c r="D9" s="745"/>
      <c r="E9" s="745"/>
      <c r="F9" s="838"/>
      <c r="G9" s="838"/>
      <c r="H9" s="838"/>
    </row>
    <row r="10" spans="1:8" ht="126" customHeight="1">
      <c r="A10" s="745" t="s">
        <v>2014</v>
      </c>
      <c r="B10" s="745"/>
      <c r="C10" s="745" t="s">
        <v>2015</v>
      </c>
      <c r="D10" s="745"/>
      <c r="E10" s="745"/>
      <c r="F10" s="838"/>
      <c r="G10" s="838"/>
      <c r="H10" s="838"/>
    </row>
    <row r="11" spans="1:8" ht="108" customHeight="1">
      <c r="A11" s="745" t="s">
        <v>2016</v>
      </c>
      <c r="B11" s="745"/>
      <c r="C11" s="745" t="s">
        <v>2017</v>
      </c>
      <c r="D11" s="745"/>
      <c r="E11" s="745"/>
      <c r="F11" s="838"/>
      <c r="G11" s="838"/>
      <c r="H11" s="838"/>
    </row>
    <row r="12" spans="1:8" ht="54" customHeight="1">
      <c r="A12" s="745" t="s">
        <v>2018</v>
      </c>
      <c r="B12" s="745"/>
      <c r="C12" s="745" t="s">
        <v>2019</v>
      </c>
      <c r="D12" s="745"/>
      <c r="E12" s="745"/>
      <c r="F12" s="838"/>
      <c r="G12" s="838"/>
      <c r="H12" s="838"/>
    </row>
    <row r="13" spans="1:8" ht="45" customHeight="1">
      <c r="A13" s="745" t="s">
        <v>2020</v>
      </c>
      <c r="B13" s="745"/>
      <c r="C13" s="745" t="s">
        <v>2021</v>
      </c>
      <c r="D13" s="745"/>
      <c r="E13" s="745"/>
      <c r="F13" s="838"/>
      <c r="G13" s="838"/>
      <c r="H13" s="838"/>
    </row>
    <row r="14" spans="1:8" ht="117" customHeight="1">
      <c r="A14" s="745" t="s">
        <v>2022</v>
      </c>
      <c r="B14" s="745"/>
      <c r="C14" s="745" t="s">
        <v>2023</v>
      </c>
      <c r="D14" s="745"/>
      <c r="E14" s="745"/>
      <c r="F14" s="838"/>
      <c r="G14" s="838"/>
      <c r="H14" s="838"/>
    </row>
    <row r="15" spans="1:8" ht="117" customHeight="1">
      <c r="A15" s="745" t="s">
        <v>2024</v>
      </c>
      <c r="B15" s="745"/>
      <c r="C15" s="745" t="s">
        <v>2025</v>
      </c>
      <c r="D15" s="745"/>
      <c r="E15" s="745"/>
      <c r="F15" s="838"/>
      <c r="G15" s="838"/>
      <c r="H15" s="838"/>
    </row>
    <row r="16" spans="1:8" ht="63" customHeight="1">
      <c r="A16" s="745" t="s">
        <v>2026</v>
      </c>
      <c r="B16" s="745"/>
      <c r="C16" s="745" t="s">
        <v>2027</v>
      </c>
      <c r="D16" s="745"/>
      <c r="E16" s="745"/>
      <c r="F16" s="838"/>
      <c r="G16" s="838"/>
      <c r="H16" s="838"/>
    </row>
    <row r="17" spans="1:8" ht="54" customHeight="1">
      <c r="A17" s="745" t="s">
        <v>2028</v>
      </c>
      <c r="B17" s="745"/>
      <c r="C17" s="836" t="s">
        <v>2029</v>
      </c>
      <c r="D17" s="745"/>
      <c r="E17" s="745"/>
      <c r="F17" s="838"/>
      <c r="G17" s="838"/>
      <c r="H17" s="838"/>
    </row>
    <row r="18" spans="1:8" ht="27" customHeight="1">
      <c r="A18" s="745" t="s">
        <v>2030</v>
      </c>
      <c r="B18" s="745"/>
      <c r="C18" s="836" t="s">
        <v>2031</v>
      </c>
      <c r="D18" s="745"/>
      <c r="E18" s="745"/>
      <c r="F18" s="838"/>
      <c r="G18" s="838"/>
      <c r="H18" s="838"/>
    </row>
    <row r="19" spans="1:8" ht="54" customHeight="1">
      <c r="A19" s="745" t="s">
        <v>2032</v>
      </c>
      <c r="B19" s="745"/>
      <c r="C19" s="836" t="s">
        <v>2033</v>
      </c>
      <c r="D19" s="745"/>
      <c r="E19" s="745"/>
      <c r="F19" s="838"/>
      <c r="G19" s="838"/>
      <c r="H19" s="838"/>
    </row>
    <row r="20" spans="1:8" ht="36" customHeight="1">
      <c r="A20" s="745" t="s">
        <v>2034</v>
      </c>
      <c r="B20" s="745"/>
      <c r="C20" s="836" t="s">
        <v>2035</v>
      </c>
      <c r="D20" s="745"/>
      <c r="E20" s="745"/>
      <c r="F20" s="838"/>
      <c r="G20" s="838"/>
      <c r="H20" s="838"/>
    </row>
    <row r="21" spans="1:8" ht="36" customHeight="1">
      <c r="A21" s="745" t="s">
        <v>2036</v>
      </c>
      <c r="B21" s="745"/>
      <c r="C21" s="836" t="s">
        <v>2037</v>
      </c>
      <c r="D21" s="745"/>
      <c r="E21" s="745"/>
      <c r="F21" s="838"/>
      <c r="G21" s="838"/>
      <c r="H21" s="838"/>
    </row>
    <row r="22" spans="1:8" ht="27" customHeight="1">
      <c r="A22" s="745" t="s">
        <v>2038</v>
      </c>
      <c r="B22" s="745"/>
      <c r="C22" s="836" t="s">
        <v>2039</v>
      </c>
      <c r="D22" s="745"/>
      <c r="E22" s="745"/>
      <c r="F22" s="838"/>
      <c r="G22" s="838"/>
      <c r="H22" s="838"/>
    </row>
    <row r="23" spans="1:8" ht="36" customHeight="1">
      <c r="A23" s="745" t="s">
        <v>2040</v>
      </c>
      <c r="B23" s="745"/>
      <c r="C23" s="836" t="s">
        <v>2041</v>
      </c>
      <c r="D23" s="745"/>
      <c r="E23" s="745"/>
      <c r="F23" s="838"/>
      <c r="G23" s="838"/>
      <c r="H23" s="838"/>
    </row>
    <row r="24" spans="1:8" ht="28.5" customHeight="1">
      <c r="A24" s="745" t="s">
        <v>2042</v>
      </c>
      <c r="B24" s="745"/>
      <c r="C24" s="836" t="s">
        <v>2043</v>
      </c>
      <c r="D24" s="745"/>
      <c r="E24" s="745"/>
      <c r="F24" s="838"/>
      <c r="G24" s="838"/>
      <c r="H24" s="838"/>
    </row>
    <row r="25" spans="1:8" ht="36" customHeight="1">
      <c r="A25" s="745" t="s">
        <v>2044</v>
      </c>
      <c r="B25" s="745"/>
      <c r="C25" s="836" t="s">
        <v>2045</v>
      </c>
      <c r="D25" s="745"/>
      <c r="E25" s="745"/>
      <c r="F25" s="838"/>
      <c r="G25" s="838"/>
      <c r="H25" s="838"/>
    </row>
    <row r="26" spans="1:8" ht="27" customHeight="1">
      <c r="A26" s="745" t="s">
        <v>2046</v>
      </c>
      <c r="B26" s="745"/>
      <c r="C26" s="836" t="s">
        <v>2047</v>
      </c>
      <c r="D26" s="745"/>
      <c r="E26" s="745"/>
      <c r="F26" s="838"/>
      <c r="G26" s="838"/>
      <c r="H26" s="838"/>
    </row>
    <row r="27" spans="1:8" ht="36" customHeight="1">
      <c r="A27" s="745" t="s">
        <v>2048</v>
      </c>
      <c r="B27" s="745"/>
      <c r="C27" s="836" t="s">
        <v>2049</v>
      </c>
      <c r="D27" s="745"/>
      <c r="E27" s="745"/>
      <c r="F27" s="838"/>
      <c r="G27" s="838"/>
      <c r="H27" s="838"/>
    </row>
    <row r="28" spans="1:8" ht="28.5" customHeight="1">
      <c r="A28" s="745" t="s">
        <v>2050</v>
      </c>
      <c r="B28" s="745"/>
      <c r="C28" s="836" t="s">
        <v>2051</v>
      </c>
      <c r="D28" s="745"/>
      <c r="E28" s="745"/>
      <c r="F28" s="838"/>
      <c r="G28" s="838"/>
      <c r="H28" s="838"/>
    </row>
    <row r="29" spans="1:8" ht="126" customHeight="1">
      <c r="A29" s="745" t="s">
        <v>2052</v>
      </c>
      <c r="B29" s="745" t="s">
        <v>1032</v>
      </c>
      <c r="C29" s="836"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45" t="s">
        <v>2053</v>
      </c>
      <c r="E29" s="74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838"/>
      <c r="G29" s="838"/>
      <c r="H29" s="745" t="s">
        <v>2054</v>
      </c>
    </row>
    <row r="30" spans="1:8" ht="36" customHeight="1">
      <c r="A30" s="745" t="s">
        <v>2055</v>
      </c>
      <c r="B30" s="745"/>
      <c r="C30" s="836"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45" t="s">
        <v>2056</v>
      </c>
      <c r="E30" s="74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838"/>
      <c r="G30" s="838"/>
      <c r="H30" s="838"/>
    </row>
    <row r="31" spans="1:8" ht="54" customHeight="1">
      <c r="A31" s="745" t="s">
        <v>2057</v>
      </c>
      <c r="B31" s="745"/>
      <c r="C31" s="836"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45" t="s">
        <v>2058</v>
      </c>
      <c r="E31" s="74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838"/>
      <c r="G31" s="838"/>
      <c r="H31" s="838"/>
    </row>
    <row r="32" spans="1:8" ht="198" customHeight="1">
      <c r="A32" s="745" t="s">
        <v>2059</v>
      </c>
      <c r="B32" s="745"/>
      <c r="C32" s="836"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45" t="s">
        <v>2060</v>
      </c>
      <c r="E32" s="74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838"/>
      <c r="G32" s="838"/>
      <c r="H32" s="745" t="s">
        <v>2061</v>
      </c>
    </row>
    <row r="33" spans="1:8" ht="9" customHeight="1">
      <c r="A33" s="745"/>
      <c r="B33" s="745"/>
      <c r="C33" s="836"/>
      <c r="D33" s="745"/>
      <c r="E33" s="745"/>
      <c r="F33" s="838"/>
      <c r="G33" s="838"/>
      <c r="H33" s="838"/>
    </row>
    <row r="34" spans="1:8" ht="9" customHeight="1">
      <c r="A34" s="745"/>
      <c r="B34" s="745" t="s">
        <v>1570</v>
      </c>
      <c r="C34" s="836">
        <f>INDEX(TEMPLATE_NAME_FORM_LIST,B34,MATCH(TEMPLATE_SPHERE,TEMPLATE_SPHERE_LIST,0))</f>
        <v>0</v>
      </c>
      <c r="D34" s="745"/>
      <c r="E34" s="745"/>
      <c r="F34" s="838"/>
      <c r="G34" s="838"/>
      <c r="H34" s="838"/>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39"/>
    <col min="3" max="7" width="8" style="741" customWidth="1"/>
    <col min="8" max="12" width="8.5703125" style="741" customWidth="1"/>
    <col min="13" max="14" width="27.7109375" style="741" customWidth="1"/>
    <col min="15" max="19" width="5.140625" style="741" customWidth="1"/>
    <col min="20" max="24" width="27.7109375" style="741" customWidth="1"/>
    <col min="25" max="25" width="1.85546875" style="853" customWidth="1"/>
    <col min="26" max="26" width="27.7109375" style="739" customWidth="1"/>
    <col min="27" max="27" width="27.7109375" style="750" customWidth="1"/>
    <col min="28" max="29" width="27.7109375" style="739" customWidth="1"/>
    <col min="30" max="30" width="3.85546875" style="739" customWidth="1"/>
    <col min="31" max="34" width="9.140625" style="739"/>
  </cols>
  <sheetData>
    <row r="1" spans="1:34" s="738" customFormat="1" ht="18" customHeight="1">
      <c r="A1" s="794"/>
      <c r="B1" s="794"/>
      <c r="C1" s="794" t="s">
        <v>2062</v>
      </c>
      <c r="D1" s="794"/>
      <c r="E1" s="794"/>
      <c r="F1" s="794"/>
      <c r="G1" s="794"/>
      <c r="H1" s="794" t="s">
        <v>2063</v>
      </c>
      <c r="I1" s="794"/>
      <c r="J1" s="794"/>
      <c r="K1" s="794"/>
      <c r="L1" s="794"/>
      <c r="M1" s="794" t="s">
        <v>2064</v>
      </c>
      <c r="N1" s="794" t="s">
        <v>2065</v>
      </c>
      <c r="O1" s="2634" t="s">
        <v>2066</v>
      </c>
      <c r="P1" s="2634"/>
      <c r="Q1" s="2634"/>
      <c r="R1" s="2634"/>
      <c r="S1" s="2634"/>
      <c r="T1" s="2634" t="s">
        <v>2064</v>
      </c>
      <c r="U1" s="2634"/>
      <c r="V1" s="2634"/>
      <c r="W1" s="2634"/>
      <c r="X1" s="2634"/>
      <c r="Y1" s="851"/>
      <c r="Z1" s="2634" t="s">
        <v>2067</v>
      </c>
      <c r="AA1" s="2634"/>
      <c r="AB1" s="2634"/>
      <c r="AC1" s="2634"/>
      <c r="AD1" s="2634"/>
    </row>
    <row r="2" spans="1:34" ht="18" customHeight="1">
      <c r="A2" s="745"/>
      <c r="B2" s="745"/>
      <c r="C2" s="740" t="s">
        <v>939</v>
      </c>
      <c r="D2" s="740" t="s">
        <v>952</v>
      </c>
      <c r="E2" s="740" t="s">
        <v>960</v>
      </c>
      <c r="F2" s="740" t="s">
        <v>959</v>
      </c>
      <c r="G2" s="740" t="s">
        <v>1680</v>
      </c>
      <c r="H2" s="742"/>
      <c r="I2" s="742"/>
      <c r="J2" s="742"/>
      <c r="K2" s="742"/>
      <c r="L2" s="742"/>
      <c r="M2" s="742"/>
      <c r="N2" s="742"/>
      <c r="O2" s="740" t="s">
        <v>939</v>
      </c>
      <c r="P2" s="740" t="s">
        <v>952</v>
      </c>
      <c r="Q2" s="740" t="s">
        <v>959</v>
      </c>
      <c r="R2" s="740" t="s">
        <v>960</v>
      </c>
      <c r="S2" s="740" t="s">
        <v>1680</v>
      </c>
      <c r="T2" s="740" t="s">
        <v>939</v>
      </c>
      <c r="U2" s="740" t="s">
        <v>952</v>
      </c>
      <c r="V2" s="740" t="s">
        <v>959</v>
      </c>
      <c r="W2" s="740" t="s">
        <v>960</v>
      </c>
      <c r="X2" s="740" t="s">
        <v>1680</v>
      </c>
      <c r="Y2" s="740"/>
      <c r="Z2" s="740" t="s">
        <v>939</v>
      </c>
      <c r="AA2" s="749" t="s">
        <v>952</v>
      </c>
      <c r="AB2" s="740" t="s">
        <v>959</v>
      </c>
      <c r="AC2" s="740" t="s">
        <v>960</v>
      </c>
      <c r="AD2" s="740" t="s">
        <v>1680</v>
      </c>
    </row>
    <row r="3" spans="1:34" ht="162" customHeight="1">
      <c r="A3" s="744" t="s">
        <v>14</v>
      </c>
      <c r="B3" s="744"/>
      <c r="C3" s="2638" t="s">
        <v>2068</v>
      </c>
      <c r="D3" s="2639"/>
      <c r="E3" s="2639"/>
      <c r="F3" s="2640"/>
      <c r="G3" s="742"/>
      <c r="H3" s="742"/>
      <c r="I3" s="742"/>
      <c r="J3" s="742"/>
      <c r="K3" s="742"/>
      <c r="L3" s="742"/>
      <c r="M3" s="742"/>
      <c r="N3" s="743"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42"/>
      <c r="P3" s="742"/>
      <c r="Q3" s="742"/>
      <c r="R3" s="742"/>
      <c r="S3" s="742"/>
      <c r="T3" s="742"/>
      <c r="U3" s="742"/>
      <c r="V3" s="742"/>
      <c r="W3" s="742"/>
      <c r="X3" s="742"/>
      <c r="Y3" s="852"/>
      <c r="Z3" s="745" t="s">
        <v>2069</v>
      </c>
      <c r="AA3" s="742" t="s">
        <v>2070</v>
      </c>
      <c r="AB3" s="745" t="s">
        <v>2071</v>
      </c>
      <c r="AC3" s="745" t="s">
        <v>2072</v>
      </c>
      <c r="AD3" s="745"/>
      <c r="AG3" s="745"/>
      <c r="AH3" s="745"/>
    </row>
    <row r="4" spans="1:34" ht="9" customHeight="1">
      <c r="A4" s="744"/>
      <c r="B4" s="744"/>
      <c r="C4" s="742"/>
      <c r="D4" s="742"/>
      <c r="E4" s="742"/>
      <c r="F4" s="742"/>
      <c r="G4" s="742"/>
      <c r="H4" s="742"/>
      <c r="I4" s="742"/>
      <c r="J4" s="742"/>
      <c r="K4" s="742"/>
      <c r="L4" s="742"/>
      <c r="M4" s="742"/>
      <c r="N4" s="742"/>
      <c r="O4" s="742"/>
      <c r="P4" s="742"/>
      <c r="Q4" s="742"/>
      <c r="R4" s="742"/>
      <c r="S4" s="742"/>
      <c r="T4" s="742"/>
      <c r="U4" s="742"/>
      <c r="V4" s="742"/>
      <c r="W4" s="742"/>
      <c r="X4" s="742"/>
      <c r="Y4" s="852"/>
      <c r="Z4" s="745"/>
      <c r="AA4" s="748"/>
      <c r="AB4" s="745"/>
      <c r="AC4" s="745"/>
      <c r="AD4" s="745"/>
    </row>
    <row r="5" spans="1:34" ht="9" customHeight="1">
      <c r="A5" s="744"/>
      <c r="B5" s="744"/>
      <c r="C5" s="742"/>
      <c r="D5" s="742"/>
      <c r="E5" s="742"/>
      <c r="F5" s="742"/>
      <c r="G5" s="742"/>
      <c r="H5" s="742"/>
      <c r="I5" s="742"/>
      <c r="J5" s="742"/>
      <c r="K5" s="742"/>
      <c r="L5" s="742"/>
      <c r="M5" s="742"/>
      <c r="N5" s="742"/>
      <c r="O5" s="742"/>
      <c r="P5" s="742"/>
      <c r="Q5" s="742"/>
      <c r="R5" s="742"/>
      <c r="S5" s="742"/>
      <c r="T5" s="742"/>
      <c r="U5" s="742"/>
      <c r="V5" s="742"/>
      <c r="W5" s="742"/>
      <c r="X5" s="742"/>
      <c r="Y5" s="852"/>
      <c r="Z5" s="745"/>
      <c r="AA5" s="748"/>
      <c r="AB5" s="745"/>
      <c r="AC5" s="745"/>
      <c r="AD5" s="745"/>
    </row>
    <row r="6" spans="1:34" ht="9" customHeight="1">
      <c r="A6" s="744"/>
      <c r="B6" s="744"/>
      <c r="C6" s="742"/>
      <c r="D6" s="742"/>
      <c r="E6" s="742"/>
      <c r="F6" s="742"/>
      <c r="G6" s="742"/>
      <c r="H6" s="742"/>
      <c r="I6" s="742"/>
      <c r="J6" s="742"/>
      <c r="K6" s="742"/>
      <c r="L6" s="742"/>
      <c r="M6" s="742"/>
      <c r="N6" s="742"/>
      <c r="O6" s="742"/>
      <c r="P6" s="742"/>
      <c r="Q6" s="742"/>
      <c r="R6" s="742"/>
      <c r="S6" s="742"/>
      <c r="T6" s="742"/>
      <c r="U6" s="742"/>
      <c r="V6" s="742"/>
      <c r="W6" s="742"/>
      <c r="X6" s="742"/>
      <c r="Y6" s="852"/>
      <c r="Z6" s="745"/>
      <c r="AA6" s="748"/>
      <c r="AB6" s="745"/>
      <c r="AC6" s="745"/>
      <c r="AD6" s="745"/>
    </row>
    <row r="7" spans="1:34" ht="9" customHeight="1">
      <c r="A7" s="744"/>
      <c r="B7" s="744"/>
      <c r="C7" s="742"/>
      <c r="D7" s="742"/>
      <c r="E7" s="742"/>
      <c r="F7" s="742"/>
      <c r="G7" s="742"/>
      <c r="H7" s="742"/>
      <c r="I7" s="742"/>
      <c r="J7" s="742"/>
      <c r="K7" s="742"/>
      <c r="L7" s="742"/>
      <c r="M7" s="742"/>
      <c r="N7" s="742"/>
      <c r="O7" s="742"/>
      <c r="P7" s="742"/>
      <c r="Q7" s="742"/>
      <c r="R7" s="742"/>
      <c r="S7" s="742"/>
      <c r="T7" s="742"/>
      <c r="U7" s="742"/>
      <c r="V7" s="742"/>
      <c r="W7" s="742"/>
      <c r="X7" s="742"/>
      <c r="Y7" s="852"/>
      <c r="Z7" s="745"/>
      <c r="AA7" s="748"/>
      <c r="AB7" s="745"/>
      <c r="AC7" s="745"/>
      <c r="AD7" s="745"/>
    </row>
    <row r="8" spans="1:34" ht="9" customHeight="1">
      <c r="A8" s="744"/>
      <c r="B8" s="744"/>
      <c r="C8" s="742"/>
      <c r="D8" s="742"/>
      <c r="E8" s="742"/>
      <c r="F8" s="742"/>
      <c r="G8" s="742"/>
      <c r="H8" s="742"/>
      <c r="I8" s="742"/>
      <c r="J8" s="742"/>
      <c r="K8" s="742"/>
      <c r="L8" s="742"/>
      <c r="M8" s="742"/>
      <c r="N8" s="742"/>
      <c r="O8" s="742"/>
      <c r="P8" s="742"/>
      <c r="Q8" s="742"/>
      <c r="R8" s="742"/>
      <c r="S8" s="742"/>
      <c r="T8" s="742"/>
      <c r="U8" s="742"/>
      <c r="V8" s="742"/>
      <c r="W8" s="742"/>
      <c r="X8" s="742"/>
      <c r="Y8" s="852"/>
      <c r="Z8" s="745"/>
      <c r="AA8" s="748"/>
      <c r="AB8" s="745"/>
      <c r="AC8" s="745"/>
      <c r="AD8" s="745"/>
    </row>
    <row r="9" spans="1:34" ht="9" customHeight="1">
      <c r="A9" s="744"/>
      <c r="B9" s="744"/>
      <c r="C9" s="742"/>
      <c r="D9" s="742"/>
      <c r="E9" s="742"/>
      <c r="F9" s="742"/>
      <c r="G9" s="742"/>
      <c r="H9" s="742"/>
      <c r="I9" s="742"/>
      <c r="J9" s="742"/>
      <c r="K9" s="742"/>
      <c r="L9" s="742"/>
      <c r="M9" s="742"/>
      <c r="N9" s="742"/>
      <c r="O9" s="742"/>
      <c r="P9" s="742"/>
      <c r="Q9" s="742"/>
      <c r="R9" s="742"/>
      <c r="S9" s="742"/>
      <c r="T9" s="742"/>
      <c r="U9" s="742"/>
      <c r="V9" s="742"/>
      <c r="W9" s="742"/>
      <c r="X9" s="742"/>
      <c r="Y9" s="852"/>
      <c r="Z9" s="745"/>
      <c r="AA9" s="748"/>
      <c r="AB9" s="745"/>
      <c r="AC9" s="745"/>
      <c r="AD9" s="745"/>
    </row>
    <row r="10" spans="1:34" ht="9" customHeight="1">
      <c r="A10" s="795"/>
      <c r="B10" s="795"/>
      <c r="C10" s="795"/>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row>
    <row r="11" spans="1:34" ht="45" customHeight="1">
      <c r="A11" s="2635" t="s">
        <v>20</v>
      </c>
      <c r="B11" s="795">
        <v>1</v>
      </c>
      <c r="C11" s="2641" t="s">
        <v>1620</v>
      </c>
      <c r="D11" s="2641" t="s">
        <v>1616</v>
      </c>
      <c r="E11" s="2641" t="s">
        <v>122</v>
      </c>
      <c r="F11" s="2641" t="s">
        <v>2073</v>
      </c>
      <c r="G11" s="2641"/>
      <c r="H11" s="794" t="s">
        <v>2074</v>
      </c>
      <c r="I11" s="794"/>
      <c r="J11" s="794"/>
      <c r="K11" s="794"/>
      <c r="L11" s="794"/>
      <c r="M11" s="743" t="str">
        <f>IF(TEMPLATE_SPHERE="HEAT",T11,U11)</f>
        <v>Количество поданных заявок</v>
      </c>
      <c r="N11" s="743"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42"/>
      <c r="P11" s="742"/>
      <c r="Q11" s="742"/>
      <c r="R11" s="742"/>
      <c r="S11" s="742"/>
      <c r="T11" s="742" t="s">
        <v>2075</v>
      </c>
      <c r="U11" s="742" t="s">
        <v>2076</v>
      </c>
      <c r="V11" s="742"/>
      <c r="W11" s="742"/>
      <c r="X11" s="742"/>
      <c r="Y11" s="852"/>
      <c r="Z11" s="745" t="s">
        <v>2077</v>
      </c>
      <c r="AA11" s="74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45"/>
      <c r="AC11" s="745"/>
      <c r="AD11" s="745"/>
    </row>
    <row r="12" spans="1:34" ht="45" customHeight="1">
      <c r="A12" s="2635"/>
      <c r="B12" s="795">
        <v>2</v>
      </c>
      <c r="C12" s="2642"/>
      <c r="D12" s="2642"/>
      <c r="E12" s="2642"/>
      <c r="F12" s="2642"/>
      <c r="G12" s="2642"/>
      <c r="H12" s="794" t="s">
        <v>2078</v>
      </c>
      <c r="I12" s="794"/>
      <c r="J12" s="794"/>
      <c r="K12" s="794"/>
      <c r="L12" s="794"/>
      <c r="M12" s="743" t="str">
        <f>IF(TEMPLATE_SPHERE="HEAT",T12,U12)</f>
        <v>Количество рассмотренных заявок</v>
      </c>
      <c r="N12" s="743"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42"/>
      <c r="P12" s="742"/>
      <c r="Q12" s="742"/>
      <c r="R12" s="742"/>
      <c r="S12" s="742"/>
      <c r="T12" s="742" t="s">
        <v>2079</v>
      </c>
      <c r="U12" s="742" t="s">
        <v>2080</v>
      </c>
      <c r="V12" s="742"/>
      <c r="W12" s="742"/>
      <c r="X12" s="742"/>
      <c r="Y12" s="852"/>
      <c r="Z12" s="745" t="s">
        <v>2081</v>
      </c>
      <c r="AA12" s="74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45"/>
      <c r="AC12" s="745"/>
      <c r="AD12" s="745"/>
    </row>
    <row r="13" spans="1:34" ht="72" customHeight="1">
      <c r="A13" s="2635"/>
      <c r="B13" s="795">
        <v>3</v>
      </c>
      <c r="C13" s="2642"/>
      <c r="D13" s="2642"/>
      <c r="E13" s="2642"/>
      <c r="F13" s="2642"/>
      <c r="G13" s="2642"/>
      <c r="H13" s="2634" t="s">
        <v>2082</v>
      </c>
      <c r="I13" s="794"/>
      <c r="J13" s="794"/>
      <c r="K13" s="794"/>
      <c r="L13" s="794"/>
      <c r="M13" s="743"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43" t="str">
        <f t="shared" si="0"/>
        <v>Указывается количество заявок с решением об отказе в течение отчетного квартала.</v>
      </c>
      <c r="O13" s="742"/>
      <c r="P13" s="743"/>
      <c r="Q13" s="743"/>
      <c r="R13" s="743"/>
      <c r="S13" s="742"/>
      <c r="T13" s="742" t="s">
        <v>2083</v>
      </c>
      <c r="U13" s="743" t="s">
        <v>2084</v>
      </c>
      <c r="V13" s="743"/>
      <c r="W13" s="743"/>
      <c r="X13" s="742"/>
      <c r="Y13" s="852"/>
      <c r="Z13" s="745" t="s">
        <v>2085</v>
      </c>
      <c r="AA13" s="74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45"/>
      <c r="AC13" s="745"/>
      <c r="AD13" s="745"/>
    </row>
    <row r="14" spans="1:34" ht="45" customHeight="1">
      <c r="A14" s="2635"/>
      <c r="B14" s="795">
        <v>4</v>
      </c>
      <c r="C14" s="2642"/>
      <c r="D14" s="2642"/>
      <c r="E14" s="2642"/>
      <c r="F14" s="2642"/>
      <c r="G14" s="2642"/>
      <c r="H14" s="2634"/>
      <c r="I14" s="797"/>
      <c r="J14" s="797"/>
      <c r="K14" s="797"/>
      <c r="L14" s="797"/>
      <c r="M14" s="746" t="str">
        <f>IF(TEMPLATE_SPHERE="HEAT",T14,U14)</f>
        <v>Причины отказа в заключении договора о подключении (технологическом присоединении) к системе теплоснабжения</v>
      </c>
      <c r="N14" s="743"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42"/>
      <c r="P14" s="743"/>
      <c r="Q14" s="743"/>
      <c r="R14" s="743"/>
      <c r="S14" s="742"/>
      <c r="T14" s="742" t="s">
        <v>2086</v>
      </c>
      <c r="U14" s="74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43"/>
      <c r="W14" s="743"/>
      <c r="X14" s="742"/>
      <c r="Y14" s="852"/>
      <c r="Z14" s="745" t="s">
        <v>2087</v>
      </c>
      <c r="AA14" s="748" t="s">
        <v>2087</v>
      </c>
      <c r="AB14" s="745"/>
      <c r="AC14" s="745"/>
      <c r="AD14" s="745"/>
    </row>
    <row r="15" spans="1:34" ht="108" customHeight="1">
      <c r="A15" s="2635"/>
      <c r="B15" s="795">
        <v>5</v>
      </c>
      <c r="C15" s="2642"/>
      <c r="D15" s="2642"/>
      <c r="E15" s="2642"/>
      <c r="F15" s="2642"/>
      <c r="G15" s="2642"/>
      <c r="H15" s="2636" t="s">
        <v>2088</v>
      </c>
      <c r="I15" s="796"/>
      <c r="J15" s="796"/>
      <c r="K15" s="796"/>
      <c r="L15" s="796"/>
      <c r="M15" s="748" t="str">
        <f>IF(TEMPLATE_SPHERE="HEAT",T15,U15)</f>
        <v>Резерв мощности источников тепловой энергии, входящих в систему теплоснабжения, в течение одного квартала, в том числе:</v>
      </c>
      <c r="N15" s="74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42"/>
      <c r="P15" s="743"/>
      <c r="Q15" s="743"/>
      <c r="R15" s="743"/>
      <c r="S15" s="742"/>
      <c r="T15" s="742" t="s">
        <v>2089</v>
      </c>
      <c r="U15" s="74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43"/>
      <c r="W15" s="743"/>
      <c r="X15" s="742"/>
      <c r="Y15" s="852"/>
      <c r="Z15" s="745" t="s">
        <v>2090</v>
      </c>
      <c r="AA15" s="74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45"/>
      <c r="AC15" s="745"/>
      <c r="AD15" s="745"/>
    </row>
    <row r="16" spans="1:34" ht="108" customHeight="1">
      <c r="A16" s="795"/>
      <c r="B16" s="795">
        <v>6</v>
      </c>
      <c r="C16" s="2643"/>
      <c r="D16" s="2643"/>
      <c r="E16" s="2643"/>
      <c r="F16" s="2643"/>
      <c r="G16" s="2643"/>
      <c r="H16" s="2637"/>
      <c r="I16" s="814"/>
      <c r="J16" s="814"/>
      <c r="K16" s="814"/>
      <c r="L16" s="814"/>
      <c r="M16" s="790"/>
      <c r="N16" s="74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42"/>
      <c r="P16" s="743"/>
      <c r="Q16" s="743"/>
      <c r="R16" s="743"/>
      <c r="S16" s="742"/>
      <c r="T16" s="742"/>
      <c r="U16" s="743"/>
      <c r="V16" s="743"/>
      <c r="W16" s="743"/>
      <c r="X16" s="742"/>
      <c r="Y16" s="852"/>
      <c r="Z16" s="745" t="s">
        <v>2090</v>
      </c>
      <c r="AA16" s="74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45"/>
      <c r="AC16" s="745"/>
      <c r="AD16" s="745"/>
    </row>
    <row r="17" spans="1:30" ht="9" customHeight="1">
      <c r="A17" s="795"/>
      <c r="B17" s="795"/>
      <c r="C17" s="795">
        <v>22</v>
      </c>
      <c r="D17" s="795">
        <v>21</v>
      </c>
      <c r="E17" s="795">
        <v>42</v>
      </c>
      <c r="F17" s="795">
        <v>63</v>
      </c>
      <c r="G17" s="795"/>
      <c r="H17" s="795"/>
      <c r="I17" s="795"/>
      <c r="J17" s="795"/>
      <c r="K17" s="795"/>
      <c r="L17" s="795"/>
      <c r="M17" s="795"/>
      <c r="N17" s="795"/>
      <c r="O17" s="795"/>
      <c r="P17" s="795"/>
      <c r="Q17" s="795"/>
      <c r="R17" s="795"/>
      <c r="S17" s="795"/>
      <c r="T17" s="795"/>
      <c r="U17" s="795"/>
      <c r="V17" s="795"/>
      <c r="W17" s="795"/>
      <c r="X17" s="795"/>
      <c r="Y17" s="795"/>
      <c r="Z17" s="795"/>
      <c r="AA17" s="795"/>
      <c r="AB17" s="795"/>
      <c r="AC17" s="795"/>
      <c r="AD17" s="795"/>
    </row>
    <row r="18" spans="1:30" ht="27" customHeight="1">
      <c r="A18" s="744" t="s">
        <v>1715</v>
      </c>
      <c r="B18" s="795">
        <v>1</v>
      </c>
      <c r="C18" s="742" t="s">
        <v>2074</v>
      </c>
      <c r="D18" s="819" t="s">
        <v>2074</v>
      </c>
      <c r="E18" s="742" t="s">
        <v>2074</v>
      </c>
      <c r="F18" s="742" t="s">
        <v>2074</v>
      </c>
      <c r="G18" s="742"/>
      <c r="H18" s="854"/>
      <c r="I18" s="857">
        <f t="shared" ref="I18:I49" si="1">INDEX(TEMPLATE_NUMBER_POINT_FHD,B18,MATCH(TEMPLATE_SPHERE,TEMPLATE_SPHERE_LIST_FOR_NOTE,0))</f>
        <v>1</v>
      </c>
      <c r="J18" s="857" t="str">
        <f t="shared" ref="J18:J49" si="2">INDEX(TEMPLATE_DATA_POINT_FHD,B18,MATCH(TEMPLATE_SPHERE,TEMPLATE_SPHERE_LIST_FOR_NOTE,0))</f>
        <v>Выручка от регулируемого вида деятельности с распределением по видам деятельности</v>
      </c>
      <c r="K18" s="85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43">
        <f t="shared" ref="L18:L49" si="4">IF(I18=0,"",I18)</f>
        <v>1</v>
      </c>
      <c r="M18" s="743" t="str">
        <f t="shared" ref="M18:M49" si="5">IF(J18=0,"",J18)</f>
        <v>Выручка от регулируемого вида деятельности с распределением по видам деятельности</v>
      </c>
      <c r="N18" s="743" t="str">
        <f t="shared" ref="N18:N49" si="6">IF(K18=0,"",K18)</f>
        <v>Указывается выручка от регулируемого вида деятельности с распределением по видам деятельности.</v>
      </c>
      <c r="O18" s="809">
        <v>1</v>
      </c>
      <c r="P18" s="809">
        <v>1</v>
      </c>
      <c r="Q18" s="809">
        <v>1</v>
      </c>
      <c r="R18" s="809">
        <v>1</v>
      </c>
      <c r="S18" s="809"/>
      <c r="T18" s="816" t="s">
        <v>2091</v>
      </c>
      <c r="U18" s="745" t="s">
        <v>2092</v>
      </c>
      <c r="V18" s="745" t="s">
        <v>2093</v>
      </c>
      <c r="W18" s="745" t="s">
        <v>2094</v>
      </c>
      <c r="X18" s="742"/>
      <c r="Y18" s="852"/>
      <c r="Z18" s="745" t="s">
        <v>2095</v>
      </c>
      <c r="AA18" s="748" t="s">
        <v>2096</v>
      </c>
      <c r="AB18" s="748" t="s">
        <v>2096</v>
      </c>
      <c r="AC18" s="748" t="s">
        <v>2096</v>
      </c>
      <c r="AD18" s="745"/>
    </row>
    <row r="19" spans="1:30" ht="36" customHeight="1">
      <c r="A19" s="744"/>
      <c r="B19" s="795">
        <v>2</v>
      </c>
      <c r="C19" s="742" t="s">
        <v>2078</v>
      </c>
      <c r="D19" s="819" t="s">
        <v>2078</v>
      </c>
      <c r="E19" s="742" t="s">
        <v>2078</v>
      </c>
      <c r="F19" s="742" t="s">
        <v>2078</v>
      </c>
      <c r="G19" s="742"/>
      <c r="H19" s="854"/>
      <c r="I19" s="857">
        <f t="shared" si="1"/>
        <v>2</v>
      </c>
      <c r="J19" s="857" t="str">
        <f t="shared" si="2"/>
        <v>Себестоимость производимых товаров (оказываемых услуг) по регулируемому виду деятельности, включая:</v>
      </c>
      <c r="K19" s="857" t="str">
        <f t="shared" si="3"/>
        <v>Указывается суммарная себестоимость производимых товаров.</v>
      </c>
      <c r="L19" s="743">
        <f t="shared" si="4"/>
        <v>2</v>
      </c>
      <c r="M19" s="743" t="str">
        <f t="shared" si="5"/>
        <v>Себестоимость производимых товаров (оказываемых услуг) по регулируемому виду деятельности, включая:</v>
      </c>
      <c r="N19" s="743" t="str">
        <f t="shared" si="6"/>
        <v>Указывается суммарная себестоимость производимых товаров.</v>
      </c>
      <c r="O19" s="809">
        <v>2</v>
      </c>
      <c r="P19" s="809">
        <v>2</v>
      </c>
      <c r="Q19" s="809">
        <v>2</v>
      </c>
      <c r="R19" s="809">
        <v>2</v>
      </c>
      <c r="S19" s="809"/>
      <c r="T19" s="816" t="s">
        <v>2097</v>
      </c>
      <c r="U19" s="745" t="s">
        <v>2098</v>
      </c>
      <c r="V19" s="745" t="s">
        <v>2099</v>
      </c>
      <c r="W19" s="745" t="s">
        <v>2100</v>
      </c>
      <c r="X19" s="742"/>
      <c r="Y19" s="852"/>
      <c r="Z19" s="745" t="s">
        <v>2101</v>
      </c>
      <c r="AA19" s="748" t="s">
        <v>2101</v>
      </c>
      <c r="AB19" s="748" t="s">
        <v>2101</v>
      </c>
      <c r="AC19" s="748" t="s">
        <v>2101</v>
      </c>
      <c r="AD19" s="745"/>
    </row>
    <row r="20" spans="1:30" ht="27" customHeight="1">
      <c r="A20" s="744"/>
      <c r="B20" s="795">
        <v>3</v>
      </c>
      <c r="C20" s="742">
        <v>1</v>
      </c>
      <c r="D20" s="819"/>
      <c r="E20" s="742"/>
      <c r="F20" s="742"/>
      <c r="G20" s="742"/>
      <c r="H20" s="854"/>
      <c r="I20" s="857" t="str">
        <f t="shared" si="1"/>
        <v>2.1</v>
      </c>
      <c r="J20" s="857" t="str">
        <f t="shared" si="2"/>
        <v>Расходы на приобретаемую тепловую энергию (мощность), теплоноситель</v>
      </c>
      <c r="K20" s="857">
        <f t="shared" si="3"/>
        <v>0</v>
      </c>
      <c r="L20" s="743" t="str">
        <f t="shared" si="4"/>
        <v>2.1</v>
      </c>
      <c r="M20" s="743" t="str">
        <f t="shared" si="5"/>
        <v>Расходы на приобретаемую тепловую энергию (мощность), теплоноситель</v>
      </c>
      <c r="N20" s="743" t="str">
        <f t="shared" si="6"/>
        <v/>
      </c>
      <c r="O20" s="809" t="s">
        <v>823</v>
      </c>
      <c r="P20" s="809" t="s">
        <v>823</v>
      </c>
      <c r="Q20" s="809" t="s">
        <v>823</v>
      </c>
      <c r="R20" s="809" t="s">
        <v>823</v>
      </c>
      <c r="S20" s="809"/>
      <c r="T20" s="816" t="s">
        <v>2102</v>
      </c>
      <c r="U20" s="745" t="s">
        <v>2103</v>
      </c>
      <c r="V20" s="745" t="s">
        <v>2104</v>
      </c>
      <c r="W20" s="745" t="s">
        <v>2105</v>
      </c>
      <c r="X20" s="742"/>
      <c r="Y20" s="852"/>
      <c r="Z20" s="745"/>
      <c r="AA20" s="748"/>
      <c r="AB20" s="745"/>
      <c r="AC20" s="745"/>
      <c r="AD20" s="745"/>
    </row>
    <row r="21" spans="1:30" ht="36" customHeight="1">
      <c r="A21" s="744"/>
      <c r="B21" s="795">
        <v>4</v>
      </c>
      <c r="C21" s="742">
        <v>2</v>
      </c>
      <c r="D21" s="819"/>
      <c r="E21" s="742"/>
      <c r="F21" s="742"/>
      <c r="G21" s="742"/>
      <c r="H21" s="854"/>
      <c r="I21" s="857" t="str">
        <f t="shared" si="1"/>
        <v>2.2</v>
      </c>
      <c r="J21" s="85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857" t="str">
        <f t="shared" si="3"/>
        <v>Указываются суммарные расходы на приобретение топлива всех видов.</v>
      </c>
      <c r="L21" s="743" t="str">
        <f t="shared" si="4"/>
        <v>2.2</v>
      </c>
      <c r="M21" s="743"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43" t="str">
        <f t="shared" si="6"/>
        <v>Указываются суммарные расходы на приобретение топлива всех видов.</v>
      </c>
      <c r="O21" s="809" t="s">
        <v>391</v>
      </c>
      <c r="P21" s="809"/>
      <c r="Q21" s="809"/>
      <c r="R21" s="809"/>
      <c r="S21" s="809"/>
      <c r="T21" s="816" t="s">
        <v>2106</v>
      </c>
      <c r="U21" s="745"/>
      <c r="V21" s="745"/>
      <c r="W21" s="745"/>
      <c r="X21" s="742"/>
      <c r="Y21" s="852"/>
      <c r="Z21" s="745" t="s">
        <v>2107</v>
      </c>
      <c r="AA21" s="748"/>
      <c r="AB21" s="745"/>
      <c r="AC21" s="745"/>
      <c r="AD21" s="745"/>
    </row>
    <row r="22" spans="1:30" ht="36" customHeight="1">
      <c r="A22" s="744"/>
      <c r="B22" s="795">
        <v>5</v>
      </c>
      <c r="C22" s="742">
        <v>3</v>
      </c>
      <c r="D22" s="819"/>
      <c r="E22" s="742"/>
      <c r="F22" s="742"/>
      <c r="G22" s="789"/>
      <c r="H22" s="810"/>
      <c r="I22" s="857">
        <f t="shared" si="1"/>
        <v>0</v>
      </c>
      <c r="J22" s="857">
        <f t="shared" si="2"/>
        <v>0</v>
      </c>
      <c r="K22" s="857">
        <f t="shared" si="3"/>
        <v>0</v>
      </c>
      <c r="L22" s="743" t="str">
        <f t="shared" si="4"/>
        <v/>
      </c>
      <c r="M22" s="743" t="str">
        <f t="shared" si="5"/>
        <v/>
      </c>
      <c r="N22" s="743" t="str">
        <f t="shared" si="6"/>
        <v/>
      </c>
      <c r="O22" s="809"/>
      <c r="P22" s="809"/>
      <c r="Q22" s="809" t="s">
        <v>391</v>
      </c>
      <c r="R22" s="809"/>
      <c r="S22" s="809"/>
      <c r="T22" s="816"/>
      <c r="U22" s="745"/>
      <c r="V22" s="745" t="s">
        <v>2108</v>
      </c>
      <c r="W22" s="745"/>
      <c r="X22" s="742"/>
      <c r="Y22" s="852"/>
      <c r="Z22" s="745"/>
      <c r="AA22" s="748"/>
      <c r="AB22" s="745"/>
      <c r="AC22" s="745"/>
      <c r="AD22" s="745"/>
    </row>
    <row r="23" spans="1:30" ht="27" customHeight="1">
      <c r="A23" s="744"/>
      <c r="B23" s="795">
        <v>6</v>
      </c>
      <c r="C23" s="742">
        <v>4</v>
      </c>
      <c r="D23" s="819"/>
      <c r="E23" s="742"/>
      <c r="F23" s="742"/>
      <c r="G23" s="789"/>
      <c r="H23" s="810"/>
      <c r="I23" s="857">
        <f t="shared" si="1"/>
        <v>0</v>
      </c>
      <c r="J23" s="857">
        <f t="shared" si="2"/>
        <v>0</v>
      </c>
      <c r="K23" s="857">
        <f t="shared" si="3"/>
        <v>0</v>
      </c>
      <c r="L23" s="743" t="str">
        <f t="shared" si="4"/>
        <v/>
      </c>
      <c r="M23" s="743" t="str">
        <f t="shared" si="5"/>
        <v/>
      </c>
      <c r="N23" s="743" t="str">
        <f t="shared" si="6"/>
        <v/>
      </c>
      <c r="O23" s="809"/>
      <c r="P23" s="809"/>
      <c r="Q23" s="809" t="s">
        <v>394</v>
      </c>
      <c r="R23" s="809"/>
      <c r="S23" s="809"/>
      <c r="T23" s="816"/>
      <c r="U23" s="745"/>
      <c r="V23" s="745" t="s">
        <v>2109</v>
      </c>
      <c r="W23" s="745"/>
      <c r="X23" s="742"/>
      <c r="Y23" s="852"/>
      <c r="Z23" s="745"/>
      <c r="AA23" s="748"/>
      <c r="AB23" s="745"/>
      <c r="AC23" s="745"/>
      <c r="AD23" s="745"/>
    </row>
    <row r="24" spans="1:30" ht="36" customHeight="1">
      <c r="A24" s="744"/>
      <c r="B24" s="795">
        <v>7</v>
      </c>
      <c r="C24" s="742">
        <v>5</v>
      </c>
      <c r="D24" s="819"/>
      <c r="E24" s="742"/>
      <c r="F24" s="742"/>
      <c r="G24" s="789"/>
      <c r="H24" s="810"/>
      <c r="I24" s="857">
        <f t="shared" si="1"/>
        <v>0</v>
      </c>
      <c r="J24" s="857">
        <f t="shared" si="2"/>
        <v>0</v>
      </c>
      <c r="K24" s="857">
        <f t="shared" si="3"/>
        <v>0</v>
      </c>
      <c r="L24" s="743" t="str">
        <f t="shared" si="4"/>
        <v/>
      </c>
      <c r="M24" s="743" t="str">
        <f t="shared" si="5"/>
        <v/>
      </c>
      <c r="N24" s="743" t="str">
        <f t="shared" si="6"/>
        <v/>
      </c>
      <c r="O24" s="809"/>
      <c r="P24" s="809"/>
      <c r="Q24" s="809" t="s">
        <v>843</v>
      </c>
      <c r="R24" s="809"/>
      <c r="S24" s="809"/>
      <c r="T24" s="816"/>
      <c r="U24" s="745"/>
      <c r="V24" s="745" t="s">
        <v>2110</v>
      </c>
      <c r="W24" s="745"/>
      <c r="X24" s="742"/>
      <c r="Y24" s="852"/>
      <c r="Z24" s="745"/>
      <c r="AA24" s="748"/>
      <c r="AB24" s="745"/>
      <c r="AC24" s="745"/>
      <c r="AD24" s="745"/>
    </row>
    <row r="25" spans="1:30" ht="36" customHeight="1">
      <c r="A25" s="744"/>
      <c r="B25" s="795">
        <v>8</v>
      </c>
      <c r="C25" s="742">
        <v>6</v>
      </c>
      <c r="D25" s="819"/>
      <c r="E25" s="742"/>
      <c r="F25" s="742"/>
      <c r="G25" s="789"/>
      <c r="H25" s="810"/>
      <c r="I25" s="857" t="str">
        <f t="shared" si="1"/>
        <v>2.3</v>
      </c>
      <c r="J25" s="857" t="str">
        <f t="shared" si="2"/>
        <v>Расходы на приобретаемую электрическую энергию (мощность), используемую в технологическом процессе</v>
      </c>
      <c r="K25" s="857">
        <f t="shared" si="3"/>
        <v>0</v>
      </c>
      <c r="L25" s="743" t="str">
        <f t="shared" si="4"/>
        <v>2.3</v>
      </c>
      <c r="M25" s="743" t="str">
        <f t="shared" si="5"/>
        <v>Расходы на приобретаемую электрическую энергию (мощность), используемую в технологическом процессе</v>
      </c>
      <c r="N25" s="743" t="str">
        <f t="shared" si="6"/>
        <v/>
      </c>
      <c r="O25" s="809" t="s">
        <v>394</v>
      </c>
      <c r="P25" s="809" t="s">
        <v>391</v>
      </c>
      <c r="Q25" s="809" t="s">
        <v>850</v>
      </c>
      <c r="R25" s="809" t="s">
        <v>391</v>
      </c>
      <c r="S25" s="809"/>
      <c r="T25" s="816" t="s">
        <v>2111</v>
      </c>
      <c r="U25" s="745" t="s">
        <v>2111</v>
      </c>
      <c r="V25" s="745" t="s">
        <v>2111</v>
      </c>
      <c r="W25" s="745" t="s">
        <v>2111</v>
      </c>
      <c r="X25" s="742"/>
      <c r="Y25" s="852"/>
      <c r="Z25" s="745"/>
      <c r="AA25" s="748"/>
      <c r="AB25" s="745"/>
      <c r="AC25" s="745"/>
      <c r="AD25" s="745"/>
    </row>
    <row r="26" spans="1:30" ht="18" customHeight="1">
      <c r="A26" s="744"/>
      <c r="B26" s="795">
        <v>9</v>
      </c>
      <c r="C26" s="742" t="s">
        <v>767</v>
      </c>
      <c r="D26" s="819"/>
      <c r="E26" s="742"/>
      <c r="F26" s="742"/>
      <c r="G26" s="789"/>
      <c r="H26" s="810"/>
      <c r="I26" s="857" t="str">
        <f t="shared" si="1"/>
        <v>2.3.1</v>
      </c>
      <c r="J26" s="857" t="str">
        <f t="shared" si="2"/>
        <v>Средневзвешенная стоимость 1 кВт.ч (с учетом мощности)</v>
      </c>
      <c r="K26" s="857">
        <f t="shared" si="3"/>
        <v>0</v>
      </c>
      <c r="L26" s="743" t="str">
        <f t="shared" si="4"/>
        <v>2.3.1</v>
      </c>
      <c r="M26" s="743" t="str">
        <f t="shared" si="5"/>
        <v>Средневзвешенная стоимость 1 кВт.ч (с учетом мощности)</v>
      </c>
      <c r="N26" s="743" t="str">
        <f t="shared" si="6"/>
        <v/>
      </c>
      <c r="O26" s="809" t="s">
        <v>839</v>
      </c>
      <c r="P26" s="809" t="s">
        <v>833</v>
      </c>
      <c r="Q26" s="809" t="s">
        <v>2112</v>
      </c>
      <c r="R26" s="809" t="s">
        <v>833</v>
      </c>
      <c r="S26" s="809"/>
      <c r="T26" s="816" t="str">
        <f>"Средневзвешенная стоимость 1 кВт.ч"&amp;IF(TITLE_TYPE_ORG="Регулируемая организация"," (с учетом мощности)","")</f>
        <v>Средневзвешенная стоимость 1 кВт.ч (с учетом мощности)</v>
      </c>
      <c r="U26" s="816" t="s">
        <v>2113</v>
      </c>
      <c r="V26" s="816" t="s">
        <v>2113</v>
      </c>
      <c r="W26" s="816" t="s">
        <v>2113</v>
      </c>
      <c r="X26" s="742"/>
      <c r="Y26" s="852"/>
      <c r="Z26" s="745"/>
      <c r="AA26" s="748"/>
      <c r="AB26" s="745"/>
      <c r="AC26" s="745"/>
      <c r="AD26" s="745"/>
    </row>
    <row r="27" spans="1:30" ht="18" customHeight="1">
      <c r="A27" s="744"/>
      <c r="B27" s="795">
        <v>10</v>
      </c>
      <c r="C27" s="742" t="s">
        <v>771</v>
      </c>
      <c r="D27" s="819"/>
      <c r="E27" s="742"/>
      <c r="F27" s="742"/>
      <c r="G27" s="789"/>
      <c r="H27" s="810"/>
      <c r="I27" s="857" t="str">
        <f t="shared" si="1"/>
        <v>2.3.2</v>
      </c>
      <c r="J27" s="857" t="str">
        <f t="shared" si="2"/>
        <v>Объём приобретения электрической энергии</v>
      </c>
      <c r="K27" s="857">
        <f t="shared" si="3"/>
        <v>0</v>
      </c>
      <c r="L27" s="743" t="str">
        <f t="shared" si="4"/>
        <v>2.3.2</v>
      </c>
      <c r="M27" s="743" t="str">
        <f t="shared" si="5"/>
        <v>Объём приобретения электрической энергии</v>
      </c>
      <c r="N27" s="743" t="str">
        <f t="shared" si="6"/>
        <v/>
      </c>
      <c r="O27" s="809" t="s">
        <v>841</v>
      </c>
      <c r="P27" s="809" t="s">
        <v>835</v>
      </c>
      <c r="Q27" s="809" t="s">
        <v>2114</v>
      </c>
      <c r="R27" s="809" t="s">
        <v>835</v>
      </c>
      <c r="S27" s="809"/>
      <c r="T27" s="816" t="s">
        <v>2115</v>
      </c>
      <c r="U27" s="816" t="s">
        <v>2115</v>
      </c>
      <c r="V27" s="816" t="s">
        <v>2115</v>
      </c>
      <c r="W27" s="816" t="s">
        <v>2115</v>
      </c>
      <c r="X27" s="742"/>
      <c r="Y27" s="852"/>
      <c r="Z27" s="745"/>
      <c r="AA27" s="748"/>
      <c r="AB27" s="745"/>
      <c r="AC27" s="745"/>
      <c r="AD27" s="745"/>
    </row>
    <row r="28" spans="1:30" ht="27" customHeight="1">
      <c r="A28" s="744"/>
      <c r="B28" s="795">
        <v>11</v>
      </c>
      <c r="C28" s="742">
        <v>7</v>
      </c>
      <c r="D28" s="819"/>
      <c r="E28" s="742"/>
      <c r="F28" s="742"/>
      <c r="G28" s="789"/>
      <c r="H28" s="810"/>
      <c r="I28" s="857" t="str">
        <f t="shared" si="1"/>
        <v>2.4</v>
      </c>
      <c r="J28" s="857" t="str">
        <f t="shared" si="2"/>
        <v>Расходы на приобретение холодной воды, используемой в технологическом процессе</v>
      </c>
      <c r="K28" s="857">
        <f t="shared" si="3"/>
        <v>0</v>
      </c>
      <c r="L28" s="743" t="str">
        <f t="shared" si="4"/>
        <v>2.4</v>
      </c>
      <c r="M28" s="743" t="str">
        <f t="shared" si="5"/>
        <v>Расходы на приобретение холодной воды, используемой в технологическом процессе</v>
      </c>
      <c r="N28" s="743" t="str">
        <f t="shared" si="6"/>
        <v/>
      </c>
      <c r="O28" s="809" t="s">
        <v>843</v>
      </c>
      <c r="P28" s="809"/>
      <c r="Q28" s="809"/>
      <c r="R28" s="809"/>
      <c r="S28" s="809"/>
      <c r="T28" s="816" t="s">
        <v>2116</v>
      </c>
      <c r="U28" s="745"/>
      <c r="V28" s="745"/>
      <c r="W28" s="745"/>
      <c r="X28" s="742"/>
      <c r="Y28" s="852"/>
      <c r="Z28" s="745"/>
      <c r="AA28" s="748"/>
      <c r="AB28" s="745"/>
      <c r="AC28" s="745"/>
      <c r="AD28" s="745"/>
    </row>
    <row r="29" spans="1:30" ht="27" customHeight="1">
      <c r="A29" s="744"/>
      <c r="B29" s="795">
        <v>12</v>
      </c>
      <c r="C29" s="742">
        <v>8</v>
      </c>
      <c r="D29" s="819"/>
      <c r="E29" s="742"/>
      <c r="F29" s="742"/>
      <c r="G29" s="789"/>
      <c r="H29" s="810"/>
      <c r="I29" s="857" t="str">
        <f t="shared" si="1"/>
        <v>2.5</v>
      </c>
      <c r="J29" s="857" t="str">
        <f t="shared" si="2"/>
        <v>Расходы на  химические реагенты, используемые в технологическом процессе</v>
      </c>
      <c r="K29" s="857">
        <f t="shared" si="3"/>
        <v>0</v>
      </c>
      <c r="L29" s="743" t="str">
        <f t="shared" si="4"/>
        <v>2.5</v>
      </c>
      <c r="M29" s="743" t="str">
        <f t="shared" si="5"/>
        <v>Расходы на  химические реагенты, используемые в технологическом процессе</v>
      </c>
      <c r="N29" s="743" t="str">
        <f t="shared" si="6"/>
        <v/>
      </c>
      <c r="O29" s="809" t="s">
        <v>850</v>
      </c>
      <c r="P29" s="809" t="s">
        <v>394</v>
      </c>
      <c r="Q29" s="809"/>
      <c r="R29" s="809" t="s">
        <v>394</v>
      </c>
      <c r="S29" s="809"/>
      <c r="T29" s="816"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45" t="s">
        <v>2117</v>
      </c>
      <c r="V29" s="745"/>
      <c r="W29" s="745" t="s">
        <v>2117</v>
      </c>
      <c r="X29" s="742"/>
      <c r="Y29" s="852"/>
      <c r="Z29" s="745"/>
      <c r="AA29" s="748"/>
      <c r="AB29" s="745"/>
      <c r="AC29" s="745"/>
      <c r="AD29" s="745"/>
    </row>
    <row r="30" spans="1:30" ht="54" customHeight="1">
      <c r="A30" s="744"/>
      <c r="B30" s="795">
        <v>13</v>
      </c>
      <c r="C30" s="742">
        <v>9</v>
      </c>
      <c r="D30" s="819"/>
      <c r="E30" s="742"/>
      <c r="F30" s="742"/>
      <c r="G30" s="789"/>
      <c r="H30" s="810"/>
      <c r="I30" s="857" t="str">
        <f t="shared" si="1"/>
        <v>2.6</v>
      </c>
      <c r="J30" s="85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857">
        <f t="shared" si="3"/>
        <v>0</v>
      </c>
      <c r="L30" s="743" t="str">
        <f t="shared" si="4"/>
        <v>2.6</v>
      </c>
      <c r="M30" s="743"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43" t="str">
        <f t="shared" si="6"/>
        <v/>
      </c>
      <c r="O30" s="809" t="s">
        <v>852</v>
      </c>
      <c r="P30" s="809" t="s">
        <v>843</v>
      </c>
      <c r="Q30" s="809" t="s">
        <v>852</v>
      </c>
      <c r="R30" s="809" t="s">
        <v>843</v>
      </c>
      <c r="S30" s="809"/>
      <c r="T30" s="816" t="s">
        <v>2118</v>
      </c>
      <c r="U30" s="745" t="s">
        <v>2118</v>
      </c>
      <c r="V30" s="745" t="s">
        <v>2118</v>
      </c>
      <c r="W30" s="745" t="s">
        <v>2118</v>
      </c>
      <c r="X30" s="742"/>
      <c r="Y30" s="852"/>
      <c r="Z30" s="745"/>
      <c r="AA30" s="748" t="s">
        <v>2119</v>
      </c>
      <c r="AB30" s="748" t="s">
        <v>2119</v>
      </c>
      <c r="AC30" s="748" t="s">
        <v>2119</v>
      </c>
      <c r="AD30" s="745"/>
    </row>
    <row r="31" spans="1:30" ht="18" customHeight="1">
      <c r="A31" s="744"/>
      <c r="B31" s="795">
        <v>14</v>
      </c>
      <c r="C31" s="742" t="s">
        <v>2120</v>
      </c>
      <c r="D31" s="819"/>
      <c r="E31" s="742"/>
      <c r="F31" s="742"/>
      <c r="G31" s="789"/>
      <c r="H31" s="810"/>
      <c r="I31" s="857" t="str">
        <f t="shared" si="1"/>
        <v>2.6.1</v>
      </c>
      <c r="J31" s="857" t="str">
        <f t="shared" si="2"/>
        <v>Расходы на оплату труда основного производственного персонала</v>
      </c>
      <c r="K31" s="857">
        <f t="shared" si="3"/>
        <v>0</v>
      </c>
      <c r="L31" s="743" t="str">
        <f t="shared" si="4"/>
        <v>2.6.1</v>
      </c>
      <c r="M31" s="743" t="str">
        <f t="shared" si="5"/>
        <v>Расходы на оплату труда основного производственного персонала</v>
      </c>
      <c r="N31" s="743" t="str">
        <f t="shared" si="6"/>
        <v/>
      </c>
      <c r="O31" s="809" t="s">
        <v>2121</v>
      </c>
      <c r="P31" s="809" t="s">
        <v>846</v>
      </c>
      <c r="Q31" s="809" t="s">
        <v>2121</v>
      </c>
      <c r="R31" s="809" t="s">
        <v>846</v>
      </c>
      <c r="S31" s="809"/>
      <c r="T31" s="817" t="s">
        <v>2122</v>
      </c>
      <c r="U31" s="745" t="s">
        <v>2122</v>
      </c>
      <c r="V31" s="745" t="s">
        <v>2122</v>
      </c>
      <c r="W31" s="745" t="s">
        <v>2122</v>
      </c>
      <c r="X31" s="742"/>
      <c r="Y31" s="852"/>
      <c r="Z31" s="745"/>
      <c r="AA31" s="748"/>
      <c r="AB31" s="748"/>
      <c r="AC31" s="748"/>
      <c r="AD31" s="745"/>
    </row>
    <row r="32" spans="1:30" ht="36" customHeight="1">
      <c r="A32" s="744"/>
      <c r="B32" s="795">
        <v>15</v>
      </c>
      <c r="C32" s="742" t="s">
        <v>2123</v>
      </c>
      <c r="D32" s="819"/>
      <c r="E32" s="742"/>
      <c r="F32" s="742"/>
      <c r="G32" s="789"/>
      <c r="H32" s="810"/>
      <c r="I32" s="857" t="str">
        <f t="shared" si="1"/>
        <v>2.6.2</v>
      </c>
      <c r="J32" s="857" t="str">
        <f t="shared" si="2"/>
        <v>Страховые взносы на обязательное социальное страхование, выплачиваемые из фонда оплаты труда основного производственного персонала</v>
      </c>
      <c r="K32" s="857">
        <f t="shared" si="3"/>
        <v>0</v>
      </c>
      <c r="L32" s="743" t="str">
        <f t="shared" si="4"/>
        <v>2.6.2</v>
      </c>
      <c r="M32" s="743" t="str">
        <f t="shared" si="5"/>
        <v>Страховые взносы на обязательное социальное страхование, выплачиваемые из фонда оплаты труда основного производственного персонала</v>
      </c>
      <c r="N32" s="743" t="str">
        <f t="shared" si="6"/>
        <v/>
      </c>
      <c r="O32" s="809" t="s">
        <v>2124</v>
      </c>
      <c r="P32" s="809" t="s">
        <v>848</v>
      </c>
      <c r="Q32" s="809" t="s">
        <v>2124</v>
      </c>
      <c r="R32" s="809" t="s">
        <v>848</v>
      </c>
      <c r="S32" s="809"/>
      <c r="T32" s="818"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45" t="s">
        <v>2125</v>
      </c>
      <c r="V32" s="745" t="s">
        <v>2125</v>
      </c>
      <c r="W32" s="745" t="s">
        <v>2125</v>
      </c>
      <c r="X32" s="742"/>
      <c r="Y32" s="852"/>
      <c r="Z32" s="745"/>
      <c r="AA32" s="748"/>
      <c r="AB32" s="748"/>
      <c r="AC32" s="748"/>
      <c r="AD32" s="745"/>
    </row>
    <row r="33" spans="1:30" ht="45" customHeight="1">
      <c r="A33" s="744"/>
      <c r="B33" s="795">
        <v>16</v>
      </c>
      <c r="C33" s="742">
        <v>10</v>
      </c>
      <c r="D33" s="819"/>
      <c r="E33" s="742"/>
      <c r="F33" s="742"/>
      <c r="G33" s="789"/>
      <c r="H33" s="810"/>
      <c r="I33" s="857" t="str">
        <f t="shared" si="1"/>
        <v>2.7</v>
      </c>
      <c r="J33" s="85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857">
        <f t="shared" si="3"/>
        <v>0</v>
      </c>
      <c r="L33" s="743" t="str">
        <f t="shared" si="4"/>
        <v>2.7</v>
      </c>
      <c r="M33" s="743"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43" t="str">
        <f t="shared" si="6"/>
        <v/>
      </c>
      <c r="O33" s="809" t="s">
        <v>854</v>
      </c>
      <c r="P33" s="809" t="s">
        <v>850</v>
      </c>
      <c r="Q33" s="809" t="s">
        <v>854</v>
      </c>
      <c r="R33" s="809" t="s">
        <v>850</v>
      </c>
      <c r="S33" s="809"/>
      <c r="T33" s="817"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45" t="s">
        <v>2126</v>
      </c>
      <c r="V33" s="745" t="s">
        <v>2126</v>
      </c>
      <c r="W33" s="745" t="s">
        <v>2127</v>
      </c>
      <c r="X33" s="742"/>
      <c r="Y33" s="852"/>
      <c r="Z33" s="745"/>
      <c r="AA33" s="748" t="s">
        <v>2128</v>
      </c>
      <c r="AB33" s="748" t="s">
        <v>2128</v>
      </c>
      <c r="AC33" s="748" t="s">
        <v>2128</v>
      </c>
      <c r="AD33" s="745"/>
    </row>
    <row r="34" spans="1:30" ht="27" customHeight="1">
      <c r="A34" s="744"/>
      <c r="B34" s="795">
        <v>17</v>
      </c>
      <c r="C34" s="742" t="s">
        <v>2129</v>
      </c>
      <c r="D34" s="819"/>
      <c r="E34" s="742"/>
      <c r="F34" s="742"/>
      <c r="G34" s="789"/>
      <c r="H34" s="810"/>
      <c r="I34" s="857" t="str">
        <f t="shared" si="1"/>
        <v>2.7.1</v>
      </c>
      <c r="J34" s="857" t="str">
        <f t="shared" si="2"/>
        <v>Расходы на оплату труда административно-управленческого персонала</v>
      </c>
      <c r="K34" s="857">
        <f t="shared" si="3"/>
        <v>0</v>
      </c>
      <c r="L34" s="743" t="str">
        <f t="shared" si="4"/>
        <v>2.7.1</v>
      </c>
      <c r="M34" s="743" t="str">
        <f t="shared" si="5"/>
        <v>Расходы на оплату труда административно-управленческого персонала</v>
      </c>
      <c r="N34" s="743" t="str">
        <f t="shared" si="6"/>
        <v/>
      </c>
      <c r="O34" s="809" t="s">
        <v>2130</v>
      </c>
      <c r="P34" s="809" t="s">
        <v>2112</v>
      </c>
      <c r="Q34" s="809" t="s">
        <v>2130</v>
      </c>
      <c r="R34" s="809" t="s">
        <v>2112</v>
      </c>
      <c r="S34" s="809"/>
      <c r="T34" s="818" t="s">
        <v>2131</v>
      </c>
      <c r="U34" s="745" t="s">
        <v>2131</v>
      </c>
      <c r="V34" s="745" t="s">
        <v>2131</v>
      </c>
      <c r="W34" s="745" t="s">
        <v>2132</v>
      </c>
      <c r="X34" s="742"/>
      <c r="Y34" s="852"/>
      <c r="Z34" s="745"/>
      <c r="AA34" s="748"/>
      <c r="AB34" s="745"/>
      <c r="AC34" s="745"/>
      <c r="AD34" s="745"/>
    </row>
    <row r="35" spans="1:30" ht="45" customHeight="1">
      <c r="A35" s="744"/>
      <c r="B35" s="795">
        <v>18</v>
      </c>
      <c r="C35" s="742" t="s">
        <v>2133</v>
      </c>
      <c r="D35" s="819"/>
      <c r="E35" s="742"/>
      <c r="F35" s="742"/>
      <c r="G35" s="789"/>
      <c r="H35" s="810"/>
      <c r="I35" s="857" t="str">
        <f t="shared" si="1"/>
        <v>2.7.2</v>
      </c>
      <c r="J35" s="85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857">
        <f t="shared" si="3"/>
        <v>0</v>
      </c>
      <c r="L35" s="743" t="str">
        <f t="shared" si="4"/>
        <v>2.7.2</v>
      </c>
      <c r="M35" s="743"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43" t="str">
        <f t="shared" si="6"/>
        <v/>
      </c>
      <c r="O35" s="809" t="s">
        <v>2134</v>
      </c>
      <c r="P35" s="809" t="s">
        <v>2114</v>
      </c>
      <c r="Q35" s="809" t="s">
        <v>2134</v>
      </c>
      <c r="R35" s="809" t="s">
        <v>2114</v>
      </c>
      <c r="S35" s="809"/>
      <c r="T35" s="816"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45" t="s">
        <v>2135</v>
      </c>
      <c r="V35" s="745" t="s">
        <v>2135</v>
      </c>
      <c r="W35" s="745" t="s">
        <v>2135</v>
      </c>
      <c r="X35" s="742"/>
      <c r="Y35" s="852"/>
      <c r="Z35" s="745"/>
      <c r="AA35" s="748"/>
      <c r="AB35" s="745"/>
      <c r="AC35" s="745"/>
      <c r="AD35" s="745"/>
    </row>
    <row r="36" spans="1:30" ht="18" customHeight="1">
      <c r="A36" s="744"/>
      <c r="B36" s="795">
        <v>19</v>
      </c>
      <c r="C36" s="742">
        <v>11</v>
      </c>
      <c r="D36" s="819"/>
      <c r="E36" s="742"/>
      <c r="F36" s="742"/>
      <c r="G36" s="789"/>
      <c r="H36" s="810"/>
      <c r="I36" s="857" t="str">
        <f t="shared" si="1"/>
        <v>2.8</v>
      </c>
      <c r="J36" s="857" t="str">
        <f t="shared" si="2"/>
        <v>Расходы на амортизацию основных средств и нематериальных активов</v>
      </c>
      <c r="K36" s="857">
        <f t="shared" si="3"/>
        <v>0</v>
      </c>
      <c r="L36" s="743" t="str">
        <f t="shared" si="4"/>
        <v>2.8</v>
      </c>
      <c r="M36" s="743" t="str">
        <f t="shared" si="5"/>
        <v>Расходы на амортизацию основных средств и нематериальных активов</v>
      </c>
      <c r="N36" s="743" t="str">
        <f t="shared" si="6"/>
        <v/>
      </c>
      <c r="O36" s="809" t="s">
        <v>856</v>
      </c>
      <c r="P36" s="809" t="s">
        <v>852</v>
      </c>
      <c r="Q36" s="809" t="s">
        <v>856</v>
      </c>
      <c r="R36" s="809" t="s">
        <v>852</v>
      </c>
      <c r="S36" s="809"/>
      <c r="T36" s="816" t="s">
        <v>2136</v>
      </c>
      <c r="U36" s="745" t="s">
        <v>2136</v>
      </c>
      <c r="V36" s="745" t="s">
        <v>2136</v>
      </c>
      <c r="W36" s="745" t="s">
        <v>2136</v>
      </c>
      <c r="X36" s="742"/>
      <c r="Y36" s="852"/>
      <c r="Z36" s="745"/>
      <c r="AA36" s="748"/>
      <c r="AB36" s="745"/>
      <c r="AC36" s="745"/>
      <c r="AD36" s="745"/>
    </row>
    <row r="37" spans="1:30" ht="18" customHeight="1">
      <c r="A37" s="744"/>
      <c r="B37" s="795">
        <v>20</v>
      </c>
      <c r="C37" s="742" t="s">
        <v>2137</v>
      </c>
      <c r="D37" s="819"/>
      <c r="E37" s="742"/>
      <c r="F37" s="742"/>
      <c r="G37" s="789"/>
      <c r="H37" s="810"/>
      <c r="I37" s="857" t="str">
        <f t="shared" si="1"/>
        <v>2.8.1</v>
      </c>
      <c r="J37" s="857" t="str">
        <f t="shared" si="2"/>
        <v>Расходы на амортизацию основных средств</v>
      </c>
      <c r="K37" s="857">
        <f t="shared" si="3"/>
        <v>0</v>
      </c>
      <c r="L37" s="743" t="str">
        <f t="shared" si="4"/>
        <v>2.8.1</v>
      </c>
      <c r="M37" s="743" t="str">
        <f t="shared" si="5"/>
        <v>Расходы на амортизацию основных средств</v>
      </c>
      <c r="N37" s="743" t="str">
        <f t="shared" si="6"/>
        <v/>
      </c>
      <c r="O37" s="809" t="s">
        <v>2138</v>
      </c>
      <c r="P37" s="809" t="s">
        <v>2121</v>
      </c>
      <c r="Q37" s="809" t="s">
        <v>2138</v>
      </c>
      <c r="R37" s="809" t="s">
        <v>2121</v>
      </c>
      <c r="S37" s="809"/>
      <c r="T37" s="816" t="s">
        <v>2139</v>
      </c>
      <c r="U37" s="745" t="s">
        <v>2139</v>
      </c>
      <c r="V37" s="745" t="s">
        <v>2139</v>
      </c>
      <c r="W37" s="745" t="s">
        <v>2139</v>
      </c>
      <c r="X37" s="742"/>
      <c r="Y37" s="852"/>
      <c r="Z37" s="745"/>
      <c r="AA37" s="748"/>
      <c r="AB37" s="745"/>
      <c r="AC37" s="745"/>
      <c r="AD37" s="745"/>
    </row>
    <row r="38" spans="1:30" ht="18" customHeight="1">
      <c r="A38" s="744"/>
      <c r="B38" s="795">
        <v>21</v>
      </c>
      <c r="C38" s="742" t="s">
        <v>2140</v>
      </c>
      <c r="D38" s="819"/>
      <c r="E38" s="742"/>
      <c r="F38" s="742"/>
      <c r="G38" s="789"/>
      <c r="H38" s="810"/>
      <c r="I38" s="857" t="str">
        <f t="shared" si="1"/>
        <v>2.8.2</v>
      </c>
      <c r="J38" s="857" t="str">
        <f t="shared" si="2"/>
        <v>Расходы на амортизацию нематериальных активов</v>
      </c>
      <c r="K38" s="857">
        <f t="shared" si="3"/>
        <v>0</v>
      </c>
      <c r="L38" s="743" t="str">
        <f t="shared" si="4"/>
        <v>2.8.2</v>
      </c>
      <c r="M38" s="743" t="str">
        <f t="shared" si="5"/>
        <v>Расходы на амортизацию нематериальных активов</v>
      </c>
      <c r="N38" s="743" t="str">
        <f t="shared" si="6"/>
        <v/>
      </c>
      <c r="O38" s="809" t="s">
        <v>2141</v>
      </c>
      <c r="P38" s="809" t="s">
        <v>2124</v>
      </c>
      <c r="Q38" s="809" t="s">
        <v>2141</v>
      </c>
      <c r="R38" s="809" t="s">
        <v>2124</v>
      </c>
      <c r="S38" s="809"/>
      <c r="T38" s="816" t="s">
        <v>2142</v>
      </c>
      <c r="U38" s="745" t="s">
        <v>2142</v>
      </c>
      <c r="V38" s="745" t="s">
        <v>2142</v>
      </c>
      <c r="W38" s="745" t="s">
        <v>2142</v>
      </c>
      <c r="X38" s="742"/>
      <c r="Y38" s="852"/>
      <c r="Z38" s="745"/>
      <c r="AA38" s="748"/>
      <c r="AB38" s="745"/>
      <c r="AC38" s="745"/>
      <c r="AD38" s="745"/>
    </row>
    <row r="39" spans="1:30" ht="36" customHeight="1">
      <c r="A39" s="744"/>
      <c r="B39" s="795">
        <v>22</v>
      </c>
      <c r="C39" s="742">
        <v>12</v>
      </c>
      <c r="D39" s="819"/>
      <c r="E39" s="742"/>
      <c r="F39" s="742"/>
      <c r="G39" s="789"/>
      <c r="H39" s="810"/>
      <c r="I39" s="857" t="str">
        <f t="shared" si="1"/>
        <v>2.9</v>
      </c>
      <c r="J39" s="857" t="str">
        <f t="shared" si="2"/>
        <v>Расходы на аренду имущества, используемого для осуществления регулируемого вида деятельности</v>
      </c>
      <c r="K39" s="857">
        <f t="shared" si="3"/>
        <v>0</v>
      </c>
      <c r="L39" s="743" t="str">
        <f t="shared" si="4"/>
        <v>2.9</v>
      </c>
      <c r="M39" s="743" t="str">
        <f t="shared" si="5"/>
        <v>Расходы на аренду имущества, используемого для осуществления регулируемого вида деятельности</v>
      </c>
      <c r="N39" s="743" t="str">
        <f t="shared" si="6"/>
        <v/>
      </c>
      <c r="O39" s="809" t="s">
        <v>860</v>
      </c>
      <c r="P39" s="809" t="s">
        <v>854</v>
      </c>
      <c r="Q39" s="809" t="s">
        <v>860</v>
      </c>
      <c r="R39" s="809" t="s">
        <v>854</v>
      </c>
      <c r="S39" s="809"/>
      <c r="T39" s="816" t="s">
        <v>2143</v>
      </c>
      <c r="U39" s="745" t="s">
        <v>2144</v>
      </c>
      <c r="V39" s="745" t="s">
        <v>2145</v>
      </c>
      <c r="W39" s="745" t="s">
        <v>2146</v>
      </c>
      <c r="X39" s="742"/>
      <c r="Y39" s="852"/>
      <c r="Z39" s="745"/>
      <c r="AA39" s="748"/>
      <c r="AB39" s="745"/>
      <c r="AC39" s="745"/>
      <c r="AD39" s="745"/>
    </row>
    <row r="40" spans="1:30" ht="18" customHeight="1">
      <c r="A40" s="744"/>
      <c r="B40" s="795">
        <v>23</v>
      </c>
      <c r="C40" s="742">
        <v>13</v>
      </c>
      <c r="D40" s="819"/>
      <c r="E40" s="742"/>
      <c r="F40" s="742"/>
      <c r="G40" s="742"/>
      <c r="H40" s="792"/>
      <c r="I40" s="857" t="str">
        <f t="shared" si="1"/>
        <v>2.10</v>
      </c>
      <c r="J40" s="857" t="str">
        <f t="shared" si="2"/>
        <v>Общепроизводственные расходы, в том числе:</v>
      </c>
      <c r="K40" s="857" t="str">
        <f t="shared" si="3"/>
        <v>Указывается общая сумма общепроизводственных расходов.</v>
      </c>
      <c r="L40" s="743" t="str">
        <f t="shared" si="4"/>
        <v>2.10</v>
      </c>
      <c r="M40" s="743" t="str">
        <f t="shared" si="5"/>
        <v>Общепроизводственные расходы, в том числе:</v>
      </c>
      <c r="N40" s="743" t="str">
        <f t="shared" si="6"/>
        <v>Указывается общая сумма общепроизводственных расходов.</v>
      </c>
      <c r="O40" s="809" t="s">
        <v>912</v>
      </c>
      <c r="P40" s="809" t="s">
        <v>856</v>
      </c>
      <c r="Q40" s="809" t="s">
        <v>912</v>
      </c>
      <c r="R40" s="809" t="s">
        <v>856</v>
      </c>
      <c r="S40" s="809"/>
      <c r="T40" s="742" t="s">
        <v>2147</v>
      </c>
      <c r="U40" s="742" t="s">
        <v>2147</v>
      </c>
      <c r="V40" s="742" t="s">
        <v>2147</v>
      </c>
      <c r="W40" s="742" t="s">
        <v>2147</v>
      </c>
      <c r="X40" s="742"/>
      <c r="Y40" s="852"/>
      <c r="Z40" s="745" t="s">
        <v>2148</v>
      </c>
      <c r="AA40" s="748" t="s">
        <v>2148</v>
      </c>
      <c r="AB40" s="748" t="s">
        <v>2148</v>
      </c>
      <c r="AC40" s="748" t="s">
        <v>2148</v>
      </c>
      <c r="AD40" s="745"/>
    </row>
    <row r="41" spans="1:30" ht="27" customHeight="1">
      <c r="A41" s="744"/>
      <c r="B41" s="795">
        <v>24</v>
      </c>
      <c r="C41" s="742" t="s">
        <v>2149</v>
      </c>
      <c r="D41" s="819"/>
      <c r="E41" s="742"/>
      <c r="F41" s="742"/>
      <c r="G41" s="742"/>
      <c r="H41" s="789"/>
      <c r="I41" s="857" t="str">
        <f t="shared" si="1"/>
        <v>2.10.1</v>
      </c>
      <c r="J41" s="857" t="str">
        <f t="shared" si="2"/>
        <v>Расходы на текущий ремонт</v>
      </c>
      <c r="K41" s="857" t="str">
        <f t="shared" si="3"/>
        <v>Указываются расходы на текущий ремонт, отнесенные к общепроизводственным расходам.</v>
      </c>
      <c r="L41" s="743" t="str">
        <f t="shared" si="4"/>
        <v>2.10.1</v>
      </c>
      <c r="M41" s="743" t="str">
        <f t="shared" si="5"/>
        <v>Расходы на текущий ремонт</v>
      </c>
      <c r="N41" s="743" t="str">
        <f t="shared" si="6"/>
        <v>Указываются расходы на текущий ремонт, отнесенные к общепроизводственным расходам.</v>
      </c>
      <c r="O41" s="809" t="s">
        <v>2150</v>
      </c>
      <c r="P41" s="809" t="s">
        <v>2138</v>
      </c>
      <c r="Q41" s="809" t="s">
        <v>2150</v>
      </c>
      <c r="R41" s="809" t="s">
        <v>2138</v>
      </c>
      <c r="S41" s="809"/>
      <c r="T41" s="742" t="s">
        <v>2151</v>
      </c>
      <c r="U41" s="742" t="s">
        <v>2151</v>
      </c>
      <c r="V41" s="742" t="s">
        <v>2151</v>
      </c>
      <c r="W41" s="742" t="s">
        <v>2151</v>
      </c>
      <c r="X41" s="742"/>
      <c r="Y41" s="852"/>
      <c r="Z41" s="745" t="s">
        <v>2152</v>
      </c>
      <c r="AA41" s="745" t="s">
        <v>2152</v>
      </c>
      <c r="AB41" s="745" t="s">
        <v>2152</v>
      </c>
      <c r="AC41" s="745" t="s">
        <v>2152</v>
      </c>
      <c r="AD41" s="745"/>
    </row>
    <row r="42" spans="1:30" ht="27" customHeight="1">
      <c r="A42" s="744"/>
      <c r="B42" s="795">
        <v>25</v>
      </c>
      <c r="C42" s="742" t="s">
        <v>2153</v>
      </c>
      <c r="D42" s="819"/>
      <c r="E42" s="742"/>
      <c r="F42" s="742"/>
      <c r="G42" s="742"/>
      <c r="H42" s="789"/>
      <c r="I42" s="857" t="str">
        <f t="shared" si="1"/>
        <v>2.10.2</v>
      </c>
      <c r="J42" s="857" t="str">
        <f t="shared" si="2"/>
        <v>Расходы на капитальный ремонт</v>
      </c>
      <c r="K42" s="857" t="str">
        <f t="shared" si="3"/>
        <v>Указываются расходы на капитальный ремонт, отнесенные к общепроизводственным расходам.</v>
      </c>
      <c r="L42" s="743" t="str">
        <f t="shared" si="4"/>
        <v>2.10.2</v>
      </c>
      <c r="M42" s="743" t="str">
        <f t="shared" si="5"/>
        <v>Расходы на капитальный ремонт</v>
      </c>
      <c r="N42" s="743" t="str">
        <f t="shared" si="6"/>
        <v>Указываются расходы на капитальный ремонт, отнесенные к общепроизводственным расходам.</v>
      </c>
      <c r="O42" s="809" t="s">
        <v>2154</v>
      </c>
      <c r="P42" s="809" t="s">
        <v>2141</v>
      </c>
      <c r="Q42" s="809" t="s">
        <v>2154</v>
      </c>
      <c r="R42" s="809" t="s">
        <v>2141</v>
      </c>
      <c r="S42" s="809"/>
      <c r="T42" s="742" t="s">
        <v>2155</v>
      </c>
      <c r="U42" s="742" t="s">
        <v>2155</v>
      </c>
      <c r="V42" s="742" t="s">
        <v>2155</v>
      </c>
      <c r="W42" s="742" t="s">
        <v>2155</v>
      </c>
      <c r="X42" s="742"/>
      <c r="Y42" s="852"/>
      <c r="Z42" s="745" t="s">
        <v>2156</v>
      </c>
      <c r="AA42" s="745" t="s">
        <v>2156</v>
      </c>
      <c r="AB42" s="745" t="s">
        <v>2156</v>
      </c>
      <c r="AC42" s="745" t="s">
        <v>2156</v>
      </c>
      <c r="AD42" s="745"/>
    </row>
    <row r="43" spans="1:30" ht="18" customHeight="1">
      <c r="A43" s="744"/>
      <c r="B43" s="795">
        <v>26</v>
      </c>
      <c r="C43" s="742">
        <v>14</v>
      </c>
      <c r="D43" s="819"/>
      <c r="E43" s="742"/>
      <c r="F43" s="742"/>
      <c r="G43" s="742"/>
      <c r="H43" s="789"/>
      <c r="I43" s="857" t="str">
        <f t="shared" si="1"/>
        <v>2.11</v>
      </c>
      <c r="J43" s="857" t="str">
        <f t="shared" si="2"/>
        <v>Общехозяйственные расходы, в том числе:</v>
      </c>
      <c r="K43" s="857" t="str">
        <f t="shared" si="3"/>
        <v>Указывается общая сумма общехозяйственных расходов.</v>
      </c>
      <c r="L43" s="743" t="str">
        <f t="shared" si="4"/>
        <v>2.11</v>
      </c>
      <c r="M43" s="743" t="str">
        <f t="shared" si="5"/>
        <v>Общехозяйственные расходы, в том числе:</v>
      </c>
      <c r="N43" s="743" t="str">
        <f t="shared" si="6"/>
        <v>Указывается общая сумма общехозяйственных расходов.</v>
      </c>
      <c r="O43" s="809" t="s">
        <v>2157</v>
      </c>
      <c r="P43" s="809" t="s">
        <v>860</v>
      </c>
      <c r="Q43" s="809" t="s">
        <v>2157</v>
      </c>
      <c r="R43" s="809" t="s">
        <v>860</v>
      </c>
      <c r="S43" s="809"/>
      <c r="T43" s="742" t="s">
        <v>2158</v>
      </c>
      <c r="U43" s="742" t="s">
        <v>2158</v>
      </c>
      <c r="V43" s="742" t="s">
        <v>2158</v>
      </c>
      <c r="W43" s="742" t="s">
        <v>2158</v>
      </c>
      <c r="X43" s="742"/>
      <c r="Y43" s="852"/>
      <c r="Z43" s="745" t="s">
        <v>2159</v>
      </c>
      <c r="AA43" s="745" t="s">
        <v>2159</v>
      </c>
      <c r="AB43" s="745" t="s">
        <v>2159</v>
      </c>
      <c r="AC43" s="745" t="s">
        <v>2159</v>
      </c>
      <c r="AD43" s="745"/>
    </row>
    <row r="44" spans="1:30" ht="27" customHeight="1">
      <c r="A44" s="744"/>
      <c r="B44" s="795">
        <v>27</v>
      </c>
      <c r="C44" s="742" t="s">
        <v>2160</v>
      </c>
      <c r="D44" s="819"/>
      <c r="E44" s="742"/>
      <c r="F44" s="742"/>
      <c r="G44" s="742"/>
      <c r="H44" s="789"/>
      <c r="I44" s="857" t="str">
        <f t="shared" si="1"/>
        <v>2.11.1</v>
      </c>
      <c r="J44" s="857" t="str">
        <f t="shared" si="2"/>
        <v>Расходы на текущий ремонт</v>
      </c>
      <c r="K44" s="857" t="str">
        <f t="shared" si="3"/>
        <v>Указываются расходы на текущий ремонт, отнесенные к общехозяйственным расходам.</v>
      </c>
      <c r="L44" s="743" t="str">
        <f t="shared" si="4"/>
        <v>2.11.1</v>
      </c>
      <c r="M44" s="743" t="str">
        <f t="shared" si="5"/>
        <v>Расходы на текущий ремонт</v>
      </c>
      <c r="N44" s="743" t="str">
        <f t="shared" si="6"/>
        <v>Указываются расходы на текущий ремонт, отнесенные к общехозяйственным расходам.</v>
      </c>
      <c r="O44" s="809" t="s">
        <v>2161</v>
      </c>
      <c r="P44" s="809" t="s">
        <v>863</v>
      </c>
      <c r="Q44" s="809" t="s">
        <v>2161</v>
      </c>
      <c r="R44" s="809" t="s">
        <v>863</v>
      </c>
      <c r="S44" s="809"/>
      <c r="T44" s="742" t="s">
        <v>2151</v>
      </c>
      <c r="U44" s="742" t="s">
        <v>2151</v>
      </c>
      <c r="V44" s="742" t="s">
        <v>2151</v>
      </c>
      <c r="W44" s="742" t="s">
        <v>2151</v>
      </c>
      <c r="X44" s="742"/>
      <c r="Y44" s="852"/>
      <c r="Z44" s="745" t="s">
        <v>2162</v>
      </c>
      <c r="AA44" s="745" t="s">
        <v>2162</v>
      </c>
      <c r="AB44" s="745" t="s">
        <v>2162</v>
      </c>
      <c r="AC44" s="745" t="s">
        <v>2162</v>
      </c>
      <c r="AD44" s="745"/>
    </row>
    <row r="45" spans="1:30" ht="27" customHeight="1">
      <c r="A45" s="744"/>
      <c r="B45" s="795">
        <v>28</v>
      </c>
      <c r="C45" s="742" t="s">
        <v>2163</v>
      </c>
      <c r="D45" s="819"/>
      <c r="E45" s="742"/>
      <c r="F45" s="742"/>
      <c r="G45" s="742"/>
      <c r="H45" s="789"/>
      <c r="I45" s="857" t="str">
        <f t="shared" si="1"/>
        <v>2.11.2</v>
      </c>
      <c r="J45" s="857" t="str">
        <f t="shared" si="2"/>
        <v>Расходы на капитальный ремонт</v>
      </c>
      <c r="K45" s="857" t="str">
        <f t="shared" si="3"/>
        <v>Указываются расходы на капитальный ремонт, отнесенные к общехозяйственным расходам.</v>
      </c>
      <c r="L45" s="743" t="str">
        <f t="shared" si="4"/>
        <v>2.11.2</v>
      </c>
      <c r="M45" s="743" t="str">
        <f t="shared" si="5"/>
        <v>Расходы на капитальный ремонт</v>
      </c>
      <c r="N45" s="743" t="str">
        <f t="shared" si="6"/>
        <v>Указываются расходы на капитальный ремонт, отнесенные к общехозяйственным расходам.</v>
      </c>
      <c r="O45" s="809" t="s">
        <v>2164</v>
      </c>
      <c r="P45" s="809" t="s">
        <v>866</v>
      </c>
      <c r="Q45" s="809" t="s">
        <v>2164</v>
      </c>
      <c r="R45" s="809" t="s">
        <v>866</v>
      </c>
      <c r="S45" s="809"/>
      <c r="T45" s="742" t="s">
        <v>2155</v>
      </c>
      <c r="U45" s="742" t="s">
        <v>2155</v>
      </c>
      <c r="V45" s="742" t="s">
        <v>2155</v>
      </c>
      <c r="W45" s="742" t="s">
        <v>2155</v>
      </c>
      <c r="X45" s="742"/>
      <c r="Y45" s="852"/>
      <c r="Z45" s="745" t="s">
        <v>2165</v>
      </c>
      <c r="AA45" s="745" t="s">
        <v>2165</v>
      </c>
      <c r="AB45" s="745" t="s">
        <v>2165</v>
      </c>
      <c r="AC45" s="745" t="s">
        <v>2165</v>
      </c>
      <c r="AD45" s="745"/>
    </row>
    <row r="46" spans="1:30" ht="54" customHeight="1">
      <c r="A46" s="744"/>
      <c r="B46" s="795">
        <v>29</v>
      </c>
      <c r="C46" s="742">
        <v>15</v>
      </c>
      <c r="D46" s="819"/>
      <c r="E46" s="742"/>
      <c r="F46" s="742"/>
      <c r="G46" s="742"/>
      <c r="H46" s="789"/>
      <c r="I46" s="857" t="str">
        <f t="shared" si="1"/>
        <v>2.12</v>
      </c>
      <c r="J46" s="857" t="str">
        <f t="shared" si="2"/>
        <v>Расходы на капитальный и текущий ремонт основных средств</v>
      </c>
      <c r="K46" s="85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43" t="str">
        <f t="shared" si="4"/>
        <v>2.12</v>
      </c>
      <c r="M46" s="743" t="str">
        <f t="shared" si="5"/>
        <v>Расходы на капитальный и текущий ремонт основных средств</v>
      </c>
      <c r="N46" s="743"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09" t="s">
        <v>2166</v>
      </c>
      <c r="P46" s="809" t="s">
        <v>912</v>
      </c>
      <c r="Q46" s="809" t="s">
        <v>2166</v>
      </c>
      <c r="R46" s="809" t="s">
        <v>912</v>
      </c>
      <c r="S46" s="809"/>
      <c r="T46" s="74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42" t="s">
        <v>2167</v>
      </c>
      <c r="V46" s="742" t="s">
        <v>2167</v>
      </c>
      <c r="W46" s="742" t="s">
        <v>2167</v>
      </c>
      <c r="X46" s="742"/>
      <c r="Y46" s="852"/>
      <c r="Z46" s="745" t="s">
        <v>2168</v>
      </c>
      <c r="AA46" s="745" t="s">
        <v>2169</v>
      </c>
      <c r="AB46" s="745" t="s">
        <v>2169</v>
      </c>
      <c r="AC46" s="745" t="s">
        <v>2169</v>
      </c>
      <c r="AD46" s="745"/>
    </row>
    <row r="47" spans="1:30" ht="54" customHeight="1">
      <c r="A47" s="744"/>
      <c r="B47" s="795">
        <v>30</v>
      </c>
      <c r="C47" s="742" t="s">
        <v>2170</v>
      </c>
      <c r="D47" s="819"/>
      <c r="E47" s="742"/>
      <c r="F47" s="742"/>
      <c r="G47" s="742"/>
      <c r="H47" s="789"/>
      <c r="I47" s="857" t="str">
        <f t="shared" si="1"/>
        <v>2.12.1</v>
      </c>
      <c r="J47" s="85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857">
        <f t="shared" si="3"/>
        <v>0</v>
      </c>
      <c r="L47" s="743" t="str">
        <f t="shared" si="4"/>
        <v>2.12.1</v>
      </c>
      <c r="M47" s="74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43" t="str">
        <f t="shared" si="6"/>
        <v/>
      </c>
      <c r="O47" s="809" t="s">
        <v>2171</v>
      </c>
      <c r="P47" s="809" t="s">
        <v>2150</v>
      </c>
      <c r="Q47" s="809" t="s">
        <v>2171</v>
      </c>
      <c r="R47" s="809" t="s">
        <v>2150</v>
      </c>
      <c r="S47" s="809"/>
      <c r="T47" s="742" t="s">
        <v>2172</v>
      </c>
      <c r="U47" s="742" t="s">
        <v>2172</v>
      </c>
      <c r="V47" s="742" t="s">
        <v>2172</v>
      </c>
      <c r="W47" s="742" t="s">
        <v>2172</v>
      </c>
      <c r="X47" s="742"/>
      <c r="Y47" s="852"/>
      <c r="Z47" s="745"/>
      <c r="AA47" s="748"/>
      <c r="AB47" s="748"/>
      <c r="AC47" s="748"/>
      <c r="AD47" s="745"/>
    </row>
    <row r="48" spans="1:30" ht="54" customHeight="1">
      <c r="A48" s="744"/>
      <c r="B48" s="795">
        <v>31</v>
      </c>
      <c r="C48" s="742">
        <v>16</v>
      </c>
      <c r="D48" s="819"/>
      <c r="E48" s="742"/>
      <c r="F48" s="742"/>
      <c r="G48" s="742"/>
      <c r="H48" s="789"/>
      <c r="I48" s="857">
        <f t="shared" si="1"/>
        <v>0</v>
      </c>
      <c r="J48" s="857">
        <f t="shared" si="2"/>
        <v>0</v>
      </c>
      <c r="K48" s="857">
        <f t="shared" si="3"/>
        <v>0</v>
      </c>
      <c r="L48" s="743" t="str">
        <f t="shared" si="4"/>
        <v/>
      </c>
      <c r="M48" s="743" t="str">
        <f t="shared" si="5"/>
        <v/>
      </c>
      <c r="N48" s="743" t="str">
        <f t="shared" si="6"/>
        <v/>
      </c>
      <c r="O48" s="809"/>
      <c r="P48" s="809" t="s">
        <v>2157</v>
      </c>
      <c r="Q48" s="809" t="s">
        <v>2173</v>
      </c>
      <c r="R48" s="809" t="s">
        <v>2157</v>
      </c>
      <c r="S48" s="809"/>
      <c r="T48" s="742"/>
      <c r="U48" s="742" t="s">
        <v>2174</v>
      </c>
      <c r="V48" s="742" t="s">
        <v>2175</v>
      </c>
      <c r="W48" s="742" t="s">
        <v>2175</v>
      </c>
      <c r="X48" s="742"/>
      <c r="Y48" s="852"/>
      <c r="Z48" s="745"/>
      <c r="AA48" s="748" t="s">
        <v>2169</v>
      </c>
      <c r="AB48" s="748" t="s">
        <v>2169</v>
      </c>
      <c r="AC48" s="748" t="s">
        <v>2169</v>
      </c>
      <c r="AD48" s="745"/>
    </row>
    <row r="49" spans="1:30" ht="54" customHeight="1">
      <c r="A49" s="744"/>
      <c r="B49" s="795">
        <v>32</v>
      </c>
      <c r="C49" s="742" t="s">
        <v>2176</v>
      </c>
      <c r="D49" s="819"/>
      <c r="E49" s="742"/>
      <c r="F49" s="742"/>
      <c r="G49" s="742"/>
      <c r="H49" s="789"/>
      <c r="I49" s="857">
        <f t="shared" si="1"/>
        <v>0</v>
      </c>
      <c r="J49" s="857">
        <f t="shared" si="2"/>
        <v>0</v>
      </c>
      <c r="K49" s="857">
        <f t="shared" si="3"/>
        <v>0</v>
      </c>
      <c r="L49" s="743" t="str">
        <f t="shared" si="4"/>
        <v/>
      </c>
      <c r="M49" s="743" t="str">
        <f t="shared" si="5"/>
        <v/>
      </c>
      <c r="N49" s="743" t="str">
        <f t="shared" si="6"/>
        <v/>
      </c>
      <c r="O49" s="809"/>
      <c r="P49" s="809" t="s">
        <v>2161</v>
      </c>
      <c r="Q49" s="809" t="s">
        <v>2177</v>
      </c>
      <c r="R49" s="809" t="s">
        <v>2161</v>
      </c>
      <c r="S49" s="809"/>
      <c r="T49" s="742"/>
      <c r="U49" s="742" t="s">
        <v>2172</v>
      </c>
      <c r="V49" s="742" t="s">
        <v>2172</v>
      </c>
      <c r="W49" s="742" t="s">
        <v>2172</v>
      </c>
      <c r="X49" s="742"/>
      <c r="Y49" s="852"/>
      <c r="Z49" s="745"/>
      <c r="AA49" s="748"/>
      <c r="AB49" s="748"/>
      <c r="AC49" s="748"/>
      <c r="AD49" s="745"/>
    </row>
    <row r="50" spans="1:30" ht="126" customHeight="1">
      <c r="A50" s="744"/>
      <c r="B50" s="795">
        <v>33</v>
      </c>
      <c r="C50" s="742">
        <v>17</v>
      </c>
      <c r="D50" s="819"/>
      <c r="E50" s="742"/>
      <c r="F50" s="742"/>
      <c r="G50" s="742"/>
      <c r="H50" s="789"/>
      <c r="I50" s="857" t="str">
        <f t="shared" ref="I50:I81" si="7">INDEX(TEMPLATE_NUMBER_POINT_FHD,B50,MATCH(TEMPLATE_SPHERE,TEMPLATE_SPHERE_LIST_FOR_NOTE,0))</f>
        <v>2.13</v>
      </c>
      <c r="J50" s="85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85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43" t="str">
        <f t="shared" ref="L50:L81" si="10">IF(I50=0,"",I50)</f>
        <v>2.13</v>
      </c>
      <c r="M50" s="743"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43"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09" t="s">
        <v>2173</v>
      </c>
      <c r="P50" s="809" t="s">
        <v>2166</v>
      </c>
      <c r="Q50" s="809" t="s">
        <v>2178</v>
      </c>
      <c r="R50" s="809" t="s">
        <v>2166</v>
      </c>
      <c r="S50" s="809"/>
      <c r="T50" s="742" t="s">
        <v>2179</v>
      </c>
      <c r="U50" s="742" t="s">
        <v>2180</v>
      </c>
      <c r="V50" s="742" t="s">
        <v>2181</v>
      </c>
      <c r="W50" s="742" t="s">
        <v>2182</v>
      </c>
      <c r="X50" s="742"/>
      <c r="Y50" s="852"/>
      <c r="Z50" s="745" t="s">
        <v>2183</v>
      </c>
      <c r="AA50" s="748" t="s">
        <v>2184</v>
      </c>
      <c r="AB50" s="748" t="s">
        <v>2184</v>
      </c>
      <c r="AC50" s="748" t="s">
        <v>2184</v>
      </c>
      <c r="AD50" s="745"/>
    </row>
    <row r="51" spans="1:30" ht="27" customHeight="1">
      <c r="A51" s="744"/>
      <c r="B51" s="795">
        <v>34</v>
      </c>
      <c r="C51" s="742" t="s">
        <v>2185</v>
      </c>
      <c r="D51" s="819"/>
      <c r="E51" s="742"/>
      <c r="F51" s="742"/>
      <c r="G51" s="742"/>
      <c r="H51" s="789"/>
      <c r="I51" s="857" t="str">
        <f t="shared" si="7"/>
        <v>3</v>
      </c>
      <c r="J51" s="857" t="str">
        <f t="shared" si="8"/>
        <v>Валовая прибыль (убытки) от реализации товаров и оказания услуг по регулируемому виду деятельности</v>
      </c>
      <c r="K51" s="857">
        <f t="shared" si="9"/>
        <v>0</v>
      </c>
      <c r="L51" s="743" t="str">
        <f t="shared" si="10"/>
        <v>3</v>
      </c>
      <c r="M51" s="743" t="str">
        <f t="shared" si="11"/>
        <v>Валовая прибыль (убытки) от реализации товаров и оказания услуг по регулируемому виду деятельности</v>
      </c>
      <c r="N51" s="743" t="str">
        <f t="shared" si="12"/>
        <v/>
      </c>
      <c r="O51" s="809" t="s">
        <v>77</v>
      </c>
      <c r="P51" s="809"/>
      <c r="Q51" s="809"/>
      <c r="R51" s="809"/>
      <c r="S51" s="809"/>
      <c r="T51" s="742" t="s">
        <v>2186</v>
      </c>
      <c r="U51" s="742"/>
      <c r="V51" s="742"/>
      <c r="W51" s="742"/>
      <c r="X51" s="742"/>
      <c r="Y51" s="852"/>
      <c r="Z51" s="745"/>
      <c r="AA51" s="748"/>
      <c r="AB51" s="748"/>
      <c r="AC51" s="748"/>
      <c r="AD51" s="745"/>
    </row>
    <row r="52" spans="1:30" ht="36" customHeight="1">
      <c r="A52" s="744"/>
      <c r="B52" s="795">
        <v>35</v>
      </c>
      <c r="C52" s="742" t="s">
        <v>2082</v>
      </c>
      <c r="D52" s="819" t="s">
        <v>2082</v>
      </c>
      <c r="E52" s="742" t="s">
        <v>2082</v>
      </c>
      <c r="F52" s="742" t="s">
        <v>2082</v>
      </c>
      <c r="G52" s="742"/>
      <c r="H52" s="789"/>
      <c r="I52" s="857" t="str">
        <f t="shared" si="7"/>
        <v>4</v>
      </c>
      <c r="J52" s="857" t="str">
        <f t="shared" si="8"/>
        <v>Чистая прибыль, полученная от регулируемого вида деятельности, в том числе:</v>
      </c>
      <c r="K52" s="857" t="str">
        <f t="shared" si="9"/>
        <v>Указывается общая сумма чистой прибыли, полученной от регулируемого вида деятельности.</v>
      </c>
      <c r="L52" s="743" t="str">
        <f t="shared" si="10"/>
        <v>4</v>
      </c>
      <c r="M52" s="743" t="str">
        <f t="shared" si="11"/>
        <v>Чистая прибыль, полученная от регулируемого вида деятельности, в том числе:</v>
      </c>
      <c r="N52" s="743" t="str">
        <f t="shared" si="12"/>
        <v>Указывается общая сумма чистой прибыли, полученной от регулируемого вида деятельности.</v>
      </c>
      <c r="O52" s="809" t="s">
        <v>78</v>
      </c>
      <c r="P52" s="809" t="s">
        <v>77</v>
      </c>
      <c r="Q52" s="809" t="s">
        <v>77</v>
      </c>
      <c r="R52" s="809" t="s">
        <v>77</v>
      </c>
      <c r="S52" s="809"/>
      <c r="T52" s="742" t="s">
        <v>2187</v>
      </c>
      <c r="U52" s="742" t="s">
        <v>2188</v>
      </c>
      <c r="V52" s="742" t="s">
        <v>2189</v>
      </c>
      <c r="W52" s="742" t="s">
        <v>2190</v>
      </c>
      <c r="X52" s="742"/>
      <c r="Y52" s="852"/>
      <c r="Z52" s="745" t="s">
        <v>870</v>
      </c>
      <c r="AA52" s="748" t="s">
        <v>870</v>
      </c>
      <c r="AB52" s="748" t="s">
        <v>870</v>
      </c>
      <c r="AC52" s="748" t="s">
        <v>870</v>
      </c>
      <c r="AD52" s="745"/>
    </row>
    <row r="53" spans="1:30" ht="36" customHeight="1">
      <c r="A53" s="744"/>
      <c r="B53" s="795">
        <v>36</v>
      </c>
      <c r="C53" s="742">
        <v>1</v>
      </c>
      <c r="D53" s="819"/>
      <c r="E53" s="742"/>
      <c r="F53" s="742"/>
      <c r="G53" s="742"/>
      <c r="H53" s="789"/>
      <c r="I53" s="857" t="str">
        <f t="shared" si="7"/>
        <v>4.1</v>
      </c>
      <c r="J53" s="85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857">
        <f t="shared" si="9"/>
        <v>0</v>
      </c>
      <c r="L53" s="743" t="str">
        <f t="shared" si="10"/>
        <v>4.1</v>
      </c>
      <c r="M53" s="743"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43" t="str">
        <f t="shared" si="12"/>
        <v/>
      </c>
      <c r="O53" s="809" t="s">
        <v>874</v>
      </c>
      <c r="P53" s="809" t="s">
        <v>408</v>
      </c>
      <c r="Q53" s="809" t="s">
        <v>408</v>
      </c>
      <c r="R53" s="809" t="s">
        <v>408</v>
      </c>
      <c r="S53" s="809"/>
      <c r="T53" s="742" t="s">
        <v>2191</v>
      </c>
      <c r="U53" s="742" t="s">
        <v>2191</v>
      </c>
      <c r="V53" s="742" t="s">
        <v>2191</v>
      </c>
      <c r="W53" s="742" t="s">
        <v>2191</v>
      </c>
      <c r="X53" s="742"/>
      <c r="Y53" s="852"/>
      <c r="Z53" s="745"/>
      <c r="AA53" s="748"/>
      <c r="AB53" s="745"/>
      <c r="AC53" s="745"/>
      <c r="AD53" s="745"/>
    </row>
    <row r="54" spans="1:30" ht="18" customHeight="1">
      <c r="A54" s="744"/>
      <c r="B54" s="795">
        <v>37</v>
      </c>
      <c r="C54" s="742" t="s">
        <v>2088</v>
      </c>
      <c r="D54" s="819" t="s">
        <v>2088</v>
      </c>
      <c r="E54" s="742" t="s">
        <v>2088</v>
      </c>
      <c r="F54" s="742" t="s">
        <v>2088</v>
      </c>
      <c r="G54" s="742"/>
      <c r="H54" s="789"/>
      <c r="I54" s="857" t="str">
        <f t="shared" si="7"/>
        <v>5</v>
      </c>
      <c r="J54" s="857" t="str">
        <f t="shared" si="8"/>
        <v>Изменение стоимости основных фондов, в том числе:</v>
      </c>
      <c r="K54" s="857" t="str">
        <f t="shared" si="9"/>
        <v>Указывается общее изменение стоимости основных фондов.</v>
      </c>
      <c r="L54" s="743" t="str">
        <f t="shared" si="10"/>
        <v>5</v>
      </c>
      <c r="M54" s="743" t="str">
        <f t="shared" si="11"/>
        <v>Изменение стоимости основных фондов, в том числе:</v>
      </c>
      <c r="N54" s="743" t="str">
        <f t="shared" si="12"/>
        <v>Указывается общее изменение стоимости основных фондов.</v>
      </c>
      <c r="O54" s="809" t="s">
        <v>115</v>
      </c>
      <c r="P54" s="809" t="s">
        <v>78</v>
      </c>
      <c r="Q54" s="809" t="s">
        <v>78</v>
      </c>
      <c r="R54" s="809" t="s">
        <v>78</v>
      </c>
      <c r="S54" s="809"/>
      <c r="T54" s="742" t="s">
        <v>872</v>
      </c>
      <c r="U54" s="742" t="s">
        <v>872</v>
      </c>
      <c r="V54" s="742" t="s">
        <v>872</v>
      </c>
      <c r="W54" s="742" t="s">
        <v>872</v>
      </c>
      <c r="X54" s="742"/>
      <c r="Y54" s="852"/>
      <c r="Z54" s="745" t="s">
        <v>873</v>
      </c>
      <c r="AA54" s="745" t="s">
        <v>873</v>
      </c>
      <c r="AB54" s="745" t="s">
        <v>873</v>
      </c>
      <c r="AC54" s="745" t="s">
        <v>873</v>
      </c>
      <c r="AD54" s="745"/>
    </row>
    <row r="55" spans="1:30" ht="36" customHeight="1">
      <c r="A55" s="744"/>
      <c r="B55" s="795">
        <v>38</v>
      </c>
      <c r="C55" s="742">
        <v>1</v>
      </c>
      <c r="D55" s="819"/>
      <c r="E55" s="742"/>
      <c r="F55" s="742"/>
      <c r="G55" s="742"/>
      <c r="H55" s="789"/>
      <c r="I55" s="857" t="str">
        <f t="shared" si="7"/>
        <v>5.1</v>
      </c>
      <c r="J55" s="857" t="str">
        <f t="shared" si="8"/>
        <v>Изменение стоимости основных фондов за счет:</v>
      </c>
      <c r="K55" s="857" t="str">
        <f t="shared" si="9"/>
        <v>Указываются общее изменение стоимости основных фондов за счет их ввода в эксплуатацию и вывода из эксплуатации.</v>
      </c>
      <c r="L55" s="743" t="str">
        <f t="shared" si="10"/>
        <v>5.1</v>
      </c>
      <c r="M55" s="743" t="str">
        <f t="shared" si="11"/>
        <v>Изменение стоимости основных фондов за счет:</v>
      </c>
      <c r="N55" s="743" t="str">
        <f t="shared" si="12"/>
        <v>Указываются общее изменение стоимости основных фондов за счет их ввода в эксплуатацию и вывода из эксплуатации.</v>
      </c>
      <c r="O55" s="809" t="s">
        <v>397</v>
      </c>
      <c r="P55" s="809" t="s">
        <v>874</v>
      </c>
      <c r="Q55" s="809" t="s">
        <v>874</v>
      </c>
      <c r="R55" s="809" t="s">
        <v>874</v>
      </c>
      <c r="S55" s="809"/>
      <c r="T55" s="743"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42" t="s">
        <v>2192</v>
      </c>
      <c r="V55" s="742" t="s">
        <v>2192</v>
      </c>
      <c r="W55" s="742" t="s">
        <v>2192</v>
      </c>
      <c r="X55" s="742"/>
      <c r="Y55" s="852"/>
      <c r="Z55" s="745" t="s">
        <v>2193</v>
      </c>
      <c r="AA55" s="745" t="s">
        <v>2193</v>
      </c>
      <c r="AB55" s="745" t="s">
        <v>2193</v>
      </c>
      <c r="AC55" s="745" t="s">
        <v>2193</v>
      </c>
      <c r="AD55" s="745"/>
    </row>
    <row r="56" spans="1:30" ht="27" customHeight="1">
      <c r="A56" s="744"/>
      <c r="B56" s="795">
        <v>39</v>
      </c>
      <c r="C56" s="742" t="s">
        <v>1141</v>
      </c>
      <c r="D56" s="819"/>
      <c r="E56" s="742"/>
      <c r="F56" s="742"/>
      <c r="G56" s="742"/>
      <c r="H56" s="789"/>
      <c r="I56" s="857" t="str">
        <f t="shared" si="7"/>
        <v>5.1.1</v>
      </c>
      <c r="J56" s="857" t="str">
        <f t="shared" si="8"/>
        <v>Изменения стоимости основных фондов за счет их ввода в эксплуатацию</v>
      </c>
      <c r="K56" s="857" t="str">
        <f t="shared" si="9"/>
        <v>Указываются изменение стоимости основных фондов за счет их ввода в эксплуатацию.</v>
      </c>
      <c r="L56" s="743" t="str">
        <f t="shared" si="10"/>
        <v>5.1.1</v>
      </c>
      <c r="M56" s="743" t="str">
        <f t="shared" si="11"/>
        <v>Изменения стоимости основных фондов за счет их ввода в эксплуатацию</v>
      </c>
      <c r="N56" s="743" t="str">
        <f t="shared" si="12"/>
        <v>Указываются изменение стоимости основных фондов за счет их ввода в эксплуатацию.</v>
      </c>
      <c r="O56" s="809" t="s">
        <v>1220</v>
      </c>
      <c r="P56" s="809" t="s">
        <v>877</v>
      </c>
      <c r="Q56" s="809" t="s">
        <v>877</v>
      </c>
      <c r="R56" s="809" t="s">
        <v>877</v>
      </c>
      <c r="S56" s="809"/>
      <c r="T56" s="743"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42" t="s">
        <v>2194</v>
      </c>
      <c r="V56" s="742" t="s">
        <v>2194</v>
      </c>
      <c r="W56" s="742" t="s">
        <v>2194</v>
      </c>
      <c r="X56" s="742"/>
      <c r="Y56" s="852"/>
      <c r="Z56" s="745" t="s">
        <v>879</v>
      </c>
      <c r="AA56" s="745" t="s">
        <v>879</v>
      </c>
      <c r="AB56" s="745" t="s">
        <v>879</v>
      </c>
      <c r="AC56" s="745" t="s">
        <v>879</v>
      </c>
      <c r="AD56" s="745"/>
    </row>
    <row r="57" spans="1:30" ht="27" customHeight="1">
      <c r="A57" s="744"/>
      <c r="B57" s="795">
        <v>40</v>
      </c>
      <c r="C57" s="742" t="s">
        <v>1143</v>
      </c>
      <c r="D57" s="819"/>
      <c r="E57" s="742"/>
      <c r="F57" s="742"/>
      <c r="G57" s="742"/>
      <c r="H57" s="789"/>
      <c r="I57" s="857" t="str">
        <f t="shared" si="7"/>
        <v>5.1.2</v>
      </c>
      <c r="J57" s="857" t="str">
        <f t="shared" si="8"/>
        <v>Изменения стоимости основных фондов за счет их вывода в эксплуатацию</v>
      </c>
      <c r="K57" s="857" t="str">
        <f t="shared" si="9"/>
        <v>Указываются изменение стоимости основных фондов за счет их вывода из эксплуатации.</v>
      </c>
      <c r="L57" s="743" t="str">
        <f t="shared" si="10"/>
        <v>5.1.2</v>
      </c>
      <c r="M57" s="743" t="str">
        <f t="shared" si="11"/>
        <v>Изменения стоимости основных фондов за счет их вывода в эксплуатацию</v>
      </c>
      <c r="N57" s="743" t="str">
        <f t="shared" si="12"/>
        <v>Указываются изменение стоимости основных фондов за счет их вывода из эксплуатации.</v>
      </c>
      <c r="O57" s="809" t="s">
        <v>2195</v>
      </c>
      <c r="P57" s="809" t="s">
        <v>880</v>
      </c>
      <c r="Q57" s="809" t="s">
        <v>880</v>
      </c>
      <c r="R57" s="809" t="s">
        <v>880</v>
      </c>
      <c r="S57" s="809"/>
      <c r="T57" s="743"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42" t="s">
        <v>2196</v>
      </c>
      <c r="V57" s="742" t="s">
        <v>2196</v>
      </c>
      <c r="W57" s="742" t="s">
        <v>2196</v>
      </c>
      <c r="X57" s="742"/>
      <c r="Y57" s="852"/>
      <c r="Z57" s="745" t="s">
        <v>882</v>
      </c>
      <c r="AA57" s="745" t="s">
        <v>882</v>
      </c>
      <c r="AB57" s="745" t="s">
        <v>882</v>
      </c>
      <c r="AC57" s="745" t="s">
        <v>882</v>
      </c>
      <c r="AD57" s="745"/>
    </row>
    <row r="58" spans="1:30" ht="18" customHeight="1">
      <c r="A58" s="744"/>
      <c r="B58" s="795">
        <v>41</v>
      </c>
      <c r="C58" s="742">
        <v>2</v>
      </c>
      <c r="D58" s="819"/>
      <c r="E58" s="742"/>
      <c r="F58" s="742"/>
      <c r="G58" s="742"/>
      <c r="H58" s="789"/>
      <c r="I58" s="857" t="str">
        <f t="shared" si="7"/>
        <v>5.2</v>
      </c>
      <c r="J58" s="857" t="str">
        <f t="shared" si="8"/>
        <v>Изменение стоимости основных фондов за счет их переоценки</v>
      </c>
      <c r="K58" s="857">
        <f t="shared" si="9"/>
        <v>0</v>
      </c>
      <c r="L58" s="743" t="str">
        <f t="shared" si="10"/>
        <v>5.2</v>
      </c>
      <c r="M58" s="743" t="str">
        <f t="shared" si="11"/>
        <v>Изменение стоимости основных фондов за счет их переоценки</v>
      </c>
      <c r="N58" s="743" t="str">
        <f t="shared" si="12"/>
        <v/>
      </c>
      <c r="O58" s="809" t="s">
        <v>955</v>
      </c>
      <c r="P58" s="809" t="s">
        <v>918</v>
      </c>
      <c r="Q58" s="809" t="s">
        <v>918</v>
      </c>
      <c r="R58" s="809" t="s">
        <v>918</v>
      </c>
      <c r="S58" s="809"/>
      <c r="T58" s="743"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42" t="s">
        <v>2197</v>
      </c>
      <c r="V58" s="742" t="s">
        <v>2197</v>
      </c>
      <c r="W58" s="742" t="s">
        <v>2197</v>
      </c>
      <c r="X58" s="742"/>
      <c r="Y58" s="852"/>
      <c r="Z58" s="745"/>
      <c r="AA58" s="748"/>
      <c r="AB58" s="745"/>
      <c r="AC58" s="745"/>
      <c r="AD58" s="745"/>
    </row>
    <row r="59" spans="1:30" ht="36" customHeight="1">
      <c r="A59" s="744"/>
      <c r="B59" s="795">
        <v>42</v>
      </c>
      <c r="C59" s="742">
        <v>3</v>
      </c>
      <c r="D59" s="819" t="s">
        <v>2185</v>
      </c>
      <c r="E59" s="742" t="s">
        <v>2185</v>
      </c>
      <c r="F59" s="742" t="s">
        <v>2185</v>
      </c>
      <c r="G59" s="742"/>
      <c r="H59" s="789"/>
      <c r="I59" s="857">
        <f t="shared" si="7"/>
        <v>0</v>
      </c>
      <c r="J59" s="857">
        <f t="shared" si="8"/>
        <v>0</v>
      </c>
      <c r="K59" s="857">
        <f t="shared" si="9"/>
        <v>0</v>
      </c>
      <c r="L59" s="743" t="str">
        <f t="shared" si="10"/>
        <v/>
      </c>
      <c r="M59" s="743" t="str">
        <f t="shared" si="11"/>
        <v/>
      </c>
      <c r="N59" s="743" t="str">
        <f t="shared" si="12"/>
        <v/>
      </c>
      <c r="O59" s="809"/>
      <c r="P59" s="809" t="s">
        <v>115</v>
      </c>
      <c r="Q59" s="809" t="s">
        <v>115</v>
      </c>
      <c r="R59" s="809" t="s">
        <v>115</v>
      </c>
      <c r="S59" s="809"/>
      <c r="T59" s="742"/>
      <c r="U59" s="742" t="s">
        <v>2198</v>
      </c>
      <c r="V59" s="742" t="s">
        <v>2199</v>
      </c>
      <c r="W59" s="742" t="s">
        <v>2200</v>
      </c>
      <c r="X59" s="742"/>
      <c r="Y59" s="852"/>
      <c r="Z59" s="745"/>
      <c r="AA59" s="748"/>
      <c r="AB59" s="745"/>
      <c r="AC59" s="745"/>
      <c r="AD59" s="745"/>
    </row>
    <row r="60" spans="1:30" ht="81" customHeight="1">
      <c r="A60" s="744"/>
      <c r="B60" s="795">
        <v>43</v>
      </c>
      <c r="C60" s="742" t="s">
        <v>2201</v>
      </c>
      <c r="D60" s="819" t="s">
        <v>2201</v>
      </c>
      <c r="E60" s="742" t="s">
        <v>2201</v>
      </c>
      <c r="F60" s="742" t="s">
        <v>2201</v>
      </c>
      <c r="G60" s="742"/>
      <c r="H60" s="789"/>
      <c r="I60" s="857" t="str">
        <f t="shared" si="7"/>
        <v>6</v>
      </c>
      <c r="J60" s="857" t="str">
        <f t="shared" si="8"/>
        <v>Годовая бухгалтерская (финансовая) отчетность, включая бухгалтерский баланс и приложения к нему</v>
      </c>
      <c r="K60" s="85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43" t="str">
        <f t="shared" si="10"/>
        <v>6</v>
      </c>
      <c r="M60" s="743" t="str">
        <f t="shared" si="11"/>
        <v>Годовая бухгалтерская (финансовая) отчетность, включая бухгалтерский баланс и приложения к нему</v>
      </c>
      <c r="N60" s="743"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09" t="s">
        <v>79</v>
      </c>
      <c r="P60" s="809" t="s">
        <v>79</v>
      </c>
      <c r="Q60" s="809" t="s">
        <v>79</v>
      </c>
      <c r="R60" s="809" t="s">
        <v>79</v>
      </c>
      <c r="S60" s="809"/>
      <c r="T60" s="742" t="s">
        <v>744</v>
      </c>
      <c r="U60" s="742" t="s">
        <v>744</v>
      </c>
      <c r="V60" s="742" t="s">
        <v>744</v>
      </c>
      <c r="W60" s="742" t="s">
        <v>744</v>
      </c>
      <c r="X60" s="742"/>
      <c r="Y60" s="852"/>
      <c r="Z60" s="745" t="s">
        <v>2202</v>
      </c>
      <c r="AA60" s="748" t="s">
        <v>2203</v>
      </c>
      <c r="AB60" s="745" t="s">
        <v>2204</v>
      </c>
      <c r="AC60" s="745" t="s">
        <v>2203</v>
      </c>
      <c r="AD60" s="745"/>
    </row>
    <row r="61" spans="1:30" ht="9" customHeight="1">
      <c r="A61" s="744"/>
      <c r="B61" s="795">
        <v>44</v>
      </c>
      <c r="C61" s="742"/>
      <c r="D61" s="819" t="s">
        <v>2205</v>
      </c>
      <c r="E61" s="742"/>
      <c r="F61" s="742"/>
      <c r="G61" s="742"/>
      <c r="H61" s="789"/>
      <c r="I61" s="857">
        <f t="shared" si="7"/>
        <v>0</v>
      </c>
      <c r="J61" s="857">
        <f t="shared" si="8"/>
        <v>0</v>
      </c>
      <c r="K61" s="857">
        <f t="shared" si="9"/>
        <v>0</v>
      </c>
      <c r="L61" s="743" t="str">
        <f t="shared" si="10"/>
        <v/>
      </c>
      <c r="M61" s="743" t="str">
        <f t="shared" si="11"/>
        <v/>
      </c>
      <c r="N61" s="743" t="str">
        <f t="shared" si="12"/>
        <v/>
      </c>
      <c r="O61" s="809"/>
      <c r="P61" s="809" t="s">
        <v>80</v>
      </c>
      <c r="Q61" s="809"/>
      <c r="R61" s="809"/>
      <c r="S61" s="809"/>
      <c r="T61" s="742"/>
      <c r="U61" s="742" t="s">
        <v>2206</v>
      </c>
      <c r="V61" s="742"/>
      <c r="W61" s="742"/>
      <c r="X61" s="742"/>
      <c r="Y61" s="852"/>
      <c r="Z61" s="745"/>
      <c r="AA61" s="748"/>
      <c r="AB61" s="745"/>
      <c r="AC61" s="745"/>
      <c r="AD61" s="745"/>
    </row>
    <row r="62" spans="1:30" ht="9" customHeight="1">
      <c r="A62" s="744"/>
      <c r="B62" s="795">
        <v>45</v>
      </c>
      <c r="C62" s="742"/>
      <c r="D62" s="819" t="s">
        <v>2207</v>
      </c>
      <c r="E62" s="742"/>
      <c r="F62" s="742"/>
      <c r="G62" s="742"/>
      <c r="H62" s="789"/>
      <c r="I62" s="857">
        <f t="shared" si="7"/>
        <v>0</v>
      </c>
      <c r="J62" s="857">
        <f t="shared" si="8"/>
        <v>0</v>
      </c>
      <c r="K62" s="857">
        <f t="shared" si="9"/>
        <v>0</v>
      </c>
      <c r="L62" s="743" t="str">
        <f t="shared" si="10"/>
        <v/>
      </c>
      <c r="M62" s="743" t="str">
        <f t="shared" si="11"/>
        <v/>
      </c>
      <c r="N62" s="743" t="str">
        <f t="shared" si="12"/>
        <v/>
      </c>
      <c r="O62" s="809"/>
      <c r="P62" s="809" t="s">
        <v>131</v>
      </c>
      <c r="Q62" s="809"/>
      <c r="R62" s="809"/>
      <c r="S62" s="809"/>
      <c r="T62" s="742"/>
      <c r="U62" s="742" t="s">
        <v>2208</v>
      </c>
      <c r="V62" s="742"/>
      <c r="W62" s="742"/>
      <c r="X62" s="742"/>
      <c r="Y62" s="852"/>
      <c r="Z62" s="745"/>
      <c r="AA62" s="748"/>
      <c r="AB62" s="745"/>
      <c r="AC62" s="745"/>
      <c r="AD62" s="745"/>
    </row>
    <row r="63" spans="1:30" ht="18" customHeight="1">
      <c r="A63" s="744"/>
      <c r="B63" s="795">
        <v>46</v>
      </c>
      <c r="C63" s="742"/>
      <c r="D63" s="819" t="s">
        <v>2209</v>
      </c>
      <c r="E63" s="742"/>
      <c r="F63" s="742"/>
      <c r="G63" s="742"/>
      <c r="H63" s="789"/>
      <c r="I63" s="857">
        <f t="shared" si="7"/>
        <v>0</v>
      </c>
      <c r="J63" s="857">
        <f t="shared" si="8"/>
        <v>0</v>
      </c>
      <c r="K63" s="857">
        <f t="shared" si="9"/>
        <v>0</v>
      </c>
      <c r="L63" s="743" t="str">
        <f t="shared" si="10"/>
        <v/>
      </c>
      <c r="M63" s="743" t="str">
        <f t="shared" si="11"/>
        <v/>
      </c>
      <c r="N63" s="743" t="str">
        <f t="shared" si="12"/>
        <v/>
      </c>
      <c r="O63" s="809"/>
      <c r="P63" s="809" t="s">
        <v>133</v>
      </c>
      <c r="Q63" s="809"/>
      <c r="R63" s="809"/>
      <c r="S63" s="809"/>
      <c r="T63" s="742"/>
      <c r="U63" s="742" t="s">
        <v>2210</v>
      </c>
      <c r="V63" s="742"/>
      <c r="W63" s="742"/>
      <c r="X63" s="742"/>
      <c r="Y63" s="852"/>
      <c r="Z63" s="745"/>
      <c r="AA63" s="748"/>
      <c r="AB63" s="745"/>
      <c r="AC63" s="745"/>
      <c r="AD63" s="745"/>
    </row>
    <row r="64" spans="1:30" ht="18" customHeight="1">
      <c r="A64" s="744"/>
      <c r="B64" s="795">
        <v>47</v>
      </c>
      <c r="C64" s="742"/>
      <c r="D64" s="819" t="s">
        <v>2211</v>
      </c>
      <c r="E64" s="742"/>
      <c r="F64" s="742"/>
      <c r="G64" s="742"/>
      <c r="H64" s="789"/>
      <c r="I64" s="857">
        <f t="shared" si="7"/>
        <v>0</v>
      </c>
      <c r="J64" s="857">
        <f t="shared" si="8"/>
        <v>0</v>
      </c>
      <c r="K64" s="857">
        <f t="shared" si="9"/>
        <v>0</v>
      </c>
      <c r="L64" s="743" t="str">
        <f t="shared" si="10"/>
        <v/>
      </c>
      <c r="M64" s="743" t="str">
        <f t="shared" si="11"/>
        <v/>
      </c>
      <c r="N64" s="743" t="str">
        <f t="shared" si="12"/>
        <v/>
      </c>
      <c r="O64" s="809"/>
      <c r="P64" s="809" t="s">
        <v>138</v>
      </c>
      <c r="Q64" s="809"/>
      <c r="R64" s="809"/>
      <c r="S64" s="809"/>
      <c r="T64" s="742"/>
      <c r="U64" s="742" t="s">
        <v>2212</v>
      </c>
      <c r="V64" s="742"/>
      <c r="W64" s="742"/>
      <c r="X64" s="742"/>
      <c r="Y64" s="852"/>
      <c r="Z64" s="745"/>
      <c r="AA64" s="748" t="s">
        <v>2213</v>
      </c>
      <c r="AB64" s="745"/>
      <c r="AC64" s="745"/>
      <c r="AD64" s="745"/>
    </row>
    <row r="65" spans="1:30" ht="18" customHeight="1">
      <c r="A65" s="744"/>
      <c r="B65" s="795">
        <v>48</v>
      </c>
      <c r="C65" s="742"/>
      <c r="D65" s="819"/>
      <c r="E65" s="742"/>
      <c r="F65" s="742"/>
      <c r="G65" s="742"/>
      <c r="H65" s="789"/>
      <c r="I65" s="857">
        <f t="shared" si="7"/>
        <v>0</v>
      </c>
      <c r="J65" s="857">
        <f t="shared" si="8"/>
        <v>0</v>
      </c>
      <c r="K65" s="857">
        <f t="shared" si="9"/>
        <v>0</v>
      </c>
      <c r="L65" s="743" t="str">
        <f t="shared" si="10"/>
        <v/>
      </c>
      <c r="M65" s="743" t="str">
        <f t="shared" si="11"/>
        <v/>
      </c>
      <c r="N65" s="743" t="str">
        <f t="shared" si="12"/>
        <v/>
      </c>
      <c r="O65" s="809"/>
      <c r="P65" s="809" t="s">
        <v>2129</v>
      </c>
      <c r="Q65" s="809"/>
      <c r="R65" s="809"/>
      <c r="S65" s="809"/>
      <c r="T65" s="742"/>
      <c r="U65" s="742" t="s">
        <v>2214</v>
      </c>
      <c r="V65" s="742"/>
      <c r="W65" s="742"/>
      <c r="X65" s="742"/>
      <c r="Y65" s="852"/>
      <c r="Z65" s="745"/>
      <c r="AA65" s="748"/>
      <c r="AB65" s="745"/>
      <c r="AC65" s="745"/>
      <c r="AD65" s="745"/>
    </row>
    <row r="66" spans="1:30" ht="18" customHeight="1">
      <c r="A66" s="744"/>
      <c r="B66" s="795">
        <v>49</v>
      </c>
      <c r="C66" s="742"/>
      <c r="D66" s="819"/>
      <c r="E66" s="742"/>
      <c r="F66" s="742"/>
      <c r="G66" s="742"/>
      <c r="H66" s="789"/>
      <c r="I66" s="857">
        <f t="shared" si="7"/>
        <v>0</v>
      </c>
      <c r="J66" s="857">
        <f t="shared" si="8"/>
        <v>0</v>
      </c>
      <c r="K66" s="857">
        <f t="shared" si="9"/>
        <v>0</v>
      </c>
      <c r="L66" s="743" t="str">
        <f t="shared" si="10"/>
        <v/>
      </c>
      <c r="M66" s="743" t="str">
        <f t="shared" si="11"/>
        <v/>
      </c>
      <c r="N66" s="743" t="str">
        <f t="shared" si="12"/>
        <v/>
      </c>
      <c r="O66" s="809"/>
      <c r="P66" s="809" t="s">
        <v>2133</v>
      </c>
      <c r="Q66" s="809"/>
      <c r="R66" s="809"/>
      <c r="S66" s="809"/>
      <c r="T66" s="742"/>
      <c r="U66" s="742" t="s">
        <v>2215</v>
      </c>
      <c r="V66" s="742"/>
      <c r="W66" s="742"/>
      <c r="X66" s="742"/>
      <c r="Y66" s="852"/>
      <c r="Z66" s="745"/>
      <c r="AA66" s="748"/>
      <c r="AB66" s="745"/>
      <c r="AC66" s="745"/>
      <c r="AD66" s="745"/>
    </row>
    <row r="67" spans="1:30" ht="27" customHeight="1">
      <c r="A67" s="744"/>
      <c r="B67" s="795">
        <v>50</v>
      </c>
      <c r="C67" s="742"/>
      <c r="D67" s="819"/>
      <c r="E67" s="742"/>
      <c r="F67" s="742"/>
      <c r="G67" s="742"/>
      <c r="H67" s="789"/>
      <c r="I67" s="857">
        <f t="shared" si="7"/>
        <v>0</v>
      </c>
      <c r="J67" s="857">
        <f t="shared" si="8"/>
        <v>0</v>
      </c>
      <c r="K67" s="857">
        <f t="shared" si="9"/>
        <v>0</v>
      </c>
      <c r="L67" s="743" t="str">
        <f t="shared" si="10"/>
        <v/>
      </c>
      <c r="M67" s="743" t="str">
        <f t="shared" si="11"/>
        <v/>
      </c>
      <c r="N67" s="743" t="str">
        <f t="shared" si="12"/>
        <v/>
      </c>
      <c r="O67" s="809"/>
      <c r="P67" s="809" t="s">
        <v>2216</v>
      </c>
      <c r="Q67" s="809"/>
      <c r="R67" s="809"/>
      <c r="S67" s="809"/>
      <c r="T67" s="742"/>
      <c r="U67" s="742" t="s">
        <v>2217</v>
      </c>
      <c r="V67" s="742"/>
      <c r="W67" s="742"/>
      <c r="X67" s="742"/>
      <c r="Y67" s="852"/>
      <c r="Z67" s="745"/>
      <c r="AA67" s="748"/>
      <c r="AB67" s="745"/>
      <c r="AC67" s="745"/>
      <c r="AD67" s="745"/>
    </row>
    <row r="68" spans="1:30" ht="27" customHeight="1">
      <c r="A68" s="744"/>
      <c r="B68" s="795">
        <v>51</v>
      </c>
      <c r="C68" s="742"/>
      <c r="D68" s="819"/>
      <c r="E68" s="742"/>
      <c r="F68" s="742"/>
      <c r="G68" s="742"/>
      <c r="H68" s="789"/>
      <c r="I68" s="857">
        <f t="shared" si="7"/>
        <v>0</v>
      </c>
      <c r="J68" s="857">
        <f t="shared" si="8"/>
        <v>0</v>
      </c>
      <c r="K68" s="857">
        <f t="shared" si="9"/>
        <v>0</v>
      </c>
      <c r="L68" s="743" t="str">
        <f t="shared" si="10"/>
        <v/>
      </c>
      <c r="M68" s="743" t="str">
        <f t="shared" si="11"/>
        <v/>
      </c>
      <c r="N68" s="743" t="str">
        <f t="shared" si="12"/>
        <v/>
      </c>
      <c r="O68" s="809"/>
      <c r="P68" s="809" t="s">
        <v>2218</v>
      </c>
      <c r="Q68" s="809"/>
      <c r="R68" s="809"/>
      <c r="S68" s="809"/>
      <c r="T68" s="742"/>
      <c r="U68" s="742" t="s">
        <v>2219</v>
      </c>
      <c r="V68" s="742"/>
      <c r="W68" s="742"/>
      <c r="X68" s="742"/>
      <c r="Y68" s="852"/>
      <c r="Z68" s="745"/>
      <c r="AA68" s="748"/>
      <c r="AB68" s="745"/>
      <c r="AC68" s="745"/>
      <c r="AD68" s="745"/>
    </row>
    <row r="69" spans="1:30" ht="9" customHeight="1">
      <c r="A69" s="744"/>
      <c r="B69" s="795">
        <v>52</v>
      </c>
      <c r="C69" s="742"/>
      <c r="D69" s="819" t="s">
        <v>2220</v>
      </c>
      <c r="E69" s="742"/>
      <c r="F69" s="742"/>
      <c r="G69" s="742"/>
      <c r="H69" s="789"/>
      <c r="I69" s="857">
        <f t="shared" si="7"/>
        <v>0</v>
      </c>
      <c r="J69" s="857">
        <f t="shared" si="8"/>
        <v>0</v>
      </c>
      <c r="K69" s="857">
        <f t="shared" si="9"/>
        <v>0</v>
      </c>
      <c r="L69" s="743" t="str">
        <f t="shared" si="10"/>
        <v/>
      </c>
      <c r="M69" s="743" t="str">
        <f t="shared" si="11"/>
        <v/>
      </c>
      <c r="N69" s="743" t="str">
        <f t="shared" si="12"/>
        <v/>
      </c>
      <c r="O69" s="809"/>
      <c r="P69" s="809" t="s">
        <v>140</v>
      </c>
      <c r="Q69" s="809"/>
      <c r="R69" s="809"/>
      <c r="S69" s="809"/>
      <c r="T69" s="742"/>
      <c r="U69" s="742" t="s">
        <v>2221</v>
      </c>
      <c r="V69" s="742"/>
      <c r="W69" s="742"/>
      <c r="X69" s="742"/>
      <c r="Y69" s="852"/>
      <c r="Z69" s="745"/>
      <c r="AA69" s="748"/>
      <c r="AB69" s="745"/>
      <c r="AC69" s="745"/>
      <c r="AD69" s="745"/>
    </row>
    <row r="70" spans="1:30" ht="27" customHeight="1">
      <c r="A70" s="744"/>
      <c r="B70" s="795">
        <v>53</v>
      </c>
      <c r="C70" s="742"/>
      <c r="D70" s="819"/>
      <c r="E70" s="742" t="s">
        <v>2205</v>
      </c>
      <c r="F70" s="742"/>
      <c r="G70" s="742"/>
      <c r="H70" s="789"/>
      <c r="I70" s="857">
        <f t="shared" si="7"/>
        <v>0</v>
      </c>
      <c r="J70" s="857">
        <f t="shared" si="8"/>
        <v>0</v>
      </c>
      <c r="K70" s="857">
        <f t="shared" si="9"/>
        <v>0</v>
      </c>
      <c r="L70" s="743" t="str">
        <f t="shared" si="10"/>
        <v/>
      </c>
      <c r="M70" s="743" t="str">
        <f t="shared" si="11"/>
        <v/>
      </c>
      <c r="N70" s="743" t="str">
        <f t="shared" si="12"/>
        <v/>
      </c>
      <c r="O70" s="809"/>
      <c r="P70" s="809"/>
      <c r="Q70" s="809" t="s">
        <v>80</v>
      </c>
      <c r="R70" s="809"/>
      <c r="S70" s="809"/>
      <c r="T70" s="742"/>
      <c r="U70" s="742"/>
      <c r="V70" s="742" t="s">
        <v>2222</v>
      </c>
      <c r="W70" s="742"/>
      <c r="X70" s="742"/>
      <c r="Y70" s="852"/>
      <c r="Z70" s="745"/>
      <c r="AA70" s="748"/>
      <c r="AB70" s="745"/>
      <c r="AC70" s="745"/>
      <c r="AD70" s="745"/>
    </row>
    <row r="71" spans="1:30" ht="36" customHeight="1">
      <c r="A71" s="744"/>
      <c r="B71" s="795">
        <v>54</v>
      </c>
      <c r="C71" s="742"/>
      <c r="D71" s="819"/>
      <c r="E71" s="742" t="s">
        <v>2207</v>
      </c>
      <c r="F71" s="742"/>
      <c r="G71" s="742"/>
      <c r="H71" s="789"/>
      <c r="I71" s="857">
        <f t="shared" si="7"/>
        <v>0</v>
      </c>
      <c r="J71" s="857">
        <f t="shared" si="8"/>
        <v>0</v>
      </c>
      <c r="K71" s="857">
        <f t="shared" si="9"/>
        <v>0</v>
      </c>
      <c r="L71" s="743" t="str">
        <f t="shared" si="10"/>
        <v/>
      </c>
      <c r="M71" s="743" t="str">
        <f t="shared" si="11"/>
        <v/>
      </c>
      <c r="N71" s="743" t="str">
        <f t="shared" si="12"/>
        <v/>
      </c>
      <c r="O71" s="809"/>
      <c r="P71" s="809"/>
      <c r="Q71" s="809" t="s">
        <v>131</v>
      </c>
      <c r="R71" s="809"/>
      <c r="S71" s="809"/>
      <c r="T71" s="742"/>
      <c r="U71" s="742"/>
      <c r="V71" s="742" t="s">
        <v>2223</v>
      </c>
      <c r="W71" s="742"/>
      <c r="X71" s="742"/>
      <c r="Y71" s="852"/>
      <c r="Z71" s="745"/>
      <c r="AA71" s="748"/>
      <c r="AB71" s="745"/>
      <c r="AC71" s="745"/>
      <c r="AD71" s="745"/>
    </row>
    <row r="72" spans="1:30" ht="27" customHeight="1">
      <c r="A72" s="744"/>
      <c r="B72" s="795">
        <v>55</v>
      </c>
      <c r="C72" s="742"/>
      <c r="D72" s="819"/>
      <c r="E72" s="742" t="s">
        <v>2209</v>
      </c>
      <c r="F72" s="742"/>
      <c r="G72" s="742"/>
      <c r="H72" s="789"/>
      <c r="I72" s="857">
        <f t="shared" si="7"/>
        <v>0</v>
      </c>
      <c r="J72" s="857">
        <f t="shared" si="8"/>
        <v>0</v>
      </c>
      <c r="K72" s="857">
        <f t="shared" si="9"/>
        <v>0</v>
      </c>
      <c r="L72" s="743" t="str">
        <f t="shared" si="10"/>
        <v/>
      </c>
      <c r="M72" s="743" t="str">
        <f t="shared" si="11"/>
        <v/>
      </c>
      <c r="N72" s="743" t="str">
        <f t="shared" si="12"/>
        <v/>
      </c>
      <c r="O72" s="809"/>
      <c r="P72" s="809"/>
      <c r="Q72" s="809" t="s">
        <v>133</v>
      </c>
      <c r="R72" s="809"/>
      <c r="S72" s="809"/>
      <c r="T72" s="742"/>
      <c r="U72" s="742"/>
      <c r="V72" s="742" t="s">
        <v>2224</v>
      </c>
      <c r="W72" s="742"/>
      <c r="X72" s="742"/>
      <c r="Y72" s="852"/>
      <c r="Z72" s="745"/>
      <c r="AA72" s="748"/>
      <c r="AB72" s="745"/>
      <c r="AC72" s="745"/>
      <c r="AD72" s="745"/>
    </row>
    <row r="73" spans="1:30" ht="36" customHeight="1">
      <c r="A73" s="744"/>
      <c r="B73" s="795">
        <v>56</v>
      </c>
      <c r="C73" s="742"/>
      <c r="D73" s="819"/>
      <c r="E73" s="742" t="s">
        <v>2211</v>
      </c>
      <c r="F73" s="742"/>
      <c r="G73" s="742"/>
      <c r="H73" s="789"/>
      <c r="I73" s="857">
        <f t="shared" si="7"/>
        <v>0</v>
      </c>
      <c r="J73" s="857">
        <f t="shared" si="8"/>
        <v>0</v>
      </c>
      <c r="K73" s="857">
        <f t="shared" si="9"/>
        <v>0</v>
      </c>
      <c r="L73" s="743" t="str">
        <f t="shared" si="10"/>
        <v/>
      </c>
      <c r="M73" s="743" t="str">
        <f t="shared" si="11"/>
        <v/>
      </c>
      <c r="N73" s="743" t="str">
        <f t="shared" si="12"/>
        <v/>
      </c>
      <c r="O73" s="809"/>
      <c r="P73" s="809"/>
      <c r="Q73" s="809" t="s">
        <v>138</v>
      </c>
      <c r="R73" s="809"/>
      <c r="S73" s="809"/>
      <c r="T73" s="742"/>
      <c r="U73" s="742"/>
      <c r="V73" s="742" t="s">
        <v>2225</v>
      </c>
      <c r="W73" s="742"/>
      <c r="X73" s="742"/>
      <c r="Y73" s="852"/>
      <c r="Z73" s="745"/>
      <c r="AA73" s="748"/>
      <c r="AB73" s="745"/>
      <c r="AC73" s="745"/>
      <c r="AD73" s="745"/>
    </row>
    <row r="74" spans="1:30" ht="18" customHeight="1">
      <c r="A74" s="744"/>
      <c r="B74" s="795">
        <v>57</v>
      </c>
      <c r="C74" s="742"/>
      <c r="D74" s="819"/>
      <c r="E74" s="742" t="s">
        <v>2220</v>
      </c>
      <c r="F74" s="742"/>
      <c r="G74" s="742"/>
      <c r="H74" s="789"/>
      <c r="I74" s="857">
        <f t="shared" si="7"/>
        <v>0</v>
      </c>
      <c r="J74" s="857">
        <f t="shared" si="8"/>
        <v>0</v>
      </c>
      <c r="K74" s="857">
        <f t="shared" si="9"/>
        <v>0</v>
      </c>
      <c r="L74" s="743" t="str">
        <f t="shared" si="10"/>
        <v/>
      </c>
      <c r="M74" s="743" t="str">
        <f t="shared" si="11"/>
        <v/>
      </c>
      <c r="N74" s="743" t="str">
        <f t="shared" si="12"/>
        <v/>
      </c>
      <c r="O74" s="809"/>
      <c r="P74" s="809"/>
      <c r="Q74" s="809" t="s">
        <v>140</v>
      </c>
      <c r="R74" s="809"/>
      <c r="S74" s="809"/>
      <c r="T74" s="742"/>
      <c r="U74" s="742"/>
      <c r="V74" s="742" t="s">
        <v>2226</v>
      </c>
      <c r="W74" s="742"/>
      <c r="X74" s="742"/>
      <c r="Y74" s="852"/>
      <c r="Z74" s="745"/>
      <c r="AA74" s="748"/>
      <c r="AB74" s="745"/>
      <c r="AC74" s="745"/>
      <c r="AD74" s="745"/>
    </row>
    <row r="75" spans="1:30" ht="18" customHeight="1">
      <c r="A75" s="744"/>
      <c r="B75" s="795">
        <v>58</v>
      </c>
      <c r="C75" s="742"/>
      <c r="D75" s="819"/>
      <c r="E75" s="742"/>
      <c r="F75" s="742" t="s">
        <v>2205</v>
      </c>
      <c r="G75" s="742"/>
      <c r="H75" s="789"/>
      <c r="I75" s="857">
        <f t="shared" si="7"/>
        <v>0</v>
      </c>
      <c r="J75" s="857">
        <f t="shared" si="8"/>
        <v>0</v>
      </c>
      <c r="K75" s="857">
        <f t="shared" si="9"/>
        <v>0</v>
      </c>
      <c r="L75" s="743" t="str">
        <f t="shared" si="10"/>
        <v/>
      </c>
      <c r="M75" s="743" t="str">
        <f t="shared" si="11"/>
        <v/>
      </c>
      <c r="N75" s="743" t="str">
        <f t="shared" si="12"/>
        <v/>
      </c>
      <c r="O75" s="809"/>
      <c r="P75" s="809"/>
      <c r="Q75" s="809"/>
      <c r="R75" s="809" t="s">
        <v>80</v>
      </c>
      <c r="S75" s="809"/>
      <c r="T75" s="742"/>
      <c r="U75" s="742"/>
      <c r="V75" s="742"/>
      <c r="W75" s="742" t="s">
        <v>2227</v>
      </c>
      <c r="X75" s="742"/>
      <c r="Y75" s="852"/>
      <c r="Z75" s="745"/>
      <c r="AA75" s="748"/>
      <c r="AB75" s="745"/>
      <c r="AC75" s="745"/>
      <c r="AD75" s="745"/>
    </row>
    <row r="76" spans="1:30" ht="36" customHeight="1">
      <c r="A76" s="744"/>
      <c r="B76" s="795">
        <v>59</v>
      </c>
      <c r="C76" s="742"/>
      <c r="D76" s="819"/>
      <c r="E76" s="742"/>
      <c r="F76" s="742" t="s">
        <v>2207</v>
      </c>
      <c r="G76" s="742"/>
      <c r="H76" s="789"/>
      <c r="I76" s="857">
        <f t="shared" si="7"/>
        <v>0</v>
      </c>
      <c r="J76" s="857">
        <f t="shared" si="8"/>
        <v>0</v>
      </c>
      <c r="K76" s="857">
        <f t="shared" si="9"/>
        <v>0</v>
      </c>
      <c r="L76" s="743" t="str">
        <f t="shared" si="10"/>
        <v/>
      </c>
      <c r="M76" s="743" t="str">
        <f t="shared" si="11"/>
        <v/>
      </c>
      <c r="N76" s="743" t="str">
        <f t="shared" si="12"/>
        <v/>
      </c>
      <c r="O76" s="809"/>
      <c r="P76" s="809"/>
      <c r="Q76" s="809"/>
      <c r="R76" s="809" t="s">
        <v>131</v>
      </c>
      <c r="S76" s="809"/>
      <c r="T76" s="742"/>
      <c r="U76" s="742"/>
      <c r="V76" s="742"/>
      <c r="W76" s="742" t="s">
        <v>2228</v>
      </c>
      <c r="X76" s="742"/>
      <c r="Y76" s="852"/>
      <c r="Z76" s="745"/>
      <c r="AA76" s="748"/>
      <c r="AB76" s="745"/>
      <c r="AC76" s="745"/>
      <c r="AD76" s="745"/>
    </row>
    <row r="77" spans="1:30" ht="18" customHeight="1">
      <c r="A77" s="744"/>
      <c r="B77" s="795">
        <v>60</v>
      </c>
      <c r="C77" s="742"/>
      <c r="D77" s="819"/>
      <c r="E77" s="742"/>
      <c r="F77" s="742" t="s">
        <v>2209</v>
      </c>
      <c r="G77" s="742"/>
      <c r="H77" s="789"/>
      <c r="I77" s="857">
        <f t="shared" si="7"/>
        <v>0</v>
      </c>
      <c r="J77" s="857">
        <f t="shared" si="8"/>
        <v>0</v>
      </c>
      <c r="K77" s="857">
        <f t="shared" si="9"/>
        <v>0</v>
      </c>
      <c r="L77" s="743" t="str">
        <f t="shared" si="10"/>
        <v/>
      </c>
      <c r="M77" s="743" t="str">
        <f t="shared" si="11"/>
        <v/>
      </c>
      <c r="N77" s="743" t="str">
        <f t="shared" si="12"/>
        <v/>
      </c>
      <c r="O77" s="809"/>
      <c r="P77" s="809"/>
      <c r="Q77" s="809"/>
      <c r="R77" s="809" t="s">
        <v>133</v>
      </c>
      <c r="S77" s="809"/>
      <c r="T77" s="742"/>
      <c r="U77" s="742"/>
      <c r="V77" s="742"/>
      <c r="W77" s="742" t="s">
        <v>2229</v>
      </c>
      <c r="X77" s="742"/>
      <c r="Y77" s="852"/>
      <c r="Z77" s="745"/>
      <c r="AA77" s="748"/>
      <c r="AB77" s="745"/>
      <c r="AC77" s="745"/>
      <c r="AD77" s="745"/>
    </row>
    <row r="78" spans="1:30" ht="72" customHeight="1">
      <c r="A78" s="744"/>
      <c r="B78" s="795">
        <v>61</v>
      </c>
      <c r="C78" s="742" t="s">
        <v>2205</v>
      </c>
      <c r="D78" s="819"/>
      <c r="E78" s="742"/>
      <c r="F78" s="742"/>
      <c r="G78" s="742"/>
      <c r="H78" s="789"/>
      <c r="I78" s="857" t="str">
        <f t="shared" si="7"/>
        <v>7</v>
      </c>
      <c r="J78" s="85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85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43" t="str">
        <f t="shared" si="10"/>
        <v>7</v>
      </c>
      <c r="M78" s="743"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43"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09" t="s">
        <v>80</v>
      </c>
      <c r="P78" s="809"/>
      <c r="Q78" s="809"/>
      <c r="R78" s="809"/>
      <c r="S78" s="809"/>
      <c r="T78" s="742" t="s">
        <v>749</v>
      </c>
      <c r="U78" s="742"/>
      <c r="V78" s="742"/>
      <c r="W78" s="742"/>
      <c r="X78" s="742"/>
      <c r="Y78" s="852"/>
      <c r="Z78" s="745" t="s">
        <v>2230</v>
      </c>
      <c r="AA78" s="748"/>
      <c r="AB78" s="745"/>
      <c r="AC78" s="745"/>
      <c r="AD78" s="745"/>
    </row>
    <row r="79" spans="1:30" ht="36" customHeight="1">
      <c r="A79" s="744"/>
      <c r="B79" s="795">
        <v>62</v>
      </c>
      <c r="C79" s="742" t="s">
        <v>2207</v>
      </c>
      <c r="D79" s="819"/>
      <c r="E79" s="742"/>
      <c r="F79" s="742"/>
      <c r="G79" s="742"/>
      <c r="H79" s="789"/>
      <c r="I79" s="857" t="str">
        <f t="shared" si="7"/>
        <v>8</v>
      </c>
      <c r="J79" s="857" t="str">
        <f t="shared" si="8"/>
        <v>Тепловая нагрузка по договорам, заключенным в рамках осуществления регулируемых видов деятельности</v>
      </c>
      <c r="K79" s="85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43" t="str">
        <f t="shared" si="10"/>
        <v>8</v>
      </c>
      <c r="M79" s="743" t="str">
        <f t="shared" si="11"/>
        <v>Тепловая нагрузка по договорам, заключенным в рамках осуществления регулируемых видов деятельности</v>
      </c>
      <c r="N79" s="743"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09" t="s">
        <v>131</v>
      </c>
      <c r="P79" s="809"/>
      <c r="Q79" s="809"/>
      <c r="R79" s="809"/>
      <c r="S79" s="809"/>
      <c r="T79" s="742" t="s">
        <v>2231</v>
      </c>
      <c r="U79" s="742"/>
      <c r="V79" s="742"/>
      <c r="W79" s="742"/>
      <c r="X79" s="742"/>
      <c r="Y79" s="852"/>
      <c r="Z79" s="745" t="s">
        <v>2232</v>
      </c>
      <c r="AA79" s="748"/>
      <c r="AB79" s="745"/>
      <c r="AC79" s="745"/>
      <c r="AD79" s="745"/>
    </row>
    <row r="80" spans="1:30" ht="45" customHeight="1">
      <c r="A80" s="744"/>
      <c r="B80" s="795">
        <v>63</v>
      </c>
      <c r="C80" s="742" t="s">
        <v>2209</v>
      </c>
      <c r="D80" s="819"/>
      <c r="E80" s="742"/>
      <c r="F80" s="742"/>
      <c r="G80" s="742"/>
      <c r="H80" s="789"/>
      <c r="I80" s="857" t="str">
        <f t="shared" si="7"/>
        <v>9</v>
      </c>
      <c r="J80" s="857" t="str">
        <f t="shared" si="8"/>
        <v>Объем вырабатываемой регулируемой организацией тепловой энергии в рамках осуществления регулируемых видов деятельности</v>
      </c>
      <c r="K80" s="85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43" t="str">
        <f t="shared" si="10"/>
        <v>9</v>
      </c>
      <c r="M80" s="743" t="str">
        <f t="shared" si="11"/>
        <v>Объем вырабатываемой регулируемой организацией тепловой энергии в рамках осуществления регулируемых видов деятельности</v>
      </c>
      <c r="N80" s="743"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09" t="s">
        <v>133</v>
      </c>
      <c r="P80" s="809"/>
      <c r="Q80" s="809"/>
      <c r="R80" s="809"/>
      <c r="S80" s="809"/>
      <c r="T80" s="742" t="s">
        <v>2233</v>
      </c>
      <c r="U80" s="742"/>
      <c r="V80" s="742"/>
      <c r="W80" s="742"/>
      <c r="X80" s="742"/>
      <c r="Y80" s="852"/>
      <c r="Z80" s="745" t="s">
        <v>2234</v>
      </c>
      <c r="AA80" s="748"/>
      <c r="AB80" s="745"/>
      <c r="AC80" s="745"/>
      <c r="AD80" s="745"/>
    </row>
    <row r="81" spans="1:30" ht="36" customHeight="1">
      <c r="A81" s="744"/>
      <c r="B81" s="795">
        <v>64</v>
      </c>
      <c r="C81" s="742" t="s">
        <v>2211</v>
      </c>
      <c r="D81" s="819"/>
      <c r="E81" s="742"/>
      <c r="F81" s="742"/>
      <c r="G81" s="742"/>
      <c r="H81" s="789"/>
      <c r="I81" s="857" t="str">
        <f t="shared" si="7"/>
        <v>9.1</v>
      </c>
      <c r="J81" s="857" t="str">
        <f t="shared" si="8"/>
        <v>Объем приобретаемой регулируемой организацией тепловой энергии в рамках осуществления регулируемых видов деятельности</v>
      </c>
      <c r="K81" s="857" t="str">
        <f t="shared" si="9"/>
        <v>Информация указывается только едиными теплоснабжающими организациями.</v>
      </c>
      <c r="L81" s="743" t="str">
        <f t="shared" si="10"/>
        <v>9.1</v>
      </c>
      <c r="M81" s="743" t="str">
        <f t="shared" si="11"/>
        <v>Объем приобретаемой регулируемой организацией тепловой энергии в рамках осуществления регулируемых видов деятельности</v>
      </c>
      <c r="N81" s="743" t="str">
        <f t="shared" si="12"/>
        <v>Информация указывается только едиными теплоснабжающими организациями.</v>
      </c>
      <c r="O81" s="809" t="s">
        <v>2120</v>
      </c>
      <c r="P81" s="809"/>
      <c r="Q81" s="809"/>
      <c r="R81" s="809"/>
      <c r="S81" s="809"/>
      <c r="T81" s="742" t="s">
        <v>2235</v>
      </c>
      <c r="U81" s="742"/>
      <c r="V81" s="742"/>
      <c r="W81" s="742"/>
      <c r="X81" s="742"/>
      <c r="Y81" s="852"/>
      <c r="Z81" s="745" t="s">
        <v>2236</v>
      </c>
      <c r="AA81" s="748"/>
      <c r="AB81" s="745"/>
      <c r="AC81" s="745"/>
      <c r="AD81" s="745"/>
    </row>
    <row r="82" spans="1:30" ht="90" customHeight="1">
      <c r="A82" s="744"/>
      <c r="B82" s="795">
        <v>65</v>
      </c>
      <c r="C82" s="742" t="s">
        <v>2220</v>
      </c>
      <c r="D82" s="819"/>
      <c r="E82" s="742"/>
      <c r="F82" s="742"/>
      <c r="G82" s="742"/>
      <c r="H82" s="789"/>
      <c r="I82" s="857" t="str">
        <f t="shared" ref="I82:I101" si="13">INDEX(TEMPLATE_NUMBER_POINT_FHD,B82,MATCH(TEMPLATE_SPHERE,TEMPLATE_SPHERE_LIST_FOR_NOTE,0))</f>
        <v>10</v>
      </c>
      <c r="J82" s="85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85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43" t="str">
        <f t="shared" ref="L82:L101" si="16">IF(I82=0,"",I82)</f>
        <v>10</v>
      </c>
      <c r="M82" s="743"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43"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09" t="s">
        <v>138</v>
      </c>
      <c r="P82" s="809"/>
      <c r="Q82" s="809"/>
      <c r="R82" s="809"/>
      <c r="S82" s="809"/>
      <c r="T82" s="742" t="s">
        <v>2237</v>
      </c>
      <c r="U82" s="742"/>
      <c r="V82" s="742"/>
      <c r="W82" s="742"/>
      <c r="X82" s="742"/>
      <c r="Y82" s="852"/>
      <c r="Z82" s="745" t="s">
        <v>2238</v>
      </c>
      <c r="AA82" s="748"/>
      <c r="AB82" s="745"/>
      <c r="AC82" s="745"/>
      <c r="AD82" s="745"/>
    </row>
    <row r="83" spans="1:30" ht="9" customHeight="1">
      <c r="A83" s="744"/>
      <c r="B83" s="795">
        <v>66</v>
      </c>
      <c r="C83" s="742"/>
      <c r="D83" s="819"/>
      <c r="E83" s="742"/>
      <c r="F83" s="742"/>
      <c r="G83" s="742"/>
      <c r="H83" s="789"/>
      <c r="I83" s="857" t="str">
        <f t="shared" si="13"/>
        <v>10.1</v>
      </c>
      <c r="J83" s="857" t="str">
        <f t="shared" si="14"/>
        <v xml:space="preserve">По приборам учёта </v>
      </c>
      <c r="K83" s="857">
        <f t="shared" si="15"/>
        <v>0</v>
      </c>
      <c r="L83" s="743" t="str">
        <f t="shared" si="16"/>
        <v>10.1</v>
      </c>
      <c r="M83" s="743" t="str">
        <f t="shared" si="17"/>
        <v xml:space="preserve">По приборам учёта </v>
      </c>
      <c r="N83" s="743" t="str">
        <f t="shared" si="18"/>
        <v/>
      </c>
      <c r="O83" s="809" t="s">
        <v>2129</v>
      </c>
      <c r="P83" s="809"/>
      <c r="Q83" s="809"/>
      <c r="R83" s="809"/>
      <c r="S83" s="809"/>
      <c r="T83" s="742" t="s">
        <v>2239</v>
      </c>
      <c r="U83" s="742"/>
      <c r="V83" s="742"/>
      <c r="W83" s="742"/>
      <c r="X83" s="742"/>
      <c r="Y83" s="852"/>
      <c r="Z83" s="745"/>
      <c r="AA83" s="748"/>
      <c r="AB83" s="745"/>
      <c r="AC83" s="745"/>
      <c r="AD83" s="745"/>
    </row>
    <row r="84" spans="1:30" ht="54" customHeight="1">
      <c r="A84" s="744"/>
      <c r="B84" s="795">
        <v>67</v>
      </c>
      <c r="C84" s="742"/>
      <c r="D84" s="819"/>
      <c r="E84" s="742"/>
      <c r="F84" s="742"/>
      <c r="G84" s="742"/>
      <c r="H84" s="789"/>
      <c r="I84" s="857" t="str">
        <f t="shared" si="13"/>
        <v>10.1.1</v>
      </c>
      <c r="J84" s="85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857">
        <f t="shared" si="15"/>
        <v>0</v>
      </c>
      <c r="L84" s="743" t="str">
        <f t="shared" si="16"/>
        <v>10.1.1</v>
      </c>
      <c r="M84" s="743"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43" t="str">
        <f t="shared" si="18"/>
        <v/>
      </c>
      <c r="O84" s="809" t="s">
        <v>2240</v>
      </c>
      <c r="P84" s="809"/>
      <c r="Q84" s="809"/>
      <c r="R84" s="809"/>
      <c r="S84" s="809"/>
      <c r="T84" s="742" t="s">
        <v>2241</v>
      </c>
      <c r="U84" s="742"/>
      <c r="V84" s="742"/>
      <c r="W84" s="742"/>
      <c r="X84" s="742"/>
      <c r="Y84" s="852"/>
      <c r="Z84" s="745"/>
      <c r="AA84" s="748"/>
      <c r="AB84" s="745"/>
      <c r="AC84" s="745"/>
      <c r="AD84" s="745"/>
    </row>
    <row r="85" spans="1:30" ht="9" customHeight="1">
      <c r="A85" s="744"/>
      <c r="B85" s="795">
        <v>68</v>
      </c>
      <c r="C85" s="742"/>
      <c r="D85" s="819"/>
      <c r="E85" s="742"/>
      <c r="F85" s="742"/>
      <c r="G85" s="742"/>
      <c r="H85" s="789"/>
      <c r="I85" s="857" t="str">
        <f t="shared" si="13"/>
        <v>10.2</v>
      </c>
      <c r="J85" s="857" t="str">
        <f t="shared" si="14"/>
        <v>Расчётным путём</v>
      </c>
      <c r="K85" s="857">
        <f t="shared" si="15"/>
        <v>0</v>
      </c>
      <c r="L85" s="743" t="str">
        <f t="shared" si="16"/>
        <v>10.2</v>
      </c>
      <c r="M85" s="743" t="str">
        <f t="shared" si="17"/>
        <v>Расчётным путём</v>
      </c>
      <c r="N85" s="743" t="str">
        <f t="shared" si="18"/>
        <v/>
      </c>
      <c r="O85" s="809" t="s">
        <v>2133</v>
      </c>
      <c r="P85" s="809"/>
      <c r="Q85" s="809"/>
      <c r="R85" s="809"/>
      <c r="S85" s="809"/>
      <c r="T85" s="742" t="s">
        <v>2242</v>
      </c>
      <c r="U85" s="742"/>
      <c r="V85" s="742"/>
      <c r="W85" s="742"/>
      <c r="X85" s="742"/>
      <c r="Y85" s="852"/>
      <c r="Z85" s="745"/>
      <c r="AA85" s="748"/>
      <c r="AB85" s="745"/>
      <c r="AC85" s="745"/>
      <c r="AD85" s="745"/>
    </row>
    <row r="86" spans="1:30" ht="27" customHeight="1">
      <c r="A86" s="744"/>
      <c r="B86" s="795">
        <v>69</v>
      </c>
      <c r="C86" s="742"/>
      <c r="D86" s="819"/>
      <c r="E86" s="742"/>
      <c r="F86" s="742"/>
      <c r="G86" s="742"/>
      <c r="H86" s="789"/>
      <c r="I86" s="857" t="str">
        <f t="shared" si="13"/>
        <v>10.3</v>
      </c>
      <c r="J86" s="857" t="str">
        <f t="shared" si="14"/>
        <v>По нормативам потребления коммунальных услуг и нормативам потребления коммунальных ресурсов</v>
      </c>
      <c r="K86" s="857">
        <f t="shared" si="15"/>
        <v>0</v>
      </c>
      <c r="L86" s="743" t="str">
        <f t="shared" si="16"/>
        <v>10.3</v>
      </c>
      <c r="M86" s="743" t="str">
        <f t="shared" si="17"/>
        <v>По нормативам потребления коммунальных услуг и нормативам потребления коммунальных ресурсов</v>
      </c>
      <c r="N86" s="743" t="str">
        <f t="shared" si="18"/>
        <v/>
      </c>
      <c r="O86" s="809" t="s">
        <v>2243</v>
      </c>
      <c r="P86" s="809"/>
      <c r="Q86" s="809"/>
      <c r="R86" s="809"/>
      <c r="S86" s="809"/>
      <c r="T86" s="742" t="s">
        <v>2244</v>
      </c>
      <c r="U86" s="742"/>
      <c r="V86" s="742"/>
      <c r="W86" s="742"/>
      <c r="X86" s="742"/>
      <c r="Y86" s="852"/>
      <c r="Z86" s="745"/>
      <c r="AA86" s="748"/>
      <c r="AB86" s="745"/>
      <c r="AC86" s="745"/>
      <c r="AD86" s="745"/>
    </row>
    <row r="87" spans="1:30" ht="36" customHeight="1">
      <c r="A87" s="744"/>
      <c r="B87" s="795">
        <v>70</v>
      </c>
      <c r="C87" s="742" t="s">
        <v>2245</v>
      </c>
      <c r="D87" s="819"/>
      <c r="E87" s="742"/>
      <c r="F87" s="742"/>
      <c r="G87" s="742"/>
      <c r="H87" s="789"/>
      <c r="I87" s="857" t="str">
        <f t="shared" si="13"/>
        <v>11</v>
      </c>
      <c r="J87" s="85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857">
        <f t="shared" si="15"/>
        <v>0</v>
      </c>
      <c r="L87" s="743" t="str">
        <f t="shared" si="16"/>
        <v>11</v>
      </c>
      <c r="M87" s="743"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43" t="str">
        <f t="shared" si="18"/>
        <v/>
      </c>
      <c r="O87" s="809" t="s">
        <v>140</v>
      </c>
      <c r="P87" s="809"/>
      <c r="Q87" s="809"/>
      <c r="R87" s="809"/>
      <c r="S87" s="809"/>
      <c r="T87" s="742" t="s">
        <v>2246</v>
      </c>
      <c r="U87" s="742"/>
      <c r="V87" s="742"/>
      <c r="W87" s="742"/>
      <c r="X87" s="742"/>
      <c r="Y87" s="852"/>
      <c r="Z87" s="745"/>
      <c r="AA87" s="748"/>
      <c r="AB87" s="745"/>
      <c r="AC87" s="745"/>
      <c r="AD87" s="745"/>
    </row>
    <row r="88" spans="1:30" ht="18" customHeight="1">
      <c r="A88" s="744"/>
      <c r="B88" s="795">
        <v>71</v>
      </c>
      <c r="C88" s="742" t="s">
        <v>2247</v>
      </c>
      <c r="D88" s="819"/>
      <c r="E88" s="742"/>
      <c r="F88" s="742"/>
      <c r="G88" s="742"/>
      <c r="H88" s="789"/>
      <c r="I88" s="857" t="str">
        <f t="shared" si="13"/>
        <v>12</v>
      </c>
      <c r="J88" s="857" t="str">
        <f t="shared" si="14"/>
        <v>Фактический объем потерь при передаче тепловой энергии</v>
      </c>
      <c r="K88" s="857">
        <f t="shared" si="15"/>
        <v>0</v>
      </c>
      <c r="L88" s="743" t="str">
        <f t="shared" si="16"/>
        <v>12</v>
      </c>
      <c r="M88" s="743" t="str">
        <f t="shared" si="17"/>
        <v>Фактический объем потерь при передаче тепловой энергии</v>
      </c>
      <c r="N88" s="743" t="str">
        <f t="shared" si="18"/>
        <v/>
      </c>
      <c r="O88" s="809" t="s">
        <v>145</v>
      </c>
      <c r="P88" s="809"/>
      <c r="Q88" s="809"/>
      <c r="R88" s="809"/>
      <c r="S88" s="809"/>
      <c r="T88" s="742" t="s">
        <v>781</v>
      </c>
      <c r="U88" s="742"/>
      <c r="V88" s="742"/>
      <c r="W88" s="742"/>
      <c r="X88" s="742"/>
      <c r="Y88" s="852"/>
      <c r="Z88" s="745"/>
      <c r="AA88" s="748"/>
      <c r="AB88" s="745"/>
      <c r="AC88" s="745"/>
      <c r="AD88" s="745"/>
    </row>
    <row r="89" spans="1:30" ht="18" customHeight="1">
      <c r="A89" s="744"/>
      <c r="B89" s="795">
        <v>72</v>
      </c>
      <c r="C89" s="742" t="s">
        <v>2248</v>
      </c>
      <c r="D89" s="819" t="s">
        <v>2245</v>
      </c>
      <c r="E89" s="742" t="s">
        <v>2245</v>
      </c>
      <c r="F89" s="742" t="s">
        <v>2211</v>
      </c>
      <c r="G89" s="742"/>
      <c r="H89" s="789"/>
      <c r="I89" s="857" t="str">
        <f t="shared" si="13"/>
        <v>13</v>
      </c>
      <c r="J89" s="857" t="str">
        <f t="shared" si="14"/>
        <v>Среднесписочная численность основного производственного персонала</v>
      </c>
      <c r="K89" s="857">
        <f t="shared" si="15"/>
        <v>0</v>
      </c>
      <c r="L89" s="743" t="str">
        <f t="shared" si="16"/>
        <v>13</v>
      </c>
      <c r="M89" s="743" t="str">
        <f t="shared" si="17"/>
        <v>Среднесписочная численность основного производственного персонала</v>
      </c>
      <c r="N89" s="743" t="str">
        <f t="shared" si="18"/>
        <v/>
      </c>
      <c r="O89" s="809" t="s">
        <v>150</v>
      </c>
      <c r="P89" s="809" t="s">
        <v>145</v>
      </c>
      <c r="Q89" s="809" t="s">
        <v>145</v>
      </c>
      <c r="R89" s="809" t="s">
        <v>138</v>
      </c>
      <c r="S89" s="809"/>
      <c r="T89" s="742" t="s">
        <v>789</v>
      </c>
      <c r="U89" s="742" t="s">
        <v>789</v>
      </c>
      <c r="V89" s="742" t="s">
        <v>789</v>
      </c>
      <c r="W89" s="742" t="s">
        <v>789</v>
      </c>
      <c r="X89" s="742"/>
      <c r="Y89" s="852"/>
      <c r="Z89" s="745"/>
      <c r="AA89" s="748"/>
      <c r="AB89" s="745"/>
      <c r="AC89" s="745"/>
      <c r="AD89" s="745"/>
    </row>
    <row r="90" spans="1:30" ht="27" customHeight="1">
      <c r="A90" s="744"/>
      <c r="B90" s="795">
        <v>73</v>
      </c>
      <c r="C90" s="742" t="s">
        <v>2249</v>
      </c>
      <c r="D90" s="819"/>
      <c r="E90" s="742"/>
      <c r="F90" s="742"/>
      <c r="G90" s="742"/>
      <c r="H90" s="789"/>
      <c r="I90" s="857" t="str">
        <f t="shared" si="13"/>
        <v>14</v>
      </c>
      <c r="J90" s="857" t="str">
        <f t="shared" si="14"/>
        <v>Среднесписочная численность административно-управленческого персонала</v>
      </c>
      <c r="K90" s="857">
        <f t="shared" si="15"/>
        <v>0</v>
      </c>
      <c r="L90" s="743" t="str">
        <f t="shared" si="16"/>
        <v>14</v>
      </c>
      <c r="M90" s="743" t="str">
        <f t="shared" si="17"/>
        <v>Среднесписочная численность административно-управленческого персонала</v>
      </c>
      <c r="N90" s="743" t="str">
        <f t="shared" si="18"/>
        <v/>
      </c>
      <c r="O90" s="809" t="s">
        <v>239</v>
      </c>
      <c r="P90" s="809"/>
      <c r="Q90" s="809"/>
      <c r="R90" s="809"/>
      <c r="S90" s="809"/>
      <c r="T90" s="742" t="s">
        <v>791</v>
      </c>
      <c r="U90" s="742"/>
      <c r="V90" s="742"/>
      <c r="W90" s="742"/>
      <c r="X90" s="742"/>
      <c r="Y90" s="852"/>
      <c r="Z90" s="745"/>
      <c r="AA90" s="748"/>
      <c r="AB90" s="745"/>
      <c r="AC90" s="745"/>
      <c r="AD90" s="745"/>
    </row>
    <row r="91" spans="1:30" ht="18" customHeight="1">
      <c r="A91" s="744"/>
      <c r="B91" s="795">
        <v>74</v>
      </c>
      <c r="C91" s="742"/>
      <c r="D91" s="819" t="s">
        <v>2247</v>
      </c>
      <c r="E91" s="742" t="s">
        <v>2247</v>
      </c>
      <c r="F91" s="742"/>
      <c r="G91" s="742"/>
      <c r="H91" s="789"/>
      <c r="I91" s="857">
        <f t="shared" si="13"/>
        <v>0</v>
      </c>
      <c r="J91" s="857">
        <f t="shared" si="14"/>
        <v>0</v>
      </c>
      <c r="K91" s="857">
        <f t="shared" si="15"/>
        <v>0</v>
      </c>
      <c r="L91" s="743" t="str">
        <f t="shared" si="16"/>
        <v/>
      </c>
      <c r="M91" s="743" t="str">
        <f t="shared" si="17"/>
        <v/>
      </c>
      <c r="N91" s="743" t="str">
        <f t="shared" si="18"/>
        <v/>
      </c>
      <c r="O91" s="809"/>
      <c r="P91" s="809" t="s">
        <v>150</v>
      </c>
      <c r="Q91" s="809" t="s">
        <v>150</v>
      </c>
      <c r="R91" s="809"/>
      <c r="S91" s="809"/>
      <c r="T91" s="742"/>
      <c r="U91" s="742" t="s">
        <v>2250</v>
      </c>
      <c r="V91" s="742" t="s">
        <v>2250</v>
      </c>
      <c r="W91" s="742"/>
      <c r="X91" s="742"/>
      <c r="Y91" s="852"/>
      <c r="Z91" s="745"/>
      <c r="AA91" s="748"/>
      <c r="AB91" s="745"/>
      <c r="AC91" s="745"/>
      <c r="AD91" s="745"/>
    </row>
    <row r="92" spans="1:30" ht="27" customHeight="1">
      <c r="A92" s="744"/>
      <c r="B92" s="795">
        <v>75</v>
      </c>
      <c r="C92" s="742"/>
      <c r="D92" s="819" t="s">
        <v>2248</v>
      </c>
      <c r="E92" s="742"/>
      <c r="F92" s="742"/>
      <c r="G92" s="742"/>
      <c r="H92" s="789"/>
      <c r="I92" s="857">
        <f t="shared" si="13"/>
        <v>0</v>
      </c>
      <c r="J92" s="857">
        <f t="shared" si="14"/>
        <v>0</v>
      </c>
      <c r="K92" s="857">
        <f t="shared" si="15"/>
        <v>0</v>
      </c>
      <c r="L92" s="743" t="str">
        <f t="shared" si="16"/>
        <v/>
      </c>
      <c r="M92" s="743" t="str">
        <f t="shared" si="17"/>
        <v/>
      </c>
      <c r="N92" s="743" t="str">
        <f t="shared" si="18"/>
        <v/>
      </c>
      <c r="O92" s="809"/>
      <c r="P92" s="809" t="s">
        <v>239</v>
      </c>
      <c r="Q92" s="809"/>
      <c r="R92" s="809"/>
      <c r="S92" s="809"/>
      <c r="T92" s="742"/>
      <c r="U92" s="742" t="s">
        <v>2251</v>
      </c>
      <c r="V92" s="742"/>
      <c r="W92" s="742"/>
      <c r="X92" s="742"/>
      <c r="Y92" s="852"/>
      <c r="Z92" s="745"/>
      <c r="AA92" s="748" t="s">
        <v>2252</v>
      </c>
      <c r="AB92" s="745"/>
      <c r="AC92" s="745"/>
      <c r="AD92" s="745"/>
    </row>
    <row r="93" spans="1:30" ht="27" customHeight="1">
      <c r="A93" s="744"/>
      <c r="B93" s="795">
        <v>76</v>
      </c>
      <c r="C93" s="742"/>
      <c r="D93" s="819"/>
      <c r="E93" s="742"/>
      <c r="F93" s="742"/>
      <c r="G93" s="742"/>
      <c r="H93" s="789"/>
      <c r="I93" s="857">
        <f t="shared" si="13"/>
        <v>0</v>
      </c>
      <c r="J93" s="857">
        <f t="shared" si="14"/>
        <v>0</v>
      </c>
      <c r="K93" s="857">
        <f t="shared" si="15"/>
        <v>0</v>
      </c>
      <c r="L93" s="743" t="str">
        <f t="shared" si="16"/>
        <v/>
      </c>
      <c r="M93" s="743" t="str">
        <f t="shared" si="17"/>
        <v/>
      </c>
      <c r="N93" s="743" t="str">
        <f t="shared" si="18"/>
        <v/>
      </c>
      <c r="O93" s="809"/>
      <c r="P93" s="809" t="s">
        <v>2160</v>
      </c>
      <c r="Q93" s="809"/>
      <c r="R93" s="809"/>
      <c r="S93" s="809"/>
      <c r="T93" s="742"/>
      <c r="U93" s="742" t="s">
        <v>2253</v>
      </c>
      <c r="V93" s="742"/>
      <c r="W93" s="742"/>
      <c r="X93" s="742"/>
      <c r="Y93" s="852"/>
      <c r="Z93" s="745"/>
      <c r="AA93" s="748" t="s">
        <v>2254</v>
      </c>
      <c r="AB93" s="745"/>
      <c r="AC93" s="745"/>
      <c r="AD93" s="745"/>
    </row>
    <row r="94" spans="1:30" ht="45" customHeight="1">
      <c r="A94" s="744"/>
      <c r="B94" s="795">
        <v>77</v>
      </c>
      <c r="C94" s="742"/>
      <c r="D94" s="819" t="s">
        <v>2249</v>
      </c>
      <c r="E94" s="742"/>
      <c r="F94" s="742"/>
      <c r="G94" s="742"/>
      <c r="H94" s="789"/>
      <c r="I94" s="857">
        <f t="shared" si="13"/>
        <v>0</v>
      </c>
      <c r="J94" s="857">
        <f t="shared" si="14"/>
        <v>0</v>
      </c>
      <c r="K94" s="857">
        <f t="shared" si="15"/>
        <v>0</v>
      </c>
      <c r="L94" s="743" t="str">
        <f t="shared" si="16"/>
        <v/>
      </c>
      <c r="M94" s="743" t="str">
        <f t="shared" si="17"/>
        <v/>
      </c>
      <c r="N94" s="743" t="str">
        <f t="shared" si="18"/>
        <v/>
      </c>
      <c r="O94" s="809"/>
      <c r="P94" s="809" t="s">
        <v>1527</v>
      </c>
      <c r="Q94" s="809"/>
      <c r="R94" s="809"/>
      <c r="S94" s="809"/>
      <c r="T94" s="742"/>
      <c r="U94" s="742" t="s">
        <v>2255</v>
      </c>
      <c r="V94" s="742"/>
      <c r="W94" s="742"/>
      <c r="X94" s="742"/>
      <c r="Y94" s="852"/>
      <c r="Z94" s="745"/>
      <c r="AA94" s="748" t="s">
        <v>2256</v>
      </c>
      <c r="AB94" s="745"/>
      <c r="AC94" s="745"/>
      <c r="AD94" s="745"/>
    </row>
    <row r="95" spans="1:30" ht="99" customHeight="1">
      <c r="A95" s="744"/>
      <c r="B95" s="795">
        <v>78</v>
      </c>
      <c r="C95" s="742" t="s">
        <v>2257</v>
      </c>
      <c r="D95" s="819"/>
      <c r="E95" s="742"/>
      <c r="F95" s="742"/>
      <c r="G95" s="742"/>
      <c r="H95" s="789"/>
      <c r="I95" s="857" t="str">
        <f t="shared" si="13"/>
        <v>15</v>
      </c>
      <c r="J95" s="85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857">
        <f t="shared" si="15"/>
        <v>0</v>
      </c>
      <c r="L95" s="743" t="str">
        <f t="shared" si="16"/>
        <v>15</v>
      </c>
      <c r="M95" s="743"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43" t="str">
        <f t="shared" si="18"/>
        <v/>
      </c>
      <c r="O95" s="809" t="s">
        <v>1527</v>
      </c>
      <c r="P95" s="809"/>
      <c r="Q95" s="809"/>
      <c r="R95" s="809"/>
      <c r="S95" s="809"/>
      <c r="T95" s="742" t="s">
        <v>2258</v>
      </c>
      <c r="U95" s="742"/>
      <c r="V95" s="742"/>
      <c r="W95" s="742"/>
      <c r="X95" s="742"/>
      <c r="Y95" s="852"/>
      <c r="Z95" s="745"/>
      <c r="AA95" s="748"/>
      <c r="AB95" s="745"/>
      <c r="AC95" s="745"/>
      <c r="AD95" s="745"/>
    </row>
    <row r="96" spans="1:30" ht="99" customHeight="1">
      <c r="A96" s="744"/>
      <c r="B96" s="795">
        <v>79</v>
      </c>
      <c r="C96" s="742" t="s">
        <v>1229</v>
      </c>
      <c r="D96" s="819"/>
      <c r="E96" s="742"/>
      <c r="F96" s="742"/>
      <c r="G96" s="742"/>
      <c r="H96" s="789"/>
      <c r="I96" s="857" t="str">
        <f t="shared" si="13"/>
        <v>16</v>
      </c>
      <c r="J96" s="85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85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43" t="str">
        <f t="shared" si="16"/>
        <v>16</v>
      </c>
      <c r="M96" s="743"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43"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09" t="s">
        <v>1533</v>
      </c>
      <c r="P96" s="809"/>
      <c r="Q96" s="809"/>
      <c r="R96" s="809"/>
      <c r="S96" s="809"/>
      <c r="T96" s="742" t="s">
        <v>2259</v>
      </c>
      <c r="U96" s="742"/>
      <c r="V96" s="742"/>
      <c r="W96" s="742"/>
      <c r="X96" s="742"/>
      <c r="Y96" s="852"/>
      <c r="Z96" s="745" t="s">
        <v>2260</v>
      </c>
      <c r="AA96" s="748"/>
      <c r="AB96" s="745"/>
      <c r="AC96" s="745"/>
      <c r="AD96" s="745"/>
    </row>
    <row r="97" spans="1:30" ht="63" customHeight="1">
      <c r="A97" s="744"/>
      <c r="B97" s="795">
        <v>80</v>
      </c>
      <c r="C97" s="742" t="s">
        <v>2261</v>
      </c>
      <c r="D97" s="819"/>
      <c r="E97" s="742"/>
      <c r="F97" s="742"/>
      <c r="G97" s="742"/>
      <c r="H97" s="789"/>
      <c r="I97" s="857" t="str">
        <f t="shared" si="13"/>
        <v>17</v>
      </c>
      <c r="J97" s="85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857" t="str">
        <f t="shared" si="15"/>
        <v>Регулируемыми организациями указывается информация с по договорам, заключенным в рамках осуществления регулируемой деятельности.</v>
      </c>
      <c r="L97" s="743" t="str">
        <f t="shared" si="16"/>
        <v>17</v>
      </c>
      <c r="M97" s="743"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43" t="str">
        <f t="shared" si="18"/>
        <v>Регулируемыми организациями указывается информация с по договорам, заключенным в рамках осуществления регулируемой деятельности.</v>
      </c>
      <c r="O97" s="809" t="s">
        <v>92</v>
      </c>
      <c r="P97" s="809"/>
      <c r="Q97" s="809"/>
      <c r="R97" s="809"/>
      <c r="S97" s="809"/>
      <c r="T97" s="742" t="s">
        <v>2262</v>
      </c>
      <c r="U97" s="742"/>
      <c r="V97" s="742"/>
      <c r="W97" s="742"/>
      <c r="X97" s="742"/>
      <c r="Y97" s="852"/>
      <c r="Z97" s="745" t="s">
        <v>2263</v>
      </c>
      <c r="AA97" s="748"/>
      <c r="AB97" s="745"/>
      <c r="AC97" s="745"/>
      <c r="AD97" s="745"/>
    </row>
    <row r="98" spans="1:30" ht="63" customHeight="1">
      <c r="A98" s="744"/>
      <c r="B98" s="795">
        <v>81</v>
      </c>
      <c r="C98" s="742" t="s">
        <v>2264</v>
      </c>
      <c r="D98" s="819"/>
      <c r="E98" s="742"/>
      <c r="F98" s="742"/>
      <c r="G98" s="742"/>
      <c r="H98" s="789"/>
      <c r="I98" s="857" t="str">
        <f t="shared" si="13"/>
        <v>18</v>
      </c>
      <c r="J98" s="85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857" t="str">
        <f t="shared" si="15"/>
        <v>Регулируемыми организациями указывается информация с по договорам, заключенным в рамках осуществления регулируемой деятельности.</v>
      </c>
      <c r="L98" s="743" t="str">
        <f t="shared" si="16"/>
        <v>18</v>
      </c>
      <c r="M98" s="743"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43" t="str">
        <f t="shared" si="18"/>
        <v>Регулируемыми организациями указывается информация с по договорам, заключенным в рамках осуществления регулируемой деятельности.</v>
      </c>
      <c r="O98" s="809" t="s">
        <v>1558</v>
      </c>
      <c r="P98" s="809"/>
      <c r="Q98" s="809"/>
      <c r="R98" s="809"/>
      <c r="S98" s="809"/>
      <c r="T98" s="742" t="s">
        <v>2265</v>
      </c>
      <c r="U98" s="742"/>
      <c r="V98" s="742"/>
      <c r="W98" s="742"/>
      <c r="X98" s="742"/>
      <c r="Y98" s="852"/>
      <c r="Z98" s="745" t="s">
        <v>2263</v>
      </c>
      <c r="AA98" s="748"/>
      <c r="AB98" s="745"/>
      <c r="AC98" s="745"/>
      <c r="AD98" s="745"/>
    </row>
    <row r="99" spans="1:30" ht="90" customHeight="1">
      <c r="A99" s="744"/>
      <c r="B99" s="795">
        <v>82</v>
      </c>
      <c r="C99" s="742" t="s">
        <v>2266</v>
      </c>
      <c r="D99" s="819"/>
      <c r="E99" s="742"/>
      <c r="F99" s="742"/>
      <c r="G99" s="742"/>
      <c r="H99" s="789"/>
      <c r="I99" s="857" t="str">
        <f t="shared" si="13"/>
        <v>19</v>
      </c>
      <c r="J99" s="85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857" t="str">
        <f t="shared" si="15"/>
        <v>Указывается ссылка на документ, предварительно загруженный в хранилище файлов ФГИС ЕИАС.</v>
      </c>
      <c r="L99" s="743" t="str">
        <f t="shared" si="16"/>
        <v>19</v>
      </c>
      <c r="M99" s="743"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43" t="str">
        <f t="shared" si="18"/>
        <v>Указывается ссылка на документ, предварительно загруженный в хранилище файлов ФГИС ЕИАС.</v>
      </c>
      <c r="O99" s="809" t="s">
        <v>1570</v>
      </c>
      <c r="P99" s="809"/>
      <c r="Q99" s="809"/>
      <c r="R99" s="809"/>
      <c r="S99" s="809"/>
      <c r="T99" s="742" t="s">
        <v>2267</v>
      </c>
      <c r="U99" s="742"/>
      <c r="V99" s="742"/>
      <c r="W99" s="742"/>
      <c r="X99" s="742"/>
      <c r="Y99" s="852"/>
      <c r="Z99" s="745" t="s">
        <v>746</v>
      </c>
      <c r="AA99" s="748"/>
      <c r="AB99" s="745"/>
      <c r="AC99" s="745"/>
      <c r="AD99" s="745"/>
    </row>
    <row r="100" spans="1:30" ht="27" customHeight="1">
      <c r="A100" s="744"/>
      <c r="B100" s="795">
        <v>83</v>
      </c>
      <c r="C100" s="742"/>
      <c r="D100" s="819"/>
      <c r="E100" s="742"/>
      <c r="F100" s="742"/>
      <c r="G100" s="742"/>
      <c r="H100" s="789"/>
      <c r="I100" s="857" t="str">
        <f t="shared" si="13"/>
        <v>19.1</v>
      </c>
      <c r="J100" s="857" t="str">
        <f t="shared" si="14"/>
        <v>Информация о показателях физического износа объектов теплоснабжения</v>
      </c>
      <c r="K100" s="857" t="str">
        <f t="shared" si="15"/>
        <v>Указывается ссылка на документ, предварительно загруженный в хранилище файлов ФГИС ЕИАС.</v>
      </c>
      <c r="L100" s="743" t="str">
        <f t="shared" si="16"/>
        <v>19.1</v>
      </c>
      <c r="M100" s="743" t="str">
        <f t="shared" si="17"/>
        <v>Информация о показателях физического износа объектов теплоснабжения</v>
      </c>
      <c r="N100" s="743" t="str">
        <f t="shared" si="18"/>
        <v>Указывается ссылка на документ, предварительно загруженный в хранилище файлов ФГИС ЕИАС.</v>
      </c>
      <c r="O100" s="809" t="s">
        <v>2268</v>
      </c>
      <c r="P100" s="809"/>
      <c r="Q100" s="809"/>
      <c r="R100" s="809"/>
      <c r="S100" s="809"/>
      <c r="T100" s="742" t="s">
        <v>2269</v>
      </c>
      <c r="U100" s="742"/>
      <c r="V100" s="742"/>
      <c r="W100" s="742"/>
      <c r="X100" s="742"/>
      <c r="Y100" s="852"/>
      <c r="Z100" s="745" t="s">
        <v>746</v>
      </c>
      <c r="AA100" s="748"/>
      <c r="AB100" s="745"/>
      <c r="AC100" s="745"/>
      <c r="AD100" s="745"/>
    </row>
    <row r="101" spans="1:30" ht="27" customHeight="1">
      <c r="A101" s="744"/>
      <c r="B101" s="795">
        <v>84</v>
      </c>
      <c r="C101" s="742"/>
      <c r="D101" s="819"/>
      <c r="E101" s="742"/>
      <c r="F101" s="742"/>
      <c r="G101" s="742"/>
      <c r="H101" s="789"/>
      <c r="I101" s="857" t="str">
        <f t="shared" si="13"/>
        <v>19.2</v>
      </c>
      <c r="J101" s="857" t="str">
        <f t="shared" si="14"/>
        <v>Информация о показателях энергетической эффективности объектов теплоснабжения</v>
      </c>
      <c r="K101" s="857" t="str">
        <f t="shared" si="15"/>
        <v>Указывается ссылка на документ, предварительно загруженный в хранилище файлов ФГИС ЕИАС.</v>
      </c>
      <c r="L101" s="743" t="str">
        <f t="shared" si="16"/>
        <v>19.2</v>
      </c>
      <c r="M101" s="743" t="str">
        <f t="shared" si="17"/>
        <v>Информация о показателях энергетической эффективности объектов теплоснабжения</v>
      </c>
      <c r="N101" s="743" t="str">
        <f t="shared" si="18"/>
        <v>Указывается ссылка на документ, предварительно загруженный в хранилище файлов ФГИС ЕИАС.</v>
      </c>
      <c r="O101" s="809" t="s">
        <v>2270</v>
      </c>
      <c r="P101" s="809"/>
      <c r="Q101" s="809"/>
      <c r="R101" s="809"/>
      <c r="S101" s="809"/>
      <c r="T101" s="742" t="s">
        <v>2271</v>
      </c>
      <c r="U101" s="742"/>
      <c r="V101" s="742"/>
      <c r="W101" s="742"/>
      <c r="X101" s="742"/>
      <c r="Y101" s="852"/>
      <c r="Z101" s="745" t="s">
        <v>746</v>
      </c>
      <c r="AA101" s="748"/>
      <c r="AB101" s="745"/>
      <c r="AC101" s="745"/>
      <c r="AD101" s="745"/>
    </row>
    <row r="102" spans="1:30" ht="9" customHeight="1">
      <c r="A102" s="744"/>
      <c r="B102" s="744"/>
      <c r="C102" s="742"/>
      <c r="D102" s="742"/>
      <c r="E102" s="742"/>
      <c r="F102" s="742"/>
      <c r="G102" s="742"/>
      <c r="H102" s="789"/>
      <c r="I102" s="789"/>
      <c r="J102" s="789"/>
      <c r="K102" s="789"/>
      <c r="L102" s="789"/>
      <c r="M102" s="742"/>
      <c r="N102" s="788"/>
      <c r="O102" s="809"/>
      <c r="P102" s="809"/>
      <c r="Q102" s="809"/>
      <c r="R102" s="809"/>
      <c r="S102" s="742"/>
      <c r="T102" s="742"/>
      <c r="U102" s="742"/>
      <c r="V102" s="742"/>
      <c r="W102" s="742"/>
      <c r="X102" s="742"/>
      <c r="Y102" s="852"/>
      <c r="Z102" s="745"/>
      <c r="AA102" s="748"/>
      <c r="AB102" s="745"/>
      <c r="AC102" s="745"/>
      <c r="AD102" s="745"/>
    </row>
    <row r="103" spans="1:30" ht="9" customHeight="1">
      <c r="A103" s="744"/>
      <c r="B103" s="744"/>
      <c r="C103" s="742"/>
      <c r="D103" s="742"/>
      <c r="E103" s="742"/>
      <c r="F103" s="742"/>
      <c r="G103" s="742"/>
      <c r="H103" s="789"/>
      <c r="I103" s="789"/>
      <c r="J103" s="789"/>
      <c r="K103" s="789"/>
      <c r="L103" s="789"/>
      <c r="M103" s="742"/>
      <c r="N103" s="788"/>
      <c r="O103" s="809"/>
      <c r="P103" s="809"/>
      <c r="Q103" s="809"/>
      <c r="R103" s="809"/>
      <c r="S103" s="742"/>
      <c r="T103" s="742"/>
      <c r="U103" s="742"/>
      <c r="V103" s="742"/>
      <c r="W103" s="742"/>
      <c r="X103" s="742"/>
      <c r="Y103" s="852"/>
      <c r="Z103" s="745"/>
      <c r="AA103" s="748"/>
      <c r="AB103" s="745"/>
      <c r="AC103" s="745"/>
      <c r="AD103" s="745"/>
    </row>
    <row r="104" spans="1:30" ht="9" customHeight="1">
      <c r="A104" s="744"/>
      <c r="B104" s="744"/>
      <c r="C104" s="742"/>
      <c r="D104" s="742"/>
      <c r="E104" s="742"/>
      <c r="F104" s="742"/>
      <c r="G104" s="742"/>
      <c r="H104" s="789"/>
      <c r="I104" s="789"/>
      <c r="J104" s="789"/>
      <c r="K104" s="789"/>
      <c r="L104" s="789"/>
      <c r="M104" s="742"/>
      <c r="N104" s="788"/>
      <c r="O104" s="809"/>
      <c r="P104" s="809"/>
      <c r="Q104" s="809"/>
      <c r="R104" s="809"/>
      <c r="S104" s="742"/>
      <c r="T104" s="742"/>
      <c r="U104" s="742"/>
      <c r="V104" s="742"/>
      <c r="W104" s="742"/>
      <c r="X104" s="742"/>
      <c r="Y104" s="852"/>
      <c r="Z104" s="745"/>
      <c r="AA104" s="748"/>
      <c r="AB104" s="745"/>
      <c r="AC104" s="745"/>
      <c r="AD104" s="745"/>
    </row>
    <row r="105" spans="1:30" ht="9" customHeight="1">
      <c r="A105" s="744"/>
      <c r="B105" s="744"/>
      <c r="C105" s="742"/>
      <c r="D105" s="742"/>
      <c r="E105" s="742"/>
      <c r="F105" s="742"/>
      <c r="G105" s="742"/>
      <c r="H105" s="789"/>
      <c r="I105" s="789"/>
      <c r="J105" s="789"/>
      <c r="K105" s="789"/>
      <c r="L105" s="789"/>
      <c r="M105" s="742"/>
      <c r="N105" s="788"/>
      <c r="O105" s="809"/>
      <c r="P105" s="809"/>
      <c r="Q105" s="809"/>
      <c r="R105" s="809"/>
      <c r="S105" s="742"/>
      <c r="T105" s="742"/>
      <c r="U105" s="742"/>
      <c r="V105" s="742"/>
      <c r="W105" s="742"/>
      <c r="X105" s="742"/>
      <c r="Y105" s="852"/>
      <c r="Z105" s="745"/>
      <c r="AA105" s="748"/>
      <c r="AB105" s="745"/>
      <c r="AC105" s="745"/>
      <c r="AD105" s="745"/>
    </row>
    <row r="106" spans="1:30" ht="9" customHeight="1">
      <c r="A106" s="744"/>
      <c r="B106" s="744"/>
      <c r="C106" s="742"/>
      <c r="D106" s="742"/>
      <c r="E106" s="742"/>
      <c r="F106" s="742"/>
      <c r="G106" s="742"/>
      <c r="H106" s="789"/>
      <c r="I106" s="789"/>
      <c r="J106" s="789"/>
      <c r="K106" s="789"/>
      <c r="L106" s="789"/>
      <c r="M106" s="742"/>
      <c r="N106" s="788"/>
      <c r="O106" s="809"/>
      <c r="P106" s="809"/>
      <c r="Q106" s="809"/>
      <c r="R106" s="809"/>
      <c r="S106" s="742"/>
      <c r="T106" s="742"/>
      <c r="U106" s="742"/>
      <c r="V106" s="742"/>
      <c r="W106" s="742"/>
      <c r="X106" s="742"/>
      <c r="Y106" s="852"/>
      <c r="Z106" s="745"/>
      <c r="AA106" s="748"/>
      <c r="AB106" s="745"/>
      <c r="AC106" s="745"/>
      <c r="AD106" s="745"/>
    </row>
    <row r="107" spans="1:30" ht="9" customHeight="1">
      <c r="A107" s="744"/>
      <c r="B107" s="744"/>
      <c r="C107" s="742"/>
      <c r="D107" s="742"/>
      <c r="E107" s="742"/>
      <c r="F107" s="742"/>
      <c r="G107" s="742"/>
      <c r="H107" s="789"/>
      <c r="I107" s="789"/>
      <c r="J107" s="789"/>
      <c r="K107" s="789"/>
      <c r="L107" s="789"/>
      <c r="M107" s="742"/>
      <c r="N107" s="788"/>
      <c r="O107" s="809"/>
      <c r="P107" s="809"/>
      <c r="Q107" s="809"/>
      <c r="R107" s="809"/>
      <c r="S107" s="742"/>
      <c r="T107" s="742"/>
      <c r="U107" s="742"/>
      <c r="V107" s="742"/>
      <c r="W107" s="742"/>
      <c r="X107" s="742"/>
      <c r="Y107" s="852"/>
      <c r="Z107" s="745"/>
      <c r="AA107" s="748"/>
      <c r="AB107" s="745"/>
      <c r="AC107" s="745"/>
      <c r="AD107" s="745"/>
    </row>
    <row r="108" spans="1:30" ht="9" customHeight="1">
      <c r="A108" s="744"/>
      <c r="B108" s="744"/>
      <c r="C108" s="742"/>
      <c r="D108" s="742"/>
      <c r="E108" s="742"/>
      <c r="F108" s="742"/>
      <c r="G108" s="742"/>
      <c r="H108" s="789"/>
      <c r="I108" s="789"/>
      <c r="J108" s="789"/>
      <c r="K108" s="789"/>
      <c r="L108" s="789"/>
      <c r="M108" s="742"/>
      <c r="N108" s="788"/>
      <c r="O108" s="809"/>
      <c r="P108" s="809"/>
      <c r="Q108" s="809"/>
      <c r="R108" s="809"/>
      <c r="S108" s="742"/>
      <c r="T108" s="742"/>
      <c r="U108" s="742"/>
      <c r="V108" s="742"/>
      <c r="W108" s="742"/>
      <c r="X108" s="742"/>
      <c r="Y108" s="852"/>
      <c r="Z108" s="745"/>
      <c r="AA108" s="748"/>
      <c r="AB108" s="745"/>
      <c r="AC108" s="745"/>
      <c r="AD108" s="745"/>
    </row>
    <row r="109" spans="1:30" ht="9" customHeight="1">
      <c r="A109" s="744"/>
      <c r="B109" s="744"/>
      <c r="C109" s="742"/>
      <c r="D109" s="742"/>
      <c r="E109" s="742"/>
      <c r="F109" s="742"/>
      <c r="G109" s="742"/>
      <c r="H109" s="789"/>
      <c r="I109" s="789"/>
      <c r="J109" s="789"/>
      <c r="K109" s="789"/>
      <c r="L109" s="789"/>
      <c r="M109" s="742"/>
      <c r="N109" s="788"/>
      <c r="O109" s="809"/>
      <c r="P109" s="809"/>
      <c r="Q109" s="809"/>
      <c r="R109" s="809"/>
      <c r="S109" s="742"/>
      <c r="T109" s="742"/>
      <c r="U109" s="742"/>
      <c r="V109" s="742"/>
      <c r="W109" s="742"/>
      <c r="X109" s="742"/>
      <c r="Y109" s="852"/>
      <c r="Z109" s="745"/>
      <c r="AA109" s="748"/>
      <c r="AB109" s="745"/>
      <c r="AC109" s="745"/>
      <c r="AD109" s="745"/>
    </row>
    <row r="110" spans="1:30" ht="9" customHeight="1">
      <c r="A110" s="744"/>
      <c r="B110" s="744"/>
      <c r="C110" s="742"/>
      <c r="D110" s="742"/>
      <c r="E110" s="742"/>
      <c r="F110" s="742"/>
      <c r="G110" s="742"/>
      <c r="H110" s="789"/>
      <c r="I110" s="789"/>
      <c r="J110" s="789"/>
      <c r="K110" s="789"/>
      <c r="L110" s="789"/>
      <c r="M110" s="742"/>
      <c r="N110" s="788"/>
      <c r="O110" s="809"/>
      <c r="P110" s="809"/>
      <c r="Q110" s="809"/>
      <c r="R110" s="809"/>
      <c r="S110" s="742"/>
      <c r="T110" s="742"/>
      <c r="U110" s="742"/>
      <c r="V110" s="742"/>
      <c r="W110" s="742"/>
      <c r="X110" s="742"/>
      <c r="Y110" s="852"/>
      <c r="Z110" s="745"/>
      <c r="AA110" s="748"/>
      <c r="AB110" s="745"/>
      <c r="AC110" s="745"/>
      <c r="AD110" s="745"/>
    </row>
    <row r="111" spans="1:30" ht="9" customHeight="1">
      <c r="A111" s="744"/>
      <c r="B111" s="744"/>
      <c r="C111" s="742"/>
      <c r="D111" s="742"/>
      <c r="E111" s="742"/>
      <c r="F111" s="742"/>
      <c r="G111" s="742"/>
      <c r="H111" s="789"/>
      <c r="I111" s="789"/>
      <c r="J111" s="789"/>
      <c r="K111" s="789"/>
      <c r="L111" s="789"/>
      <c r="M111" s="742"/>
      <c r="N111" s="788"/>
      <c r="O111" s="809"/>
      <c r="P111" s="809"/>
      <c r="Q111" s="809"/>
      <c r="R111" s="809"/>
      <c r="S111" s="742"/>
      <c r="T111" s="742"/>
      <c r="U111" s="742"/>
      <c r="V111" s="742"/>
      <c r="W111" s="742"/>
      <c r="X111" s="742"/>
      <c r="Y111" s="852"/>
      <c r="Z111" s="745"/>
      <c r="AA111" s="748"/>
      <c r="AB111" s="745"/>
      <c r="AC111" s="745"/>
      <c r="AD111" s="745"/>
    </row>
    <row r="112" spans="1:30" ht="9" customHeight="1">
      <c r="A112" s="744"/>
      <c r="B112" s="744"/>
      <c r="C112" s="742"/>
      <c r="D112" s="742"/>
      <c r="E112" s="742"/>
      <c r="F112" s="742"/>
      <c r="G112" s="742"/>
      <c r="H112" s="789"/>
      <c r="I112" s="789"/>
      <c r="J112" s="789"/>
      <c r="K112" s="789"/>
      <c r="L112" s="789"/>
      <c r="M112" s="742"/>
      <c r="N112" s="788"/>
      <c r="O112" s="809"/>
      <c r="P112" s="809"/>
      <c r="Q112" s="809"/>
      <c r="R112" s="809"/>
      <c r="S112" s="742"/>
      <c r="T112" s="742"/>
      <c r="U112" s="742"/>
      <c r="V112" s="742"/>
      <c r="W112" s="742"/>
      <c r="X112" s="742"/>
      <c r="Y112" s="852"/>
      <c r="Z112" s="745"/>
      <c r="AA112" s="748"/>
      <c r="AB112" s="745"/>
      <c r="AC112" s="745"/>
      <c r="AD112" s="745"/>
    </row>
    <row r="113" spans="1:30" ht="9" customHeight="1">
      <c r="A113" s="744"/>
      <c r="B113" s="744"/>
      <c r="C113" s="742"/>
      <c r="D113" s="742"/>
      <c r="E113" s="742"/>
      <c r="F113" s="742"/>
      <c r="G113" s="742"/>
      <c r="H113" s="789"/>
      <c r="I113" s="789"/>
      <c r="J113" s="789"/>
      <c r="K113" s="789"/>
      <c r="L113" s="789"/>
      <c r="M113" s="742"/>
      <c r="N113" s="788"/>
      <c r="O113" s="809"/>
      <c r="P113" s="809"/>
      <c r="Q113" s="809"/>
      <c r="R113" s="809"/>
      <c r="S113" s="742"/>
      <c r="T113" s="742"/>
      <c r="U113" s="742"/>
      <c r="V113" s="742"/>
      <c r="W113" s="742"/>
      <c r="X113" s="742"/>
      <c r="Y113" s="852"/>
      <c r="Z113" s="745"/>
      <c r="AA113" s="748"/>
      <c r="AB113" s="745"/>
      <c r="AC113" s="745"/>
      <c r="AD113" s="745"/>
    </row>
    <row r="114" spans="1:30" ht="9" customHeight="1">
      <c r="A114" s="744"/>
      <c r="B114" s="744"/>
      <c r="C114" s="742"/>
      <c r="D114" s="742"/>
      <c r="E114" s="742"/>
      <c r="F114" s="742"/>
      <c r="G114" s="742"/>
      <c r="H114" s="789"/>
      <c r="I114" s="789"/>
      <c r="J114" s="789"/>
      <c r="K114" s="789"/>
      <c r="L114" s="789"/>
      <c r="M114" s="742"/>
      <c r="N114" s="788"/>
      <c r="O114" s="809"/>
      <c r="P114" s="809"/>
      <c r="Q114" s="809"/>
      <c r="R114" s="809"/>
      <c r="S114" s="742"/>
      <c r="T114" s="742"/>
      <c r="U114" s="742"/>
      <c r="V114" s="742"/>
      <c r="W114" s="742"/>
      <c r="X114" s="742"/>
      <c r="Y114" s="852"/>
      <c r="Z114" s="745"/>
      <c r="AA114" s="748"/>
      <c r="AB114" s="745"/>
      <c r="AC114" s="745"/>
      <c r="AD114" s="745"/>
    </row>
    <row r="115" spans="1:30" ht="9" customHeight="1">
      <c r="A115" s="744"/>
      <c r="B115" s="744"/>
      <c r="C115" s="742"/>
      <c r="D115" s="742"/>
      <c r="E115" s="742"/>
      <c r="F115" s="742"/>
      <c r="G115" s="742"/>
      <c r="H115" s="789"/>
      <c r="I115" s="789"/>
      <c r="J115" s="789"/>
      <c r="K115" s="789"/>
      <c r="L115" s="789"/>
      <c r="M115" s="742"/>
      <c r="N115" s="788"/>
      <c r="O115" s="809"/>
      <c r="P115" s="809"/>
      <c r="Q115" s="809"/>
      <c r="R115" s="809"/>
      <c r="S115" s="742"/>
      <c r="T115" s="742"/>
      <c r="U115" s="742"/>
      <c r="V115" s="742"/>
      <c r="W115" s="742"/>
      <c r="X115" s="742"/>
      <c r="Y115" s="852"/>
      <c r="Z115" s="745"/>
      <c r="AA115" s="748"/>
      <c r="AB115" s="745"/>
      <c r="AC115" s="745"/>
      <c r="AD115" s="745"/>
    </row>
    <row r="116" spans="1:30" ht="9" customHeight="1">
      <c r="A116" s="744"/>
      <c r="B116" s="744"/>
      <c r="C116" s="742"/>
      <c r="D116" s="742"/>
      <c r="E116" s="742"/>
      <c r="F116" s="742"/>
      <c r="G116" s="742"/>
      <c r="H116" s="789"/>
      <c r="I116" s="789"/>
      <c r="J116" s="789"/>
      <c r="K116" s="789"/>
      <c r="L116" s="789"/>
      <c r="M116" s="742"/>
      <c r="N116" s="788"/>
      <c r="O116" s="809"/>
      <c r="P116" s="809"/>
      <c r="Q116" s="809"/>
      <c r="R116" s="809"/>
      <c r="S116" s="742"/>
      <c r="T116" s="742"/>
      <c r="U116" s="742"/>
      <c r="V116" s="742"/>
      <c r="W116" s="742"/>
      <c r="X116" s="742"/>
      <c r="Y116" s="852"/>
      <c r="Z116" s="745"/>
      <c r="AA116" s="748"/>
      <c r="AB116" s="745"/>
      <c r="AC116" s="745"/>
      <c r="AD116" s="745"/>
    </row>
    <row r="117" spans="1:30" ht="9" customHeight="1">
      <c r="A117" s="744"/>
      <c r="B117" s="744"/>
      <c r="C117" s="742"/>
      <c r="D117" s="742"/>
      <c r="E117" s="742"/>
      <c r="F117" s="742"/>
      <c r="G117" s="742"/>
      <c r="H117" s="789"/>
      <c r="I117" s="789"/>
      <c r="J117" s="789"/>
      <c r="K117" s="789"/>
      <c r="L117" s="789"/>
      <c r="M117" s="742"/>
      <c r="N117" s="788"/>
      <c r="O117" s="809"/>
      <c r="P117" s="809"/>
      <c r="Q117" s="809"/>
      <c r="R117" s="809"/>
      <c r="S117" s="742"/>
      <c r="T117" s="742"/>
      <c r="U117" s="742"/>
      <c r="V117" s="742"/>
      <c r="W117" s="742"/>
      <c r="X117" s="742"/>
      <c r="Y117" s="852"/>
      <c r="Z117" s="745"/>
      <c r="AA117" s="748"/>
      <c r="AB117" s="745"/>
      <c r="AC117" s="745"/>
      <c r="AD117" s="745"/>
    </row>
    <row r="118" spans="1:30" ht="9" customHeight="1">
      <c r="A118" s="744"/>
      <c r="B118" s="744"/>
      <c r="C118" s="742"/>
      <c r="D118" s="742"/>
      <c r="E118" s="742"/>
      <c r="F118" s="742"/>
      <c r="G118" s="742"/>
      <c r="H118" s="789"/>
      <c r="I118" s="789"/>
      <c r="J118" s="789"/>
      <c r="K118" s="789"/>
      <c r="L118" s="789"/>
      <c r="M118" s="742"/>
      <c r="N118" s="788"/>
      <c r="O118" s="809"/>
      <c r="P118" s="809"/>
      <c r="Q118" s="809"/>
      <c r="R118" s="809"/>
      <c r="S118" s="742"/>
      <c r="T118" s="742"/>
      <c r="U118" s="742"/>
      <c r="V118" s="742"/>
      <c r="W118" s="742"/>
      <c r="X118" s="742"/>
      <c r="Y118" s="852"/>
      <c r="Z118" s="745"/>
      <c r="AA118" s="748"/>
      <c r="AB118" s="745"/>
      <c r="AC118" s="745"/>
      <c r="AD118" s="745"/>
    </row>
    <row r="119" spans="1:30" ht="9" customHeight="1">
      <c r="A119" s="744"/>
      <c r="B119" s="744"/>
      <c r="C119" s="742"/>
      <c r="D119" s="742"/>
      <c r="E119" s="742"/>
      <c r="F119" s="742"/>
      <c r="G119" s="742"/>
      <c r="H119" s="789"/>
      <c r="I119" s="789"/>
      <c r="J119" s="789"/>
      <c r="K119" s="789"/>
      <c r="L119" s="789"/>
      <c r="M119" s="742"/>
      <c r="N119" s="788"/>
      <c r="O119" s="809"/>
      <c r="P119" s="809"/>
      <c r="Q119" s="809"/>
      <c r="R119" s="809"/>
      <c r="S119" s="742"/>
      <c r="T119" s="742"/>
      <c r="U119" s="742"/>
      <c r="V119" s="742"/>
      <c r="W119" s="742"/>
      <c r="X119" s="742"/>
      <c r="Y119" s="852"/>
      <c r="Z119" s="745"/>
      <c r="AA119" s="748"/>
      <c r="AB119" s="745"/>
      <c r="AC119" s="745"/>
      <c r="AD119" s="745"/>
    </row>
    <row r="120" spans="1:30" ht="9" customHeight="1">
      <c r="A120" s="744"/>
      <c r="B120" s="744"/>
      <c r="C120" s="742"/>
      <c r="D120" s="742"/>
      <c r="E120" s="742"/>
      <c r="F120" s="742"/>
      <c r="G120" s="742"/>
      <c r="H120" s="789"/>
      <c r="I120" s="789"/>
      <c r="J120" s="789"/>
      <c r="K120" s="789"/>
      <c r="L120" s="789"/>
      <c r="M120" s="742"/>
      <c r="N120" s="788"/>
      <c r="O120" s="809"/>
      <c r="P120" s="809"/>
      <c r="Q120" s="809"/>
      <c r="R120" s="809"/>
      <c r="S120" s="742"/>
      <c r="T120" s="742"/>
      <c r="U120" s="742"/>
      <c r="V120" s="742"/>
      <c r="W120" s="742"/>
      <c r="X120" s="742"/>
      <c r="Y120" s="852"/>
      <c r="Z120" s="745"/>
      <c r="AA120" s="748"/>
      <c r="AB120" s="745"/>
      <c r="AC120" s="745"/>
      <c r="AD120" s="745"/>
    </row>
    <row r="121" spans="1:30" ht="9" customHeight="1">
      <c r="A121" s="744"/>
      <c r="B121" s="744"/>
      <c r="C121" s="742"/>
      <c r="D121" s="742"/>
      <c r="E121" s="742"/>
      <c r="F121" s="742"/>
      <c r="G121" s="742"/>
      <c r="H121" s="789"/>
      <c r="I121" s="789"/>
      <c r="J121" s="789"/>
      <c r="K121" s="789"/>
      <c r="L121" s="789"/>
      <c r="M121" s="742"/>
      <c r="N121" s="788"/>
      <c r="O121" s="809"/>
      <c r="P121" s="809"/>
      <c r="Q121" s="809"/>
      <c r="R121" s="809"/>
      <c r="S121" s="742"/>
      <c r="T121" s="742"/>
      <c r="U121" s="742"/>
      <c r="V121" s="742"/>
      <c r="W121" s="742"/>
      <c r="X121" s="742"/>
      <c r="Y121" s="852"/>
      <c r="Z121" s="745"/>
      <c r="AA121" s="748"/>
      <c r="AB121" s="745"/>
      <c r="AC121" s="745"/>
      <c r="AD121" s="745"/>
    </row>
    <row r="122" spans="1:30" ht="9" customHeight="1">
      <c r="A122" s="744"/>
      <c r="B122" s="744"/>
      <c r="C122" s="742"/>
      <c r="D122" s="742"/>
      <c r="E122" s="742"/>
      <c r="F122" s="742"/>
      <c r="G122" s="742"/>
      <c r="H122" s="789"/>
      <c r="I122" s="789"/>
      <c r="J122" s="789"/>
      <c r="K122" s="789"/>
      <c r="L122" s="789"/>
      <c r="M122" s="742"/>
      <c r="N122" s="788"/>
      <c r="O122" s="809"/>
      <c r="P122" s="809"/>
      <c r="Q122" s="809"/>
      <c r="R122" s="809"/>
      <c r="S122" s="742"/>
      <c r="T122" s="742"/>
      <c r="U122" s="742"/>
      <c r="V122" s="742"/>
      <c r="W122" s="742"/>
      <c r="X122" s="742"/>
      <c r="Y122" s="852"/>
      <c r="Z122" s="745"/>
      <c r="AA122" s="748"/>
      <c r="AB122" s="745"/>
      <c r="AC122" s="745"/>
      <c r="AD122" s="745"/>
    </row>
    <row r="123" spans="1:30" ht="9" customHeight="1">
      <c r="A123" s="744"/>
      <c r="B123" s="744"/>
      <c r="C123" s="742"/>
      <c r="D123" s="742"/>
      <c r="E123" s="742"/>
      <c r="F123" s="742"/>
      <c r="G123" s="742"/>
      <c r="H123" s="789"/>
      <c r="I123" s="789"/>
      <c r="J123" s="789"/>
      <c r="K123" s="789"/>
      <c r="L123" s="789"/>
      <c r="M123" s="742"/>
      <c r="N123" s="788"/>
      <c r="O123" s="809"/>
      <c r="P123" s="809"/>
      <c r="Q123" s="809"/>
      <c r="R123" s="809"/>
      <c r="S123" s="742"/>
      <c r="T123" s="742"/>
      <c r="U123" s="742"/>
      <c r="V123" s="742"/>
      <c r="W123" s="742"/>
      <c r="X123" s="742"/>
      <c r="Y123" s="852"/>
      <c r="Z123" s="745"/>
      <c r="AA123" s="748"/>
      <c r="AB123" s="745"/>
      <c r="AC123" s="745"/>
      <c r="AD123" s="745"/>
    </row>
    <row r="124" spans="1:30" ht="9" customHeight="1">
      <c r="A124" s="744"/>
      <c r="B124" s="744"/>
      <c r="C124" s="742"/>
      <c r="D124" s="742"/>
      <c r="E124" s="742"/>
      <c r="F124" s="742"/>
      <c r="G124" s="742"/>
      <c r="H124" s="789"/>
      <c r="I124" s="789"/>
      <c r="J124" s="789"/>
      <c r="K124" s="789"/>
      <c r="L124" s="789"/>
      <c r="M124" s="742"/>
      <c r="N124" s="788"/>
      <c r="O124" s="809"/>
      <c r="P124" s="809"/>
      <c r="Q124" s="809"/>
      <c r="R124" s="809"/>
      <c r="S124" s="742"/>
      <c r="T124" s="742"/>
      <c r="U124" s="742"/>
      <c r="V124" s="742"/>
      <c r="W124" s="742"/>
      <c r="X124" s="742"/>
      <c r="Y124" s="852"/>
      <c r="Z124" s="745"/>
      <c r="AA124" s="748"/>
      <c r="AB124" s="745"/>
      <c r="AC124" s="745"/>
      <c r="AD124" s="745"/>
    </row>
    <row r="125" spans="1:30" ht="9" customHeight="1">
      <c r="A125" s="744"/>
      <c r="B125" s="744"/>
      <c r="C125" s="742"/>
      <c r="D125" s="742"/>
      <c r="E125" s="742"/>
      <c r="F125" s="742"/>
      <c r="G125" s="742"/>
      <c r="H125" s="789"/>
      <c r="I125" s="789"/>
      <c r="J125" s="789"/>
      <c r="K125" s="789"/>
      <c r="L125" s="789"/>
      <c r="M125" s="742"/>
      <c r="N125" s="788"/>
      <c r="O125" s="809"/>
      <c r="P125" s="809"/>
      <c r="Q125" s="809"/>
      <c r="R125" s="809"/>
      <c r="S125" s="742"/>
      <c r="T125" s="742"/>
      <c r="U125" s="742"/>
      <c r="V125" s="742"/>
      <c r="W125" s="742"/>
      <c r="X125" s="742"/>
      <c r="Y125" s="852"/>
      <c r="Z125" s="745"/>
      <c r="AA125" s="748"/>
      <c r="AB125" s="745"/>
      <c r="AC125" s="745"/>
      <c r="AD125" s="745"/>
    </row>
    <row r="126" spans="1:30" ht="9" customHeight="1">
      <c r="A126" s="744"/>
      <c r="B126" s="744"/>
      <c r="C126" s="742"/>
      <c r="D126" s="742"/>
      <c r="E126" s="742"/>
      <c r="F126" s="742"/>
      <c r="G126" s="742"/>
      <c r="H126" s="789"/>
      <c r="I126" s="789"/>
      <c r="J126" s="789"/>
      <c r="K126" s="789"/>
      <c r="L126" s="789"/>
      <c r="M126" s="742"/>
      <c r="N126" s="788"/>
      <c r="O126" s="809"/>
      <c r="P126" s="809"/>
      <c r="Q126" s="809"/>
      <c r="R126" s="809"/>
      <c r="S126" s="742"/>
      <c r="T126" s="742"/>
      <c r="U126" s="742"/>
      <c r="V126" s="742"/>
      <c r="W126" s="742"/>
      <c r="X126" s="742"/>
      <c r="Y126" s="852"/>
      <c r="Z126" s="745"/>
      <c r="AA126" s="748"/>
      <c r="AB126" s="745"/>
      <c r="AC126" s="745"/>
      <c r="AD126" s="745"/>
    </row>
    <row r="127" spans="1:30" ht="9" customHeight="1">
      <c r="A127" s="744"/>
      <c r="B127" s="744"/>
      <c r="C127" s="742"/>
      <c r="D127" s="742"/>
      <c r="E127" s="742"/>
      <c r="F127" s="742"/>
      <c r="G127" s="742"/>
      <c r="H127" s="789"/>
      <c r="I127" s="789"/>
      <c r="J127" s="789"/>
      <c r="K127" s="789"/>
      <c r="L127" s="789"/>
      <c r="M127" s="742"/>
      <c r="N127" s="788"/>
      <c r="O127" s="809"/>
      <c r="P127" s="809"/>
      <c r="Q127" s="809"/>
      <c r="R127" s="809"/>
      <c r="S127" s="742"/>
      <c r="T127" s="742"/>
      <c r="U127" s="742"/>
      <c r="V127" s="742"/>
      <c r="W127" s="742"/>
      <c r="X127" s="742"/>
      <c r="Y127" s="852"/>
      <c r="Z127" s="745"/>
      <c r="AA127" s="748"/>
      <c r="AB127" s="745"/>
      <c r="AC127" s="745"/>
      <c r="AD127" s="745"/>
    </row>
    <row r="128" spans="1:30" ht="9" customHeight="1">
      <c r="A128" s="744"/>
      <c r="B128" s="744"/>
      <c r="C128" s="742"/>
      <c r="D128" s="742"/>
      <c r="E128" s="742"/>
      <c r="F128" s="742"/>
      <c r="G128" s="742"/>
      <c r="H128" s="789"/>
      <c r="I128" s="789"/>
      <c r="J128" s="789"/>
      <c r="K128" s="789"/>
      <c r="L128" s="789"/>
      <c r="M128" s="742"/>
      <c r="N128" s="788"/>
      <c r="O128" s="809"/>
      <c r="P128" s="809"/>
      <c r="Q128" s="809"/>
      <c r="R128" s="809"/>
      <c r="S128" s="742"/>
      <c r="T128" s="742"/>
      <c r="U128" s="742"/>
      <c r="V128" s="742"/>
      <c r="W128" s="742"/>
      <c r="X128" s="742"/>
      <c r="Y128" s="852"/>
      <c r="Z128" s="745"/>
      <c r="AA128" s="748"/>
      <c r="AB128" s="745"/>
      <c r="AC128" s="745"/>
      <c r="AD128" s="745"/>
    </row>
    <row r="129" spans="1:30" ht="9" customHeight="1">
      <c r="A129" s="744"/>
      <c r="B129" s="744"/>
      <c r="C129" s="742"/>
      <c r="D129" s="742"/>
      <c r="E129" s="742"/>
      <c r="F129" s="742"/>
      <c r="G129" s="742"/>
      <c r="H129" s="789"/>
      <c r="I129" s="789"/>
      <c r="J129" s="789"/>
      <c r="K129" s="789"/>
      <c r="L129" s="789"/>
      <c r="M129" s="742"/>
      <c r="N129" s="788"/>
      <c r="O129" s="809"/>
      <c r="P129" s="809"/>
      <c r="Q129" s="809"/>
      <c r="R129" s="809"/>
      <c r="S129" s="742"/>
      <c r="T129" s="742"/>
      <c r="U129" s="742"/>
      <c r="V129" s="742"/>
      <c r="W129" s="742"/>
      <c r="X129" s="742"/>
      <c r="Y129" s="852"/>
      <c r="Z129" s="745"/>
      <c r="AA129" s="748"/>
      <c r="AB129" s="745"/>
      <c r="AC129" s="745"/>
      <c r="AD129" s="745"/>
    </row>
    <row r="130" spans="1:30" ht="9" customHeight="1">
      <c r="A130" s="744"/>
      <c r="B130" s="744"/>
      <c r="C130" s="742"/>
      <c r="D130" s="742"/>
      <c r="E130" s="742"/>
      <c r="F130" s="742"/>
      <c r="G130" s="742"/>
      <c r="H130" s="789"/>
      <c r="I130" s="789"/>
      <c r="J130" s="789"/>
      <c r="K130" s="789"/>
      <c r="L130" s="789"/>
      <c r="M130" s="742"/>
      <c r="N130" s="788"/>
      <c r="O130" s="811"/>
      <c r="P130" s="811"/>
      <c r="Q130" s="811"/>
      <c r="R130" s="811"/>
      <c r="S130" s="742"/>
      <c r="T130" s="742"/>
      <c r="U130" s="742"/>
      <c r="V130" s="742"/>
      <c r="W130" s="742"/>
      <c r="X130" s="742"/>
      <c r="Y130" s="852"/>
      <c r="Z130" s="745"/>
      <c r="AA130" s="748"/>
      <c r="AB130" s="745"/>
      <c r="AC130" s="745"/>
      <c r="AD130" s="745"/>
    </row>
    <row r="131" spans="1:30" ht="9" customHeight="1">
      <c r="A131" s="744"/>
      <c r="B131" s="744"/>
      <c r="C131" s="742"/>
      <c r="D131" s="742"/>
      <c r="E131" s="742"/>
      <c r="F131" s="742"/>
      <c r="G131" s="742"/>
      <c r="H131" s="789"/>
      <c r="I131" s="789"/>
      <c r="J131" s="789"/>
      <c r="K131" s="789"/>
      <c r="L131" s="789"/>
      <c r="M131" s="742"/>
      <c r="N131" s="788"/>
      <c r="O131" s="812"/>
      <c r="P131" s="812"/>
      <c r="Q131" s="812"/>
      <c r="R131" s="812"/>
      <c r="S131" s="742"/>
      <c r="T131" s="742"/>
      <c r="U131" s="742"/>
      <c r="V131" s="742"/>
      <c r="W131" s="742"/>
      <c r="X131" s="742"/>
      <c r="Y131" s="852"/>
      <c r="Z131" s="745"/>
      <c r="AA131" s="748"/>
      <c r="AB131" s="745"/>
      <c r="AC131" s="745"/>
      <c r="AD131" s="745"/>
    </row>
    <row r="132" spans="1:30" ht="9" customHeight="1">
      <c r="A132" s="744"/>
      <c r="B132" s="744"/>
      <c r="C132" s="742"/>
      <c r="D132" s="742"/>
      <c r="E132" s="742"/>
      <c r="F132" s="742"/>
      <c r="G132" s="742"/>
      <c r="H132" s="789"/>
      <c r="I132" s="789"/>
      <c r="J132" s="789"/>
      <c r="K132" s="789"/>
      <c r="L132" s="789"/>
      <c r="M132" s="742"/>
      <c r="N132" s="788"/>
      <c r="O132" s="811"/>
      <c r="P132" s="811"/>
      <c r="Q132" s="811"/>
      <c r="R132" s="811"/>
      <c r="S132" s="742"/>
      <c r="T132" s="742"/>
      <c r="U132" s="742"/>
      <c r="V132" s="742"/>
      <c r="W132" s="742"/>
      <c r="X132" s="742"/>
      <c r="Y132" s="852"/>
      <c r="Z132" s="745"/>
      <c r="AA132" s="748"/>
      <c r="AB132" s="745"/>
      <c r="AC132" s="745"/>
      <c r="AD132" s="745"/>
    </row>
    <row r="133" spans="1:30" ht="9" customHeight="1">
      <c r="A133" s="744"/>
      <c r="B133" s="744"/>
      <c r="C133" s="742"/>
      <c r="D133" s="742"/>
      <c r="E133" s="742"/>
      <c r="F133" s="742"/>
      <c r="G133" s="742"/>
      <c r="H133" s="789"/>
      <c r="I133" s="789"/>
      <c r="J133" s="789"/>
      <c r="K133" s="789"/>
      <c r="L133" s="789"/>
      <c r="M133" s="742"/>
      <c r="N133" s="788"/>
      <c r="O133" s="812"/>
      <c r="P133" s="812"/>
      <c r="Q133" s="812"/>
      <c r="R133" s="812"/>
      <c r="S133" s="742"/>
      <c r="T133" s="742"/>
      <c r="U133" s="742"/>
      <c r="V133" s="742"/>
      <c r="W133" s="742"/>
      <c r="X133" s="742"/>
      <c r="Y133" s="852"/>
      <c r="Z133" s="745"/>
      <c r="AA133" s="748"/>
      <c r="AB133" s="745"/>
      <c r="AC133" s="745"/>
      <c r="AD133" s="745"/>
    </row>
    <row r="134" spans="1:30" ht="9" customHeight="1">
      <c r="A134" s="744"/>
      <c r="B134" s="744"/>
      <c r="C134" s="742"/>
      <c r="D134" s="742"/>
      <c r="E134" s="742"/>
      <c r="F134" s="742"/>
      <c r="G134" s="742"/>
      <c r="H134" s="789"/>
      <c r="I134" s="789"/>
      <c r="J134" s="789"/>
      <c r="K134" s="789"/>
      <c r="L134" s="789"/>
      <c r="M134" s="742"/>
      <c r="N134" s="788"/>
      <c r="O134" s="809"/>
      <c r="P134" s="809"/>
      <c r="Q134" s="809"/>
      <c r="R134" s="809"/>
      <c r="S134" s="742"/>
      <c r="T134" s="742"/>
      <c r="U134" s="742"/>
      <c r="V134" s="742"/>
      <c r="W134" s="742"/>
      <c r="X134" s="742"/>
      <c r="Y134" s="852"/>
      <c r="Z134" s="745"/>
      <c r="AA134" s="748"/>
      <c r="AB134" s="745"/>
      <c r="AC134" s="745"/>
      <c r="AD134" s="745"/>
    </row>
    <row r="135" spans="1:30" ht="9" customHeight="1">
      <c r="A135" s="744"/>
      <c r="B135" s="744"/>
      <c r="C135" s="742"/>
      <c r="D135" s="742"/>
      <c r="E135" s="742"/>
      <c r="F135" s="742"/>
      <c r="G135" s="742"/>
      <c r="H135" s="789"/>
      <c r="I135" s="789"/>
      <c r="J135" s="789"/>
      <c r="K135" s="789"/>
      <c r="L135" s="789"/>
      <c r="M135" s="742"/>
      <c r="N135" s="788"/>
      <c r="O135" s="809"/>
      <c r="P135" s="809"/>
      <c r="Q135" s="809"/>
      <c r="R135" s="809"/>
      <c r="S135" s="742"/>
      <c r="T135" s="742"/>
      <c r="U135" s="742"/>
      <c r="V135" s="742"/>
      <c r="W135" s="742"/>
      <c r="X135" s="742"/>
      <c r="Y135" s="852"/>
      <c r="Z135" s="745"/>
      <c r="AA135" s="748"/>
      <c r="AB135" s="745"/>
      <c r="AC135" s="745"/>
      <c r="AD135" s="745"/>
    </row>
    <row r="136" spans="1:30" ht="9" customHeight="1">
      <c r="A136" s="744"/>
      <c r="B136" s="744"/>
      <c r="C136" s="742"/>
      <c r="D136" s="742"/>
      <c r="E136" s="742"/>
      <c r="F136" s="742"/>
      <c r="G136" s="742"/>
      <c r="H136" s="789"/>
      <c r="I136" s="789"/>
      <c r="J136" s="789"/>
      <c r="K136" s="789"/>
      <c r="L136" s="789"/>
      <c r="M136" s="742"/>
      <c r="N136" s="788"/>
      <c r="O136" s="809"/>
      <c r="P136" s="809"/>
      <c r="Q136" s="809"/>
      <c r="R136" s="809"/>
      <c r="S136" s="742"/>
      <c r="T136" s="742"/>
      <c r="U136" s="742"/>
      <c r="V136" s="742"/>
      <c r="W136" s="742"/>
      <c r="X136" s="742"/>
      <c r="Y136" s="852"/>
      <c r="Z136" s="745"/>
      <c r="AA136" s="748"/>
      <c r="AB136" s="745"/>
      <c r="AC136" s="745"/>
      <c r="AD136" s="745"/>
    </row>
    <row r="137" spans="1:30" ht="9" customHeight="1">
      <c r="A137" s="744"/>
      <c r="B137" s="744"/>
      <c r="C137" s="742"/>
      <c r="D137" s="742"/>
      <c r="E137" s="742"/>
      <c r="F137" s="742"/>
      <c r="G137" s="742"/>
      <c r="H137" s="789"/>
      <c r="I137" s="789"/>
      <c r="J137" s="789"/>
      <c r="K137" s="789"/>
      <c r="L137" s="789"/>
      <c r="M137" s="742"/>
      <c r="N137" s="788"/>
      <c r="O137" s="813"/>
      <c r="P137" s="813"/>
      <c r="Q137" s="813"/>
      <c r="R137" s="813"/>
      <c r="S137" s="742"/>
      <c r="T137" s="742"/>
      <c r="U137" s="742"/>
      <c r="V137" s="742"/>
      <c r="W137" s="742"/>
      <c r="X137" s="742"/>
      <c r="Y137" s="852"/>
      <c r="Z137" s="745"/>
      <c r="AA137" s="748"/>
      <c r="AB137" s="745"/>
      <c r="AC137" s="745"/>
      <c r="AD137" s="745"/>
    </row>
    <row r="138" spans="1:30" ht="9" customHeight="1">
      <c r="A138" s="744"/>
      <c r="B138" s="744"/>
      <c r="C138" s="742"/>
      <c r="D138" s="742"/>
      <c r="E138" s="742"/>
      <c r="F138" s="742"/>
      <c r="G138" s="742"/>
      <c r="H138" s="789"/>
      <c r="I138" s="789"/>
      <c r="J138" s="789"/>
      <c r="K138" s="789"/>
      <c r="L138" s="789"/>
      <c r="M138" s="742"/>
      <c r="N138" s="788"/>
      <c r="O138" s="810"/>
      <c r="P138" s="810"/>
      <c r="Q138" s="810"/>
      <c r="R138" s="810"/>
      <c r="S138" s="742"/>
      <c r="T138" s="742"/>
      <c r="U138" s="742"/>
      <c r="V138" s="742"/>
      <c r="W138" s="742"/>
      <c r="X138" s="742"/>
      <c r="Y138" s="852"/>
      <c r="Z138" s="745"/>
      <c r="AA138" s="748"/>
      <c r="AB138" s="745"/>
      <c r="AC138" s="745"/>
      <c r="AD138" s="745"/>
    </row>
    <row r="139" spans="1:30" ht="9" customHeight="1">
      <c r="A139" s="744"/>
      <c r="B139" s="744"/>
      <c r="C139" s="742"/>
      <c r="D139" s="742"/>
      <c r="E139" s="742"/>
      <c r="F139" s="742"/>
      <c r="G139" s="742"/>
      <c r="H139" s="789"/>
      <c r="I139" s="789"/>
      <c r="J139" s="789"/>
      <c r="K139" s="789"/>
      <c r="L139" s="789"/>
      <c r="M139" s="742"/>
      <c r="N139" s="788"/>
      <c r="O139" s="742"/>
      <c r="P139" s="742"/>
      <c r="Q139" s="742"/>
      <c r="R139" s="742"/>
      <c r="S139" s="742"/>
      <c r="T139" s="742"/>
      <c r="U139" s="742"/>
      <c r="V139" s="742"/>
      <c r="W139" s="742"/>
      <c r="X139" s="742"/>
      <c r="Y139" s="852"/>
      <c r="Z139" s="745"/>
      <c r="AA139" s="748"/>
      <c r="AB139" s="745"/>
      <c r="AC139" s="745"/>
      <c r="AD139" s="745"/>
    </row>
    <row r="140" spans="1:30" ht="9" customHeight="1">
      <c r="A140" s="744"/>
      <c r="B140" s="744"/>
      <c r="C140" s="742"/>
      <c r="D140" s="742"/>
      <c r="E140" s="742"/>
      <c r="F140" s="742"/>
      <c r="G140" s="742"/>
      <c r="H140" s="789"/>
      <c r="I140" s="789"/>
      <c r="J140" s="789"/>
      <c r="K140" s="789"/>
      <c r="L140" s="789"/>
      <c r="M140" s="742"/>
      <c r="N140" s="788"/>
      <c r="O140" s="742"/>
      <c r="P140" s="742"/>
      <c r="Q140" s="742"/>
      <c r="R140" s="742"/>
      <c r="S140" s="742"/>
      <c r="T140" s="742"/>
      <c r="U140" s="742"/>
      <c r="V140" s="742"/>
      <c r="W140" s="742"/>
      <c r="X140" s="742"/>
      <c r="Y140" s="852"/>
      <c r="Z140" s="745"/>
      <c r="AA140" s="748"/>
      <c r="AB140" s="745"/>
      <c r="AC140" s="745"/>
      <c r="AD140" s="745"/>
    </row>
    <row r="141" spans="1:30" ht="9" customHeight="1">
      <c r="A141" s="744"/>
      <c r="B141" s="744"/>
      <c r="C141" s="742"/>
      <c r="D141" s="742"/>
      <c r="E141" s="742"/>
      <c r="F141" s="742"/>
      <c r="G141" s="742"/>
      <c r="H141" s="789"/>
      <c r="I141" s="789"/>
      <c r="J141" s="789"/>
      <c r="K141" s="789"/>
      <c r="L141" s="789"/>
      <c r="M141" s="742"/>
      <c r="N141" s="788"/>
      <c r="O141" s="742"/>
      <c r="P141" s="742"/>
      <c r="Q141" s="742"/>
      <c r="R141" s="742"/>
      <c r="S141" s="742"/>
      <c r="T141" s="742"/>
      <c r="U141" s="742"/>
      <c r="V141" s="742"/>
      <c r="W141" s="742"/>
      <c r="X141" s="742"/>
      <c r="Y141" s="852"/>
      <c r="Z141" s="745"/>
      <c r="AA141" s="748"/>
      <c r="AB141" s="745"/>
      <c r="AC141" s="745"/>
      <c r="AD141" s="745"/>
    </row>
    <row r="142" spans="1:30" ht="9" customHeight="1">
      <c r="A142" s="744"/>
      <c r="B142" s="744"/>
      <c r="C142" s="742"/>
      <c r="D142" s="742"/>
      <c r="E142" s="742"/>
      <c r="F142" s="742"/>
      <c r="G142" s="742"/>
      <c r="H142" s="789"/>
      <c r="I142" s="789"/>
      <c r="J142" s="789"/>
      <c r="K142" s="789"/>
      <c r="L142" s="789"/>
      <c r="M142" s="742"/>
      <c r="N142" s="788"/>
      <c r="O142" s="742"/>
      <c r="P142" s="742"/>
      <c r="Q142" s="742"/>
      <c r="R142" s="742"/>
      <c r="S142" s="742"/>
      <c r="T142" s="742"/>
      <c r="U142" s="742"/>
      <c r="V142" s="742"/>
      <c r="W142" s="742"/>
      <c r="X142" s="742"/>
      <c r="Y142" s="852"/>
      <c r="Z142" s="745"/>
      <c r="AA142" s="748"/>
      <c r="AB142" s="745"/>
      <c r="AC142" s="745"/>
      <c r="AD142" s="745"/>
    </row>
    <row r="143" spans="1:30" ht="9" customHeight="1">
      <c r="A143" s="744"/>
      <c r="B143" s="744"/>
      <c r="C143" s="742"/>
      <c r="D143" s="742"/>
      <c r="E143" s="742"/>
      <c r="F143" s="742"/>
      <c r="G143" s="742"/>
      <c r="H143" s="789"/>
      <c r="I143" s="789"/>
      <c r="J143" s="789"/>
      <c r="K143" s="789"/>
      <c r="L143" s="789"/>
      <c r="M143" s="742"/>
      <c r="N143" s="788"/>
      <c r="O143" s="742"/>
      <c r="P143" s="742"/>
      <c r="Q143" s="742"/>
      <c r="R143" s="742"/>
      <c r="S143" s="742"/>
      <c r="T143" s="742"/>
      <c r="U143" s="742"/>
      <c r="V143" s="742"/>
      <c r="W143" s="742"/>
      <c r="X143" s="742"/>
      <c r="Y143" s="852"/>
      <c r="Z143" s="745"/>
      <c r="AA143" s="748"/>
      <c r="AB143" s="745"/>
      <c r="AC143" s="745"/>
      <c r="AD143" s="745"/>
    </row>
    <row r="144" spans="1:30" ht="9" customHeight="1">
      <c r="A144" s="744"/>
      <c r="B144" s="744"/>
      <c r="C144" s="742"/>
      <c r="D144" s="742"/>
      <c r="E144" s="742"/>
      <c r="F144" s="742"/>
      <c r="G144" s="742"/>
      <c r="H144" s="789"/>
      <c r="I144" s="789"/>
      <c r="J144" s="789"/>
      <c r="K144" s="789"/>
      <c r="L144" s="789"/>
      <c r="M144" s="742"/>
      <c r="N144" s="788"/>
      <c r="O144" s="742"/>
      <c r="P144" s="742"/>
      <c r="Q144" s="742"/>
      <c r="R144" s="742"/>
      <c r="S144" s="742"/>
      <c r="T144" s="742"/>
      <c r="U144" s="742"/>
      <c r="V144" s="742"/>
      <c r="W144" s="742"/>
      <c r="X144" s="742"/>
      <c r="Y144" s="852"/>
      <c r="Z144" s="745"/>
      <c r="AA144" s="748"/>
      <c r="AB144" s="745"/>
      <c r="AC144" s="745"/>
      <c r="AD144" s="745"/>
    </row>
    <row r="145" spans="1:30" ht="9" customHeight="1">
      <c r="A145" s="744"/>
      <c r="B145" s="744"/>
      <c r="C145" s="742"/>
      <c r="D145" s="742"/>
      <c r="E145" s="742"/>
      <c r="F145" s="742"/>
      <c r="G145" s="742"/>
      <c r="H145" s="789"/>
      <c r="I145" s="789"/>
      <c r="J145" s="789"/>
      <c r="K145" s="789"/>
      <c r="L145" s="789"/>
      <c r="M145" s="742"/>
      <c r="N145" s="788"/>
      <c r="O145" s="742"/>
      <c r="P145" s="742"/>
      <c r="Q145" s="742"/>
      <c r="R145" s="742"/>
      <c r="S145" s="742"/>
      <c r="T145" s="742"/>
      <c r="U145" s="742"/>
      <c r="V145" s="742"/>
      <c r="W145" s="742"/>
      <c r="X145" s="742"/>
      <c r="Y145" s="852"/>
      <c r="Z145" s="745"/>
      <c r="AA145" s="748"/>
      <c r="AB145" s="745"/>
      <c r="AC145" s="745"/>
      <c r="AD145" s="745"/>
    </row>
    <row r="146" spans="1:30" ht="9" customHeight="1">
      <c r="A146" s="744"/>
      <c r="B146" s="744"/>
      <c r="C146" s="742"/>
      <c r="D146" s="742"/>
      <c r="E146" s="742"/>
      <c r="F146" s="742"/>
      <c r="G146" s="742"/>
      <c r="H146" s="789"/>
      <c r="I146" s="789"/>
      <c r="J146" s="789"/>
      <c r="K146" s="789"/>
      <c r="L146" s="789"/>
      <c r="M146" s="742"/>
      <c r="N146" s="788"/>
      <c r="O146" s="742"/>
      <c r="P146" s="742"/>
      <c r="Q146" s="742"/>
      <c r="R146" s="742"/>
      <c r="S146" s="742"/>
      <c r="T146" s="742"/>
      <c r="U146" s="742"/>
      <c r="V146" s="742"/>
      <c r="W146" s="742"/>
      <c r="X146" s="742"/>
      <c r="Y146" s="852"/>
      <c r="Z146" s="745"/>
      <c r="AA146" s="748"/>
      <c r="AB146" s="745"/>
      <c r="AC146" s="745"/>
      <c r="AD146" s="745"/>
    </row>
    <row r="147" spans="1:30" ht="9" customHeight="1">
      <c r="A147" s="744"/>
      <c r="B147" s="744"/>
      <c r="C147" s="744"/>
      <c r="D147" s="744"/>
      <c r="E147" s="744"/>
      <c r="F147" s="744"/>
      <c r="G147" s="744"/>
      <c r="H147" s="744"/>
      <c r="I147" s="744"/>
      <c r="J147" s="744"/>
      <c r="K147" s="744"/>
      <c r="L147" s="744"/>
      <c r="M147" s="744"/>
      <c r="N147" s="744"/>
      <c r="O147" s="744"/>
      <c r="P147" s="744"/>
      <c r="Q147" s="744"/>
      <c r="R147" s="744"/>
      <c r="S147" s="744"/>
      <c r="T147" s="744"/>
      <c r="U147" s="744"/>
      <c r="V147" s="744"/>
      <c r="W147" s="744"/>
      <c r="X147" s="744"/>
      <c r="Y147" s="744"/>
      <c r="Z147" s="744"/>
      <c r="AA147" s="744"/>
      <c r="AB147" s="744"/>
      <c r="AC147" s="744"/>
      <c r="AD147" s="744"/>
    </row>
    <row r="148" spans="1:30" ht="90" customHeight="1">
      <c r="A148" s="744" t="s">
        <v>1720</v>
      </c>
      <c r="B148" s="744"/>
      <c r="C148" s="742" t="s">
        <v>2272</v>
      </c>
      <c r="D148" s="742" t="s">
        <v>1625</v>
      </c>
      <c r="E148" s="742" t="s">
        <v>1722</v>
      </c>
      <c r="F148" s="742" t="s">
        <v>2273</v>
      </c>
      <c r="G148" s="742"/>
      <c r="H148" s="742"/>
      <c r="I148" s="815"/>
      <c r="J148" s="815"/>
      <c r="K148" s="815"/>
      <c r="L148" s="815"/>
      <c r="M148" s="791"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47"/>
      <c r="O148" s="742"/>
      <c r="P148" s="743"/>
      <c r="Q148" s="743"/>
      <c r="R148" s="743"/>
      <c r="S148" s="742"/>
      <c r="T148" s="742" t="s">
        <v>2274</v>
      </c>
      <c r="U148" s="74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43"/>
      <c r="W148" s="743"/>
      <c r="X148" s="742" t="s">
        <v>2275</v>
      </c>
      <c r="Y148" s="852"/>
      <c r="Z148" s="745"/>
      <c r="AA148" s="748"/>
      <c r="AB148" s="745"/>
      <c r="AC148" s="745"/>
      <c r="AD148" s="745"/>
    </row>
    <row r="149" spans="1:30" ht="9" customHeight="1">
      <c r="A149" s="744"/>
      <c r="B149" s="744"/>
      <c r="C149" s="744"/>
      <c r="D149" s="744"/>
      <c r="E149" s="744"/>
      <c r="F149" s="744"/>
      <c r="G149" s="744"/>
      <c r="H149" s="744"/>
      <c r="I149" s="744"/>
      <c r="J149" s="744"/>
      <c r="K149" s="744"/>
      <c r="L149" s="744"/>
      <c r="M149" s="744"/>
      <c r="N149" s="744"/>
      <c r="O149" s="744"/>
      <c r="P149" s="744"/>
      <c r="Q149" s="744"/>
      <c r="R149" s="744"/>
      <c r="S149" s="744"/>
      <c r="T149" s="744"/>
      <c r="U149" s="744"/>
      <c r="V149" s="744"/>
      <c r="W149" s="744"/>
      <c r="X149" s="744"/>
      <c r="Y149" s="744"/>
      <c r="Z149" s="744"/>
      <c r="AA149" s="744"/>
      <c r="AB149" s="744"/>
      <c r="AC149" s="744"/>
      <c r="AD149" s="744"/>
    </row>
    <row r="150" spans="1:30" ht="9" customHeight="1">
      <c r="A150" s="744" t="s">
        <v>1724</v>
      </c>
      <c r="B150" s="744"/>
      <c r="C150" s="742"/>
      <c r="D150" s="742"/>
      <c r="E150" s="742"/>
      <c r="F150" s="742"/>
      <c r="G150" s="742"/>
      <c r="H150" s="742"/>
      <c r="I150" s="742"/>
      <c r="J150" s="742"/>
      <c r="K150" s="742"/>
      <c r="L150" s="742"/>
      <c r="M150" s="742"/>
      <c r="N150" s="742"/>
      <c r="O150" s="742"/>
      <c r="P150" s="742"/>
      <c r="Q150" s="742"/>
      <c r="R150" s="742"/>
      <c r="S150" s="742"/>
      <c r="T150" s="742"/>
      <c r="U150" s="742"/>
      <c r="V150" s="742"/>
      <c r="W150" s="742"/>
      <c r="X150" s="742"/>
      <c r="Y150" s="852"/>
      <c r="Z150" s="745"/>
      <c r="AA150" s="748"/>
      <c r="AB150" s="745"/>
      <c r="AC150" s="745"/>
      <c r="AD150" s="745"/>
    </row>
    <row r="151" spans="1:30" ht="9" customHeight="1">
      <c r="A151" s="744"/>
      <c r="B151" s="744"/>
      <c r="C151" s="744"/>
      <c r="D151" s="744"/>
      <c r="E151" s="744"/>
      <c r="F151" s="744"/>
      <c r="G151" s="744"/>
      <c r="H151" s="744"/>
      <c r="I151" s="744"/>
      <c r="J151" s="744"/>
      <c r="K151" s="744"/>
      <c r="L151" s="744"/>
      <c r="M151" s="744"/>
      <c r="N151" s="744"/>
      <c r="O151" s="744"/>
      <c r="P151" s="744"/>
      <c r="Q151" s="744"/>
      <c r="R151" s="744"/>
      <c r="S151" s="744"/>
      <c r="T151" s="744"/>
      <c r="U151" s="744"/>
      <c r="V151" s="744"/>
      <c r="W151" s="744"/>
      <c r="X151" s="744"/>
      <c r="Y151" s="744"/>
      <c r="Z151" s="744"/>
      <c r="AA151" s="744"/>
      <c r="AB151" s="744"/>
      <c r="AC151" s="744"/>
      <c r="AD151" s="744"/>
    </row>
    <row r="152" spans="1:30" ht="9" customHeight="1">
      <c r="A152" s="744" t="s">
        <v>1726</v>
      </c>
      <c r="B152" s="744"/>
      <c r="C152" s="742"/>
      <c r="D152" s="742"/>
      <c r="E152" s="742"/>
      <c r="F152" s="742"/>
      <c r="G152" s="742"/>
      <c r="H152" s="742"/>
      <c r="I152" s="742"/>
      <c r="J152" s="742"/>
      <c r="K152" s="742"/>
      <c r="L152" s="742"/>
      <c r="M152" s="742"/>
      <c r="N152" s="742"/>
      <c r="O152" s="742"/>
      <c r="P152" s="742"/>
      <c r="Q152" s="742"/>
      <c r="R152" s="742"/>
      <c r="S152" s="742"/>
      <c r="T152" s="742"/>
      <c r="U152" s="742"/>
      <c r="V152" s="742"/>
      <c r="W152" s="742"/>
      <c r="X152" s="742"/>
      <c r="Y152" s="852"/>
      <c r="Z152" s="745"/>
      <c r="AA152" s="748"/>
      <c r="AB152" s="745"/>
      <c r="AC152" s="745"/>
      <c r="AD152" s="745"/>
    </row>
    <row r="153" spans="1:30" ht="9" customHeight="1">
      <c r="A153" s="744"/>
      <c r="B153" s="744"/>
      <c r="C153" s="744"/>
      <c r="D153" s="744"/>
      <c r="E153" s="744"/>
      <c r="F153" s="744"/>
      <c r="G153" s="744"/>
      <c r="H153" s="744"/>
      <c r="I153" s="744"/>
      <c r="J153" s="744"/>
      <c r="K153" s="744"/>
      <c r="L153" s="744"/>
      <c r="M153" s="744"/>
      <c r="N153" s="744"/>
      <c r="O153" s="744"/>
      <c r="P153" s="744"/>
      <c r="Q153" s="744"/>
      <c r="R153" s="744"/>
      <c r="S153" s="744"/>
      <c r="T153" s="744"/>
      <c r="U153" s="744"/>
      <c r="V153" s="744"/>
      <c r="W153" s="744"/>
      <c r="X153" s="744"/>
      <c r="Y153" s="744"/>
      <c r="Z153" s="744"/>
      <c r="AA153" s="744"/>
      <c r="AB153" s="744"/>
      <c r="AC153" s="744"/>
      <c r="AD153" s="744"/>
    </row>
    <row r="154" spans="1:30" ht="9" customHeight="1">
      <c r="A154" s="744" t="s">
        <v>1731</v>
      </c>
      <c r="B154" s="744"/>
      <c r="C154" s="742"/>
      <c r="D154" s="742"/>
      <c r="E154" s="742"/>
      <c r="F154" s="742"/>
      <c r="G154" s="742"/>
      <c r="H154" s="742"/>
      <c r="I154" s="742"/>
      <c r="J154" s="742"/>
      <c r="K154" s="742"/>
      <c r="L154" s="742"/>
      <c r="M154" s="742"/>
      <c r="N154" s="742"/>
      <c r="O154" s="742"/>
      <c r="P154" s="742"/>
      <c r="Q154" s="742"/>
      <c r="R154" s="742"/>
      <c r="S154" s="742"/>
      <c r="T154" s="742"/>
      <c r="U154" s="742"/>
      <c r="V154" s="742"/>
      <c r="W154" s="742"/>
      <c r="X154" s="742"/>
      <c r="Y154" s="852"/>
      <c r="Z154" s="745"/>
      <c r="AA154" s="748"/>
      <c r="AB154" s="745"/>
      <c r="AC154" s="745"/>
      <c r="AD154" s="745"/>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154" hidden="1"/>
    <col min="2" max="2" width="11" style="1154" hidden="1" customWidth="1"/>
    <col min="3" max="3" width="10.5703125" style="1154" hidden="1"/>
    <col min="4" max="4" width="11.85546875" style="1154" hidden="1" customWidth="1"/>
    <col min="5" max="5" width="12.28515625" style="1154" hidden="1" customWidth="1"/>
    <col min="6" max="8" width="12.28515625" style="1535" hidden="1" customWidth="1"/>
    <col min="9" max="9" width="3" style="1857" customWidth="1"/>
    <col min="10" max="11" width="3" style="278" customWidth="1"/>
    <col min="12" max="12" width="12" style="1858" customWidth="1"/>
    <col min="13" max="13" width="31" style="1423" customWidth="1"/>
    <col min="14" max="14" width="1" style="1423" customWidth="1"/>
    <col min="15" max="18" width="24" style="1423" customWidth="1"/>
    <col min="19" max="19" width="11" style="1423" customWidth="1"/>
    <col min="20" max="20" width="3.7109375" style="1423" customWidth="1"/>
    <col min="21" max="21" width="11" style="1423" customWidth="1"/>
    <col min="22" max="22" width="8.5703125" style="1423" customWidth="1"/>
    <col min="23" max="23" width="4" style="1423" customWidth="1"/>
    <col min="24" max="24" width="115" style="1423" customWidth="1"/>
    <col min="25" max="29" width="10" style="1430" customWidth="1"/>
    <col min="30" max="30" width="10.5703125" style="1423" hidden="1"/>
  </cols>
  <sheetData>
    <row r="1" spans="1:30" ht="22.5" hidden="1" customHeight="1">
      <c r="R1" s="261"/>
      <c r="S1" s="261"/>
      <c r="AD1" s="956" t="s">
        <v>1</v>
      </c>
    </row>
    <row r="2" spans="1:30" ht="14.25" hidden="1" customHeight="1">
      <c r="V2" s="261"/>
      <c r="AD2" s="956">
        <v>0</v>
      </c>
    </row>
    <row r="3" spans="1:30" ht="14.25" hidden="1" customHeight="1">
      <c r="AD3" s="956">
        <v>0</v>
      </c>
    </row>
    <row r="4" spans="1:30" ht="14.65" customHeight="1">
      <c r="J4" s="309"/>
      <c r="K4" s="309"/>
      <c r="L4" s="1063"/>
      <c r="M4" s="296"/>
      <c r="N4" s="296"/>
      <c r="O4" s="442"/>
      <c r="P4" s="442"/>
      <c r="Q4" s="442"/>
      <c r="R4" s="442"/>
      <c r="S4" s="442"/>
      <c r="T4" s="442"/>
      <c r="U4" s="442"/>
      <c r="V4" s="442"/>
      <c r="AD4" s="956">
        <v>14</v>
      </c>
    </row>
    <row r="5" spans="1:30" ht="67.150000000000006" customHeight="1">
      <c r="J5" s="309"/>
      <c r="K5" s="309"/>
      <c r="L5" s="2646" t="s">
        <v>2276</v>
      </c>
      <c r="M5" s="2646"/>
      <c r="N5" s="2646"/>
      <c r="O5" s="2646"/>
      <c r="P5" s="2646"/>
      <c r="Q5" s="2646"/>
      <c r="R5" s="2646"/>
      <c r="S5" s="2646"/>
      <c r="T5" s="2646"/>
      <c r="U5" s="2646"/>
      <c r="V5" s="1031"/>
      <c r="AD5" s="956">
        <v>64</v>
      </c>
    </row>
    <row r="6" spans="1:30" ht="14.65" customHeight="1">
      <c r="J6" s="309"/>
      <c r="K6" s="309"/>
      <c r="L6" s="2647" t="str">
        <f>IF(org=0,"Не определено",org)</f>
        <v>ООО "Смоленскрегионтеплоэнерго"</v>
      </c>
      <c r="M6" s="2647"/>
      <c r="N6" s="2647"/>
      <c r="O6" s="2647"/>
      <c r="P6" s="2647"/>
      <c r="Q6" s="2647"/>
      <c r="R6" s="2647"/>
      <c r="S6" s="2647"/>
      <c r="T6" s="2647"/>
      <c r="U6" s="2647"/>
      <c r="V6" s="1031"/>
      <c r="AD6" s="956">
        <v>14</v>
      </c>
    </row>
    <row r="7" spans="1:30" ht="14.65" customHeight="1">
      <c r="J7" s="309"/>
      <c r="K7" s="309"/>
      <c r="L7" s="1063"/>
      <c r="M7" s="296"/>
      <c r="N7" s="296"/>
      <c r="O7" s="256"/>
      <c r="P7" s="256"/>
      <c r="Q7" s="256"/>
      <c r="R7" s="256"/>
      <c r="S7" s="256"/>
      <c r="T7" s="256"/>
      <c r="U7" s="256"/>
      <c r="V7" s="256"/>
      <c r="W7" s="442"/>
      <c r="AD7" s="956">
        <v>14</v>
      </c>
    </row>
    <row r="8" spans="1:30" s="1609" customFormat="1" ht="48.2" customHeight="1">
      <c r="A8" s="1156"/>
      <c r="B8" s="1156"/>
      <c r="C8" s="1156"/>
      <c r="D8" s="1156"/>
      <c r="E8" s="1156"/>
      <c r="F8" s="1156"/>
      <c r="G8" s="1156"/>
      <c r="H8" s="1156"/>
      <c r="L8" s="1064"/>
      <c r="M8" s="229" t="s">
        <v>28</v>
      </c>
      <c r="N8" s="238"/>
      <c r="O8" s="2388" t="str">
        <f>IF(TITLE_NAME_OR_PR_CHANGE="",IF(TITLE_NAME_OR_PR="","",TITLE_NAME_OR_PR),TITLE_NAME_OR_PR_CHANGE)</f>
        <v/>
      </c>
      <c r="P8" s="2388"/>
      <c r="Q8" s="2388"/>
      <c r="R8" s="2388"/>
      <c r="S8" s="2388"/>
      <c r="T8" s="2388"/>
      <c r="U8" s="2388"/>
      <c r="V8" s="260"/>
      <c r="W8" s="260"/>
      <c r="X8" s="214"/>
      <c r="Y8" s="301"/>
      <c r="Z8" s="301"/>
      <c r="AA8" s="301"/>
      <c r="AB8" s="301"/>
      <c r="AC8" s="301"/>
      <c r="AD8" s="351">
        <v>46</v>
      </c>
    </row>
    <row r="9" spans="1:30" s="1609" customFormat="1" ht="24" customHeight="1">
      <c r="A9" s="1156"/>
      <c r="B9" s="1156"/>
      <c r="C9" s="1156"/>
      <c r="D9" s="1156"/>
      <c r="E9" s="1156"/>
      <c r="F9" s="1156"/>
      <c r="G9" s="1156"/>
      <c r="H9" s="1156"/>
      <c r="L9" s="1064"/>
      <c r="M9" s="229" t="s">
        <v>507</v>
      </c>
      <c r="N9" s="238"/>
      <c r="O9" s="2388" t="str">
        <f>IF(TITLE_DATE_CHANGE_PERIOD="",IF(TITLE_DATE_PR="","",TITLE_DATE_PR),TITLE_DATE_CHANGE_PERIOD)</f>
        <v/>
      </c>
      <c r="P9" s="2388"/>
      <c r="Q9" s="2388"/>
      <c r="R9" s="2388"/>
      <c r="S9" s="2388"/>
      <c r="T9" s="2388"/>
      <c r="U9" s="2388"/>
      <c r="V9" s="260"/>
      <c r="W9" s="260"/>
      <c r="X9" s="214"/>
      <c r="Y9" s="301"/>
      <c r="Z9" s="301"/>
      <c r="AA9" s="301"/>
      <c r="AB9" s="301"/>
      <c r="AC9" s="301"/>
      <c r="AD9" s="351">
        <v>23</v>
      </c>
    </row>
    <row r="10" spans="1:30" s="1609" customFormat="1" ht="24" customHeight="1">
      <c r="A10" s="1156"/>
      <c r="B10" s="1156"/>
      <c r="C10" s="1156"/>
      <c r="D10" s="1156"/>
      <c r="E10" s="1156"/>
      <c r="F10" s="1156"/>
      <c r="G10" s="1156"/>
      <c r="H10" s="1156"/>
      <c r="L10" s="1038"/>
      <c r="M10" s="229" t="s">
        <v>508</v>
      </c>
      <c r="N10" s="238"/>
      <c r="O10" s="2388" t="str">
        <f>IF(TITLE_NUMBER_PR_CHANGE="",IF(TITLE_NUMBER_PR="","",TITLE_NUMBER_PR),TITLE_NUMBER_PR_CHANGE)</f>
        <v/>
      </c>
      <c r="P10" s="2388"/>
      <c r="Q10" s="2388"/>
      <c r="R10" s="2388"/>
      <c r="S10" s="2388"/>
      <c r="T10" s="2388"/>
      <c r="U10" s="2388"/>
      <c r="V10" s="260"/>
      <c r="W10" s="260"/>
      <c r="X10" s="214"/>
      <c r="Y10" s="301"/>
      <c r="Z10" s="301"/>
      <c r="AA10" s="301"/>
      <c r="AB10" s="301"/>
      <c r="AC10" s="301"/>
      <c r="AD10" s="351">
        <v>23</v>
      </c>
    </row>
    <row r="11" spans="1:30" s="1609" customFormat="1" ht="24" customHeight="1">
      <c r="A11" s="1156"/>
      <c r="B11" s="1156"/>
      <c r="C11" s="1156"/>
      <c r="D11" s="1156"/>
      <c r="E11" s="1156"/>
      <c r="F11" s="1156"/>
      <c r="G11" s="1156"/>
      <c r="H11" s="1156"/>
      <c r="L11" s="1038"/>
      <c r="M11" s="229" t="s">
        <v>29</v>
      </c>
      <c r="N11" s="238"/>
      <c r="O11" s="2388" t="str">
        <f>IF(TITLE_IST_PUB_CHANGE="",IF(TITLE_IST_PUB="","",TITLE_IST_PUB),TITLE_IST_PUB_CHANGE)</f>
        <v/>
      </c>
      <c r="P11" s="2388"/>
      <c r="Q11" s="2388"/>
      <c r="R11" s="2388"/>
      <c r="S11" s="2388"/>
      <c r="T11" s="2388"/>
      <c r="U11" s="2388"/>
      <c r="V11" s="260"/>
      <c r="W11" s="260"/>
      <c r="X11" s="214"/>
      <c r="Y11" s="301"/>
      <c r="Z11" s="301"/>
      <c r="AA11" s="301"/>
      <c r="AB11" s="301"/>
      <c r="AC11" s="301"/>
      <c r="AD11" s="351">
        <v>23</v>
      </c>
    </row>
    <row r="12" spans="1:30" s="1609" customFormat="1" ht="11.25" hidden="1" customHeight="1">
      <c r="A12" s="1156"/>
      <c r="B12" s="1156"/>
      <c r="C12" s="1156"/>
      <c r="D12" s="1156"/>
      <c r="E12" s="1156"/>
      <c r="F12" s="1156"/>
      <c r="G12" s="1156"/>
      <c r="H12" s="1156"/>
      <c r="L12" s="2645"/>
      <c r="M12" s="2645"/>
      <c r="N12" s="1075"/>
      <c r="O12" s="260"/>
      <c r="P12" s="260"/>
      <c r="Q12" s="260"/>
      <c r="R12" s="260"/>
      <c r="S12" s="260"/>
      <c r="T12" s="260"/>
      <c r="U12" s="260"/>
      <c r="V12" s="212" t="s">
        <v>511</v>
      </c>
      <c r="Y12" s="301"/>
      <c r="Z12" s="301"/>
      <c r="AA12" s="301"/>
      <c r="AB12" s="301"/>
      <c r="AC12" s="301"/>
      <c r="AD12" s="351">
        <v>0</v>
      </c>
    </row>
    <row r="13" spans="1:30" ht="14.65" customHeight="1">
      <c r="J13" s="309"/>
      <c r="K13" s="309"/>
      <c r="L13" s="1063"/>
      <c r="M13" s="296"/>
      <c r="N13" s="1032"/>
      <c r="O13" s="2407"/>
      <c r="P13" s="2407"/>
      <c r="Q13" s="2407"/>
      <c r="R13" s="2407"/>
      <c r="S13" s="2407"/>
      <c r="T13" s="2407"/>
      <c r="U13" s="2407"/>
      <c r="V13" s="2407"/>
      <c r="AD13" s="956">
        <v>14</v>
      </c>
    </row>
    <row r="14" spans="1:30" ht="14.65" customHeight="1">
      <c r="J14" s="309"/>
      <c r="K14" s="309"/>
      <c r="L14" s="2266" t="s">
        <v>384</v>
      </c>
      <c r="M14" s="2266"/>
      <c r="N14" s="2266"/>
      <c r="O14" s="2266"/>
      <c r="P14" s="2266"/>
      <c r="Q14" s="2266"/>
      <c r="R14" s="2266"/>
      <c r="S14" s="2266"/>
      <c r="T14" s="2266"/>
      <c r="U14" s="2266"/>
      <c r="V14" s="2266"/>
      <c r="W14" s="2266"/>
      <c r="X14" s="2266" t="s">
        <v>385</v>
      </c>
      <c r="AD14" s="956">
        <v>14</v>
      </c>
    </row>
    <row r="15" spans="1:30" ht="14.65" customHeight="1">
      <c r="J15" s="309"/>
      <c r="K15" s="309"/>
      <c r="L15" s="2408" t="s">
        <v>75</v>
      </c>
      <c r="M15" s="2357" t="s">
        <v>512</v>
      </c>
      <c r="N15" s="235"/>
      <c r="O15" s="2409" t="s">
        <v>2277</v>
      </c>
      <c r="P15" s="2410"/>
      <c r="Q15" s="2410"/>
      <c r="R15" s="2410"/>
      <c r="S15" s="2410"/>
      <c r="T15" s="2410"/>
      <c r="U15" s="2411"/>
      <c r="V15" s="2412" t="s">
        <v>514</v>
      </c>
      <c r="W15" s="2415" t="s">
        <v>1226</v>
      </c>
      <c r="X15" s="2266"/>
      <c r="AD15" s="956">
        <v>14</v>
      </c>
    </row>
    <row r="16" spans="1:30" ht="35.65" customHeight="1">
      <c r="J16" s="309"/>
      <c r="K16" s="309"/>
      <c r="L16" s="2408"/>
      <c r="M16" s="2357"/>
      <c r="N16" s="874"/>
      <c r="O16" s="2327" t="s">
        <v>517</v>
      </c>
      <c r="P16" s="2327" t="s">
        <v>518</v>
      </c>
      <c r="Q16" s="2247" t="s">
        <v>519</v>
      </c>
      <c r="R16" s="2246"/>
      <c r="S16" s="2247" t="s">
        <v>533</v>
      </c>
      <c r="T16" s="2252"/>
      <c r="U16" s="2246"/>
      <c r="V16" s="2413"/>
      <c r="W16" s="2416"/>
      <c r="X16" s="2266"/>
      <c r="AD16" s="956">
        <v>34</v>
      </c>
    </row>
    <row r="17" spans="1:30" ht="35.65" customHeight="1">
      <c r="A17" s="1158" t="s">
        <v>225</v>
      </c>
      <c r="B17" s="1158" t="s">
        <v>226</v>
      </c>
      <c r="C17" s="1158" t="s">
        <v>227</v>
      </c>
      <c r="D17" s="1158" t="s">
        <v>228</v>
      </c>
      <c r="E17" s="1158"/>
      <c r="J17" s="309"/>
      <c r="K17" s="309"/>
      <c r="L17" s="2408"/>
      <c r="M17" s="2357"/>
      <c r="N17" s="236"/>
      <c r="O17" s="2381"/>
      <c r="P17" s="2381"/>
      <c r="Q17" s="1010" t="s">
        <v>528</v>
      </c>
      <c r="R17" s="1010" t="s">
        <v>529</v>
      </c>
      <c r="S17" s="1080" t="s">
        <v>530</v>
      </c>
      <c r="T17" s="2362" t="s">
        <v>531</v>
      </c>
      <c r="U17" s="2375"/>
      <c r="V17" s="2414"/>
      <c r="W17" s="2417"/>
      <c r="X17" s="2266"/>
      <c r="AD17" s="956">
        <v>34</v>
      </c>
    </row>
    <row r="18" spans="1:30" s="1429" customFormat="1" ht="11.45" customHeight="1">
      <c r="A18" s="1158"/>
      <c r="B18" s="1158"/>
      <c r="C18" s="1158"/>
      <c r="D18" s="1158"/>
      <c r="E18" s="1158"/>
      <c r="F18" s="1150"/>
      <c r="G18" s="1150"/>
      <c r="H18" s="1150"/>
      <c r="I18" s="1034"/>
      <c r="J18" s="1035"/>
      <c r="K18" s="1042">
        <v>1</v>
      </c>
      <c r="L18" s="1065" t="s">
        <v>161</v>
      </c>
      <c r="M18" s="1043" t="s">
        <v>89</v>
      </c>
      <c r="N18" s="1033" t="str">
        <f ca="1">OFFSET(N18,0,-1)</f>
        <v>2</v>
      </c>
      <c r="O18" s="1077">
        <f ca="1">OFFSET(O18,0,-1)+1</f>
        <v>3</v>
      </c>
      <c r="P18" s="1077"/>
      <c r="Q18" s="1077">
        <f ca="1">OFFSET(Q18,0,-1)+1</f>
        <v>1</v>
      </c>
      <c r="R18" s="1077">
        <f ca="1">OFFSET(R18,0,-1)+1</f>
        <v>2</v>
      </c>
      <c r="S18" s="1077">
        <f ca="1">OFFSET(S18,0,-1)+1</f>
        <v>3</v>
      </c>
      <c r="T18" s="2406">
        <f ca="1">OFFSET(T18,0,-1)+1</f>
        <v>4</v>
      </c>
      <c r="U18" s="2406"/>
      <c r="V18" s="1077">
        <f ca="1">OFFSET(V18,0,-2)+1</f>
        <v>5</v>
      </c>
      <c r="W18" s="1033">
        <f ca="1">OFFSET(W18,0,-1)</f>
        <v>5</v>
      </c>
      <c r="X18" s="1077">
        <f ca="1">OFFSET(X18,0,-1)+1</f>
        <v>6</v>
      </c>
      <c r="Y18" s="444"/>
      <c r="Z18" s="444"/>
      <c r="AA18" s="444"/>
      <c r="AB18" s="444"/>
      <c r="AC18" s="444"/>
      <c r="AD18" s="429">
        <v>11</v>
      </c>
    </row>
    <row r="19" spans="1:30" ht="21" customHeight="1">
      <c r="A19" s="1151" t="s">
        <v>254</v>
      </c>
      <c r="B19" s="1151" t="s">
        <v>255</v>
      </c>
      <c r="C19" s="1151" t="s">
        <v>256</v>
      </c>
      <c r="D19" s="1151" t="s">
        <v>257</v>
      </c>
      <c r="E19" s="1151"/>
      <c r="F19" s="1153"/>
      <c r="G19" s="1153"/>
      <c r="H19" s="1153"/>
      <c r="I19" s="294"/>
      <c r="J19" s="293"/>
      <c r="K19" s="288"/>
      <c r="L19" s="1081">
        <f>INDEX(PT_DIFFERENTIATION_NUM_NTAR,MATCH(A19,PT_DIFFERENTIATION_NTAR_ID,0))</f>
        <v>0</v>
      </c>
      <c r="M19" s="232" t="s">
        <v>214</v>
      </c>
      <c r="N19" s="234"/>
      <c r="O19" s="2644" t="str">
        <f>INDEX(PT_DIFFERENTIATION_NTAR,MATCH(A19,PT_DIFFERENTIATION_NTAR_ID,0))</f>
        <v/>
      </c>
      <c r="P19" s="2644"/>
      <c r="Q19" s="2644"/>
      <c r="R19" s="2644"/>
      <c r="S19" s="2644"/>
      <c r="T19" s="2644"/>
      <c r="U19" s="2644"/>
      <c r="V19" s="2644"/>
      <c r="W19" s="2644"/>
      <c r="X19" s="1046" t="s">
        <v>480</v>
      </c>
      <c r="Z19" s="433"/>
      <c r="AA19" s="433" t="str">
        <f t="shared" ref="AA19:AA32" si="0">IF(M19="","",M19)</f>
        <v>Наименование тарифа</v>
      </c>
      <c r="AB19" s="433"/>
      <c r="AC19" s="433"/>
      <c r="AD19" s="956">
        <v>20</v>
      </c>
    </row>
    <row r="20" spans="1:30" ht="21" customHeight="1">
      <c r="A20" s="1151" t="s">
        <v>254</v>
      </c>
      <c r="B20" s="1151" t="s">
        <v>255</v>
      </c>
      <c r="C20" s="1151" t="s">
        <v>256</v>
      </c>
      <c r="D20" s="1151" t="s">
        <v>257</v>
      </c>
      <c r="E20" s="1151"/>
      <c r="F20" s="1153"/>
      <c r="G20" s="1153"/>
      <c r="H20" s="1153"/>
      <c r="I20" s="1078"/>
      <c r="J20" s="285"/>
      <c r="K20" s="286"/>
      <c r="L20" s="1081" t="str">
        <f>INDEX(PT_DIFFERENTIATION_NUM_TER,MATCH(B19,PT_DIFFERENTIATION_TER_ID,0))</f>
        <v>.</v>
      </c>
      <c r="M20" s="242" t="s">
        <v>481</v>
      </c>
      <c r="N20" s="234"/>
      <c r="O20" s="2644" t="str">
        <f>INDEX(PT_DIFFERENTIATION_TER,MATCH(B19,PT_DIFFERENTIATION_TER_ID,0))</f>
        <v/>
      </c>
      <c r="P20" s="2644"/>
      <c r="Q20" s="2644"/>
      <c r="R20" s="2644"/>
      <c r="S20" s="2644"/>
      <c r="T20" s="2644"/>
      <c r="U20" s="2644"/>
      <c r="V20" s="2644"/>
      <c r="W20" s="2644"/>
      <c r="X20" s="1046" t="s">
        <v>482</v>
      </c>
      <c r="Z20" s="433"/>
      <c r="AA20" s="433" t="str">
        <f t="shared" si="0"/>
        <v>Территория действия тарифа</v>
      </c>
      <c r="AB20" s="433"/>
      <c r="AC20" s="433"/>
      <c r="AD20" s="956">
        <v>20</v>
      </c>
    </row>
    <row r="21" spans="1:30" ht="24" customHeight="1">
      <c r="A21" s="1151" t="s">
        <v>254</v>
      </c>
      <c r="B21" s="1151" t="s">
        <v>255</v>
      </c>
      <c r="C21" s="1151" t="s">
        <v>256</v>
      </c>
      <c r="D21" s="1151" t="s">
        <v>257</v>
      </c>
      <c r="E21" s="1151"/>
      <c r="F21" s="1153"/>
      <c r="G21" s="1153"/>
      <c r="H21" s="1153"/>
      <c r="I21" s="287"/>
      <c r="J21" s="285"/>
      <c r="K21" s="286"/>
      <c r="L21" s="1081" t="str">
        <f>INDEX(PT_DIFFERENTIATION_NUM_CS,MATCH(C19,PT_DIFFERENTIATION_CS_ID,0))</f>
        <v>..</v>
      </c>
      <c r="M21" s="243" t="s">
        <v>483</v>
      </c>
      <c r="N21" s="234"/>
      <c r="O21" s="2644" t="str">
        <f>INDEX(PT_DIFFERENTIATION_CS,MATCH(C19,PT_DIFFERENTIATION_CS_ID,0))</f>
        <v/>
      </c>
      <c r="P21" s="2644"/>
      <c r="Q21" s="2644"/>
      <c r="R21" s="2644"/>
      <c r="S21" s="2644"/>
      <c r="T21" s="2644"/>
      <c r="U21" s="2644"/>
      <c r="V21" s="2644"/>
      <c r="W21" s="2644"/>
      <c r="X21" s="1046" t="s">
        <v>484</v>
      </c>
      <c r="Z21" s="433"/>
      <c r="AA21" s="433" t="str">
        <f t="shared" si="0"/>
        <v xml:space="preserve">Наименование системы теплоснабжения </v>
      </c>
      <c r="AB21" s="433"/>
      <c r="AC21" s="433"/>
      <c r="AD21" s="956">
        <v>23</v>
      </c>
    </row>
    <row r="22" spans="1:30" ht="21" customHeight="1">
      <c r="A22" s="1151" t="s">
        <v>254</v>
      </c>
      <c r="B22" s="1151" t="s">
        <v>255</v>
      </c>
      <c r="C22" s="1151" t="s">
        <v>256</v>
      </c>
      <c r="D22" s="1151" t="s">
        <v>257</v>
      </c>
      <c r="E22" s="1151"/>
      <c r="F22" s="1153"/>
      <c r="G22" s="1153"/>
      <c r="H22" s="1153"/>
      <c r="I22" s="287"/>
      <c r="J22" s="285"/>
      <c r="K22" s="286"/>
      <c r="L22" s="1081" t="str">
        <f>INDEX(PT_DIFFERENTIATION_NUM_IST_TE,MATCH(D19,PT_DIFFERENTIATION_IST_TE_ID,0))</f>
        <v>...</v>
      </c>
      <c r="M22" s="244" t="s">
        <v>485</v>
      </c>
      <c r="N22" s="234"/>
      <c r="O22" s="2644" t="str">
        <f>INDEX(PT_DIFFERENTIATION_IST_TE,MATCH(D19,PT_DIFFERENTIATION_IST_TE_ID,0))</f>
        <v/>
      </c>
      <c r="P22" s="2644"/>
      <c r="Q22" s="2644"/>
      <c r="R22" s="2644"/>
      <c r="S22" s="2644"/>
      <c r="T22" s="2644"/>
      <c r="U22" s="2644"/>
      <c r="V22" s="2644"/>
      <c r="W22" s="2644"/>
      <c r="X22" s="1046" t="s">
        <v>486</v>
      </c>
      <c r="Z22" s="433"/>
      <c r="AA22" s="433" t="str">
        <f t="shared" si="0"/>
        <v xml:space="preserve">Источник тепловой энергии  </v>
      </c>
      <c r="AB22" s="433"/>
      <c r="AC22" s="433"/>
      <c r="AD22" s="956">
        <v>20</v>
      </c>
    </row>
    <row r="23" spans="1:30" ht="96.75" customHeight="1">
      <c r="A23" s="1151" t="s">
        <v>254</v>
      </c>
      <c r="B23" s="1151" t="s">
        <v>255</v>
      </c>
      <c r="C23" s="1151" t="s">
        <v>256</v>
      </c>
      <c r="D23" s="1151" t="s">
        <v>257</v>
      </c>
      <c r="E23" s="1151"/>
      <c r="F23" s="2254" t="str">
        <f>L22&amp;".1"</f>
        <v>....1</v>
      </c>
      <c r="I23" s="2399">
        <v>1</v>
      </c>
      <c r="J23" s="1079"/>
      <c r="K23" s="289"/>
      <c r="L23" s="1081" t="str">
        <f>$F$23</f>
        <v>....1</v>
      </c>
      <c r="M23" s="219" t="s">
        <v>488</v>
      </c>
      <c r="N23" s="234"/>
      <c r="O23" s="2429"/>
      <c r="P23" s="2429"/>
      <c r="Q23" s="2429"/>
      <c r="R23" s="2429"/>
      <c r="S23" s="2429"/>
      <c r="T23" s="2429"/>
      <c r="U23" s="2429"/>
      <c r="V23" s="2429"/>
      <c r="W23" s="2429"/>
      <c r="X23" s="1046" t="s">
        <v>489</v>
      </c>
      <c r="Z23" s="433"/>
      <c r="AA23" s="433" t="str">
        <f t="shared" si="0"/>
        <v>Схема подключения теплопотребляющей установки к коллектору источника тепловой энергии</v>
      </c>
      <c r="AB23" s="433"/>
      <c r="AC23" s="433"/>
      <c r="AD23" s="956">
        <v>92</v>
      </c>
    </row>
    <row r="24" spans="1:30" ht="86.25" customHeight="1">
      <c r="A24" s="1151" t="s">
        <v>254</v>
      </c>
      <c r="B24" s="1151" t="s">
        <v>255</v>
      </c>
      <c r="C24" s="1151" t="s">
        <v>256</v>
      </c>
      <c r="D24" s="1151" t="s">
        <v>257</v>
      </c>
      <c r="E24" s="1151"/>
      <c r="F24" s="2254"/>
      <c r="G24" s="2254" t="str">
        <f>F23&amp;".1"</f>
        <v>....1.1</v>
      </c>
      <c r="I24" s="2399"/>
      <c r="J24" s="2399">
        <v>1</v>
      </c>
      <c r="K24" s="290"/>
      <c r="L24" s="1081" t="str">
        <f>$G$24</f>
        <v>....1.1</v>
      </c>
      <c r="M24" s="220" t="s">
        <v>491</v>
      </c>
      <c r="N24" s="234"/>
      <c r="O24" s="2383"/>
      <c r="P24" s="2384"/>
      <c r="Q24" s="2384"/>
      <c r="R24" s="2384"/>
      <c r="S24" s="2384"/>
      <c r="T24" s="2384"/>
      <c r="U24" s="2384"/>
      <c r="V24" s="2384"/>
      <c r="W24" s="2385"/>
      <c r="X24" s="1046" t="s">
        <v>492</v>
      </c>
      <c r="Z24" s="433"/>
      <c r="AA24" s="433" t="str">
        <f t="shared" si="0"/>
        <v>Группа потребителей</v>
      </c>
      <c r="AB24" s="433"/>
      <c r="AC24" s="433"/>
      <c r="AD24" s="956">
        <v>82</v>
      </c>
    </row>
    <row r="25" spans="1:30" ht="11.45" customHeight="1">
      <c r="A25" s="1151" t="s">
        <v>254</v>
      </c>
      <c r="B25" s="1151" t="s">
        <v>255</v>
      </c>
      <c r="C25" s="1151" t="s">
        <v>256</v>
      </c>
      <c r="D25" s="1151" t="s">
        <v>257</v>
      </c>
      <c r="E25" s="1151"/>
      <c r="F25" s="2254"/>
      <c r="G25" s="2254"/>
      <c r="H25" s="2254" t="str">
        <f>G24&amp;".1"</f>
        <v>....1.1.1</v>
      </c>
      <c r="I25" s="2399"/>
      <c r="J25" s="2399"/>
      <c r="K25" s="290">
        <v>1</v>
      </c>
      <c r="L25" s="1081" t="str">
        <f>$H$25</f>
        <v>....1.1.1</v>
      </c>
      <c r="M25" s="1135"/>
      <c r="N25" s="234"/>
      <c r="O25" s="658"/>
      <c r="P25" s="259"/>
      <c r="Q25" s="658"/>
      <c r="R25" s="1045"/>
      <c r="S25" s="2400"/>
      <c r="T25" s="2276" t="s">
        <v>52</v>
      </c>
      <c r="U25" s="2400"/>
      <c r="V25" s="2276" t="s">
        <v>6</v>
      </c>
      <c r="W25" s="259"/>
      <c r="X25" s="2418" t="s">
        <v>494</v>
      </c>
      <c r="Y25" s="444" t="e">
        <f ca="1">STRCHECKDATE(O26:W26)</f>
        <v>#NAME?</v>
      </c>
      <c r="Z25" s="433"/>
      <c r="AA25" s="433" t="str">
        <f t="shared" si="0"/>
        <v/>
      </c>
      <c r="AB25" s="433"/>
      <c r="AC25" s="433"/>
      <c r="AD25" s="956">
        <v>11</v>
      </c>
    </row>
    <row r="26" spans="1:30" ht="11.45" customHeight="1">
      <c r="A26" s="1151" t="s">
        <v>254</v>
      </c>
      <c r="B26" s="1151" t="s">
        <v>255</v>
      </c>
      <c r="C26" s="1151" t="s">
        <v>256</v>
      </c>
      <c r="D26" s="1151" t="s">
        <v>257</v>
      </c>
      <c r="E26" s="1151"/>
      <c r="F26" s="2254"/>
      <c r="G26" s="2254"/>
      <c r="H26" s="2254"/>
      <c r="I26" s="2399"/>
      <c r="J26" s="2399"/>
      <c r="K26" s="290"/>
      <c r="L26" s="1082"/>
      <c r="M26" s="234"/>
      <c r="N26" s="234"/>
      <c r="O26" s="259"/>
      <c r="P26" s="259"/>
      <c r="Q26" s="259"/>
      <c r="R26" s="262" t="str">
        <f>S25&amp;"-"&amp;U25</f>
        <v>-</v>
      </c>
      <c r="S26" s="2401"/>
      <c r="T26" s="2276"/>
      <c r="U26" s="2401"/>
      <c r="V26" s="2276"/>
      <c r="W26" s="259"/>
      <c r="X26" s="2419"/>
      <c r="Z26" s="433"/>
      <c r="AA26" s="433" t="str">
        <f t="shared" si="0"/>
        <v/>
      </c>
      <c r="AB26" s="433"/>
      <c r="AC26" s="433"/>
      <c r="AD26" s="956">
        <v>11</v>
      </c>
    </row>
    <row r="27" spans="1:30" ht="15.75" customHeight="1">
      <c r="A27" s="1151" t="s">
        <v>254</v>
      </c>
      <c r="B27" s="1151" t="s">
        <v>255</v>
      </c>
      <c r="C27" s="1151" t="s">
        <v>256</v>
      </c>
      <c r="D27" s="1151" t="s">
        <v>257</v>
      </c>
      <c r="E27" s="1151"/>
      <c r="F27" s="2254"/>
      <c r="G27" s="2254"/>
      <c r="I27" s="2399"/>
      <c r="J27" s="2399"/>
      <c r="K27" s="289"/>
      <c r="L27" s="1066"/>
      <c r="M27" s="222" t="s">
        <v>495</v>
      </c>
      <c r="N27" s="300"/>
      <c r="O27" s="300"/>
      <c r="P27" s="300"/>
      <c r="Q27" s="300"/>
      <c r="R27" s="300"/>
      <c r="S27" s="300"/>
      <c r="T27" s="300"/>
      <c r="U27" s="300"/>
      <c r="V27" s="300"/>
      <c r="W27" s="258"/>
      <c r="X27" s="2420"/>
      <c r="Z27" s="433"/>
      <c r="AA27" s="433" t="str">
        <f t="shared" si="0"/>
        <v>Добавить вид теплоносителя (параметры теплоносителя)</v>
      </c>
      <c r="AB27" s="433"/>
      <c r="AC27" s="433"/>
      <c r="AD27" s="956">
        <v>15</v>
      </c>
    </row>
    <row r="28" spans="1:30" ht="15.75" customHeight="1">
      <c r="A28" s="1151" t="s">
        <v>254</v>
      </c>
      <c r="B28" s="1151" t="s">
        <v>255</v>
      </c>
      <c r="C28" s="1151" t="s">
        <v>256</v>
      </c>
      <c r="D28" s="1151" t="s">
        <v>257</v>
      </c>
      <c r="E28" s="1151"/>
      <c r="F28" s="2254"/>
      <c r="I28" s="2399"/>
      <c r="J28" s="1079"/>
      <c r="K28" s="289"/>
      <c r="L28" s="1066"/>
      <c r="M28" s="221" t="s">
        <v>496</v>
      </c>
      <c r="N28" s="300"/>
      <c r="O28" s="300"/>
      <c r="P28" s="300"/>
      <c r="Q28" s="300"/>
      <c r="R28" s="300"/>
      <c r="S28" s="300"/>
      <c r="T28" s="300"/>
      <c r="U28" s="300"/>
      <c r="V28" s="299"/>
      <c r="W28" s="300"/>
      <c r="X28" s="237"/>
      <c r="Z28" s="433"/>
      <c r="AA28" s="433" t="str">
        <f t="shared" si="0"/>
        <v>Добавить группу потребителей</v>
      </c>
      <c r="AB28" s="433"/>
      <c r="AC28" s="433"/>
      <c r="AD28" s="956">
        <v>15</v>
      </c>
    </row>
    <row r="29" spans="1:30" ht="14.65" customHeight="1">
      <c r="A29" s="1151" t="s">
        <v>254</v>
      </c>
      <c r="B29" s="1151" t="s">
        <v>255</v>
      </c>
      <c r="C29" s="1151" t="s">
        <v>256</v>
      </c>
      <c r="D29" s="1151" t="s">
        <v>257</v>
      </c>
      <c r="E29" s="1151"/>
      <c r="F29" s="1153"/>
      <c r="G29" s="1153"/>
      <c r="H29" s="469"/>
      <c r="I29" s="293"/>
      <c r="J29" s="308"/>
      <c r="K29" s="288"/>
      <c r="L29" s="1066"/>
      <c r="M29" s="298" t="s">
        <v>497</v>
      </c>
      <c r="N29" s="300"/>
      <c r="O29" s="300"/>
      <c r="P29" s="300"/>
      <c r="Q29" s="300"/>
      <c r="R29" s="300"/>
      <c r="S29" s="300"/>
      <c r="T29" s="300"/>
      <c r="U29" s="300"/>
      <c r="V29" s="299"/>
      <c r="W29" s="300"/>
      <c r="X29" s="237"/>
      <c r="Z29" s="433"/>
      <c r="AA29" s="433" t="str">
        <f t="shared" si="0"/>
        <v>Добавить схему подключения</v>
      </c>
      <c r="AB29" s="433"/>
      <c r="AC29" s="433"/>
      <c r="AD29" s="956">
        <v>14</v>
      </c>
    </row>
    <row r="30" spans="1:30" ht="14.65" customHeight="1">
      <c r="A30" s="1151" t="s">
        <v>254</v>
      </c>
      <c r="B30" s="1151" t="s">
        <v>255</v>
      </c>
      <c r="C30" s="1151" t="s">
        <v>256</v>
      </c>
      <c r="D30" s="1151"/>
      <c r="E30" s="1151" t="s">
        <v>682</v>
      </c>
      <c r="F30" s="1153"/>
      <c r="G30" s="1153"/>
      <c r="H30" s="469"/>
      <c r="I30" s="293"/>
      <c r="J30" s="308"/>
      <c r="K30" s="288"/>
      <c r="L30" s="1067"/>
      <c r="M30" s="1056"/>
      <c r="N30" s="1057"/>
      <c r="O30" s="1057"/>
      <c r="P30" s="1057"/>
      <c r="Q30" s="1057"/>
      <c r="R30" s="1057"/>
      <c r="S30" s="1057"/>
      <c r="T30" s="1057"/>
      <c r="U30" s="1057"/>
      <c r="V30" s="1058"/>
      <c r="W30" s="1057"/>
      <c r="X30" s="1059"/>
      <c r="Z30" s="433"/>
      <c r="AA30" s="433" t="str">
        <f t="shared" si="0"/>
        <v/>
      </c>
      <c r="AB30" s="433"/>
      <c r="AC30" s="433"/>
      <c r="AD30" s="956">
        <v>14</v>
      </c>
    </row>
    <row r="31" spans="1:30" ht="14.65" customHeight="1">
      <c r="A31" s="1151" t="s">
        <v>254</v>
      </c>
      <c r="B31" s="1151" t="s">
        <v>255</v>
      </c>
      <c r="C31" s="1151"/>
      <c r="D31" s="1151"/>
      <c r="E31" s="1151" t="s">
        <v>2278</v>
      </c>
      <c r="F31" s="1305"/>
      <c r="G31" s="1305"/>
      <c r="H31" s="469"/>
      <c r="I31" s="291"/>
      <c r="J31" s="308"/>
      <c r="K31" s="292"/>
      <c r="L31" s="1067"/>
      <c r="M31" s="1060"/>
      <c r="N31" s="1057"/>
      <c r="O31" s="1057"/>
      <c r="P31" s="1057"/>
      <c r="Q31" s="1057"/>
      <c r="R31" s="1057"/>
      <c r="S31" s="1057"/>
      <c r="T31" s="1057"/>
      <c r="U31" s="1057"/>
      <c r="V31" s="1058"/>
      <c r="W31" s="1057"/>
      <c r="X31" s="1059"/>
      <c r="Z31" s="433"/>
      <c r="AA31" s="433" t="str">
        <f t="shared" si="0"/>
        <v/>
      </c>
      <c r="AB31" s="433"/>
      <c r="AC31" s="433"/>
      <c r="AD31" s="956">
        <v>14</v>
      </c>
    </row>
    <row r="32" spans="1:30" ht="14.65" customHeight="1">
      <c r="A32" s="1151" t="s">
        <v>2279</v>
      </c>
      <c r="B32" s="1151"/>
      <c r="C32" s="1151"/>
      <c r="D32" s="1151"/>
      <c r="E32" s="1151" t="s">
        <v>156</v>
      </c>
      <c r="F32" s="1305"/>
      <c r="G32" s="1305"/>
      <c r="H32" s="469"/>
      <c r="I32" s="293"/>
      <c r="J32" s="308"/>
      <c r="K32" s="288"/>
      <c r="L32" s="1067"/>
      <c r="M32" s="1061"/>
      <c r="N32" s="1057"/>
      <c r="O32" s="1057"/>
      <c r="P32" s="1057"/>
      <c r="Q32" s="1057"/>
      <c r="R32" s="1057"/>
      <c r="S32" s="1057"/>
      <c r="T32" s="1057"/>
      <c r="U32" s="1057"/>
      <c r="V32" s="1058"/>
      <c r="W32" s="1057"/>
      <c r="X32" s="1059"/>
      <c r="Z32" s="433"/>
      <c r="AA32" s="433" t="str">
        <f t="shared" si="0"/>
        <v/>
      </c>
      <c r="AB32" s="433"/>
      <c r="AC32" s="433"/>
      <c r="AD32" s="956">
        <v>14</v>
      </c>
    </row>
    <row r="33" spans="1:30" s="1606" customFormat="1" ht="11.45" customHeight="1">
      <c r="A33" s="1151"/>
      <c r="B33" s="1151"/>
      <c r="C33" s="1151"/>
      <c r="D33" s="1151"/>
      <c r="E33" s="1151" t="s">
        <v>532</v>
      </c>
      <c r="F33" s="1306"/>
      <c r="G33" s="1307"/>
      <c r="H33" s="469"/>
      <c r="L33" s="1068"/>
      <c r="M33" s="1062"/>
      <c r="N33" s="1057"/>
      <c r="O33" s="1057"/>
      <c r="P33" s="1057"/>
      <c r="Q33" s="1057"/>
      <c r="R33" s="1057"/>
      <c r="S33" s="1057"/>
      <c r="T33" s="1057"/>
      <c r="U33" s="1057"/>
      <c r="V33" s="1058"/>
      <c r="W33" s="1057"/>
      <c r="X33" s="1059"/>
      <c r="Y33" s="312"/>
      <c r="Z33" s="312"/>
      <c r="AA33" s="312"/>
      <c r="AB33" s="312"/>
      <c r="AC33" s="312"/>
      <c r="AD33" s="306">
        <v>11</v>
      </c>
    </row>
    <row r="34" spans="1:30" ht="11.45" customHeight="1">
      <c r="F34" s="961"/>
      <c r="G34" s="961"/>
      <c r="H34" s="469"/>
      <c r="I34" s="956"/>
      <c r="J34" s="956"/>
      <c r="K34" s="956"/>
      <c r="Y34" s="956"/>
      <c r="Z34" s="956"/>
      <c r="AA34" s="956"/>
      <c r="AB34" s="956"/>
      <c r="AC34" s="956"/>
      <c r="AD34" s="956">
        <v>11</v>
      </c>
    </row>
    <row r="35" spans="1:30" ht="28.5" customHeight="1">
      <c r="H35" s="469"/>
      <c r="L35" s="1076" t="s">
        <v>936</v>
      </c>
      <c r="M35" s="2394" t="s">
        <v>2280</v>
      </c>
      <c r="N35" s="2394"/>
      <c r="O35" s="2394"/>
      <c r="P35" s="2394"/>
      <c r="Q35" s="2394"/>
      <c r="R35" s="2394"/>
      <c r="S35" s="2394"/>
      <c r="T35" s="2394"/>
      <c r="U35" s="2394"/>
      <c r="V35" s="2394"/>
      <c r="W35" s="2394"/>
      <c r="X35" s="2394"/>
      <c r="AD35" s="956">
        <v>27</v>
      </c>
    </row>
    <row r="36" spans="1:30" ht="109.15" customHeight="1">
      <c r="H36" s="469"/>
      <c r="I36" s="1091"/>
      <c r="M36" s="2394" t="s">
        <v>2281</v>
      </c>
      <c r="N36" s="2394"/>
      <c r="O36" s="2394"/>
      <c r="P36" s="2394"/>
      <c r="Q36" s="2394"/>
      <c r="R36" s="2394"/>
      <c r="S36" s="2394"/>
      <c r="T36" s="2394"/>
      <c r="U36" s="2394"/>
      <c r="V36" s="2394"/>
      <c r="W36" s="2394"/>
      <c r="X36" s="2394"/>
      <c r="AD36" s="956">
        <v>104</v>
      </c>
    </row>
    <row r="37" spans="1:30" ht="14.65" customHeight="1">
      <c r="H37" s="469"/>
      <c r="AD37" s="956">
        <v>14</v>
      </c>
    </row>
    <row r="38" spans="1:30" ht="14.65" customHeight="1">
      <c r="H38" s="469"/>
      <c r="AD38" s="956">
        <v>14</v>
      </c>
    </row>
    <row r="39" spans="1:30" ht="14.65" customHeight="1">
      <c r="H39" s="469"/>
      <c r="AD39" s="956">
        <v>14</v>
      </c>
    </row>
    <row r="40" spans="1:30" ht="14.65" customHeight="1">
      <c r="H40" s="469"/>
      <c r="AD40" s="956">
        <v>14</v>
      </c>
    </row>
    <row r="41" spans="1:30" ht="22.5" hidden="1" customHeight="1">
      <c r="A41" s="961" t="s">
        <v>69</v>
      </c>
      <c r="B41" s="961">
        <v>0</v>
      </c>
      <c r="C41" s="961">
        <v>0</v>
      </c>
      <c r="D41" s="961">
        <v>0</v>
      </c>
      <c r="E41" s="961">
        <v>0</v>
      </c>
      <c r="F41" s="1150">
        <v>0</v>
      </c>
      <c r="G41" s="1150">
        <v>0</v>
      </c>
      <c r="H41" s="1150">
        <v>0</v>
      </c>
      <c r="I41" s="1074">
        <v>3</v>
      </c>
      <c r="J41" s="278">
        <v>3</v>
      </c>
      <c r="K41" s="278">
        <v>3</v>
      </c>
      <c r="L41" s="512">
        <v>12</v>
      </c>
      <c r="M41" s="956">
        <v>31</v>
      </c>
      <c r="N41" s="956">
        <v>1</v>
      </c>
      <c r="O41" s="956">
        <v>24</v>
      </c>
      <c r="P41" s="956">
        <v>24</v>
      </c>
      <c r="Q41" s="956">
        <v>24</v>
      </c>
      <c r="R41" s="956">
        <v>24</v>
      </c>
      <c r="S41" s="956">
        <v>11</v>
      </c>
      <c r="T41" s="956">
        <v>3</v>
      </c>
      <c r="U41" s="956">
        <v>11</v>
      </c>
      <c r="V41" s="956">
        <v>8</v>
      </c>
      <c r="W41" s="956">
        <v>4</v>
      </c>
      <c r="X41" s="956">
        <v>115</v>
      </c>
      <c r="Y41" s="444">
        <v>10</v>
      </c>
      <c r="Z41" s="444">
        <v>10</v>
      </c>
      <c r="AA41" s="444">
        <v>10</v>
      </c>
      <c r="AB41" s="444">
        <v>10</v>
      </c>
      <c r="AC41" s="444">
        <v>10</v>
      </c>
      <c r="AD41" s="956">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473" hidden="1" customWidth="1"/>
    <col min="2" max="2" width="15" style="434" hidden="1" customWidth="1"/>
    <col min="3" max="3" width="3" style="388" customWidth="1"/>
    <col min="4" max="4" width="6" style="389" customWidth="1"/>
    <col min="5" max="5" width="52" style="388" customWidth="1"/>
    <col min="6" max="6" width="48" style="388" customWidth="1"/>
    <col min="7" max="7" width="121" style="388" customWidth="1"/>
    <col min="8" max="8" width="8" style="388" customWidth="1"/>
    <col min="9" max="9" width="64" style="388" customWidth="1"/>
    <col min="10" max="10" width="9.140625" style="388" hidden="1"/>
  </cols>
  <sheetData>
    <row r="1" spans="1:10" ht="11.25" hidden="1" customHeight="1">
      <c r="A1" s="1473" t="s">
        <v>383</v>
      </c>
      <c r="J1" s="388" t="s">
        <v>1</v>
      </c>
    </row>
    <row r="2" spans="1:10" ht="11.25" hidden="1" customHeight="1">
      <c r="J2" s="388">
        <v>0</v>
      </c>
    </row>
    <row r="3" spans="1:10" s="410" customFormat="1" ht="11.45" customHeight="1">
      <c r="A3" s="1473"/>
      <c r="B3" s="434"/>
      <c r="D3" s="411"/>
      <c r="J3" s="410">
        <v>11</v>
      </c>
    </row>
    <row r="4" spans="1:10" ht="27.4" customHeight="1">
      <c r="D4" s="231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319"/>
      <c r="F4" s="2320"/>
      <c r="I4" s="633"/>
      <c r="J4" s="388">
        <v>26</v>
      </c>
    </row>
    <row r="5" spans="1:10" ht="18" customHeight="1">
      <c r="D5" s="2349" t="str">
        <f>IF(org=0,"Не определено",org)</f>
        <v>ООО "Смоленскрегионтеплоэнерго"</v>
      </c>
      <c r="E5" s="2349"/>
      <c r="F5" s="2349"/>
      <c r="I5" s="633"/>
      <c r="J5" s="388">
        <v>17</v>
      </c>
    </row>
    <row r="6" spans="1:10" s="410" customFormat="1" ht="11.45" customHeight="1">
      <c r="A6" s="1473"/>
      <c r="B6" s="434"/>
      <c r="D6" s="632"/>
      <c r="E6" s="632"/>
      <c r="F6" s="659"/>
      <c r="G6" s="632"/>
      <c r="J6" s="410">
        <v>11</v>
      </c>
    </row>
    <row r="7" spans="1:10" ht="11.25" hidden="1" customHeight="1">
      <c r="A7" s="390"/>
      <c r="B7" s="435"/>
      <c r="C7" s="390"/>
      <c r="D7" s="396"/>
      <c r="E7" s="2355"/>
      <c r="F7" s="2355"/>
      <c r="J7" s="388">
        <v>0</v>
      </c>
    </row>
    <row r="8" spans="1:10" ht="11.45" customHeight="1">
      <c r="A8" s="390"/>
      <c r="B8" s="435"/>
      <c r="C8" s="390"/>
      <c r="D8" s="2352" t="s">
        <v>384</v>
      </c>
      <c r="E8" s="2353"/>
      <c r="F8" s="2353"/>
      <c r="G8" s="2356" t="s">
        <v>385</v>
      </c>
      <c r="J8" s="388">
        <v>11</v>
      </c>
    </row>
    <row r="9" spans="1:10" ht="11.45" customHeight="1">
      <c r="A9" s="390"/>
      <c r="B9" s="435"/>
      <c r="C9" s="390"/>
      <c r="D9" s="405" t="s">
        <v>75</v>
      </c>
      <c r="E9" s="379" t="s">
        <v>386</v>
      </c>
      <c r="F9" s="379" t="s">
        <v>387</v>
      </c>
      <c r="G9" s="2357"/>
      <c r="J9" s="388">
        <v>11</v>
      </c>
    </row>
    <row r="10" spans="1:10" ht="12" hidden="1" customHeight="1">
      <c r="A10" s="390"/>
      <c r="B10" s="435"/>
      <c r="C10" s="390"/>
      <c r="D10" s="397"/>
      <c r="E10" s="397"/>
      <c r="F10" s="397"/>
      <c r="G10" s="397"/>
      <c r="J10" s="388">
        <v>0</v>
      </c>
    </row>
    <row r="11" spans="1:10" ht="22.5" hidden="1" customHeight="1">
      <c r="A11" s="390"/>
      <c r="B11" s="435"/>
      <c r="C11" s="390"/>
      <c r="D11" s="861" t="s">
        <v>161</v>
      </c>
      <c r="E11" s="864" t="s">
        <v>388</v>
      </c>
      <c r="F11" s="863" t="str">
        <f>IF(region_name="","",region_name)</f>
        <v>Смоленская область</v>
      </c>
      <c r="G11" s="864" t="s">
        <v>389</v>
      </c>
      <c r="H11" s="408"/>
      <c r="J11" s="388">
        <v>0</v>
      </c>
    </row>
    <row r="12" spans="1:10" ht="22.5" hidden="1" customHeight="1">
      <c r="A12" s="390"/>
      <c r="B12" s="435"/>
      <c r="C12" s="390"/>
      <c r="D12" s="378" t="s">
        <v>161</v>
      </c>
      <c r="E12" s="37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6" t="s">
        <v>390</v>
      </c>
      <c r="G12" s="407"/>
      <c r="H12" s="408"/>
      <c r="J12" s="388">
        <v>0</v>
      </c>
    </row>
    <row r="13" spans="1:10" ht="23.25" customHeight="1">
      <c r="A13" s="390"/>
      <c r="B13" s="435"/>
      <c r="C13" s="390"/>
      <c r="D13" s="378" t="s">
        <v>161</v>
      </c>
      <c r="E13" s="375" t="str">
        <f>"Наименование юридического лица"&amp;IF(TEMPLATE_SPHERE="TKO"," (индивидуального предпринимателя)","")</f>
        <v>Наименование юридического лица</v>
      </c>
      <c r="F13" s="374"/>
      <c r="G13" s="37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8"/>
      <c r="J13" s="388">
        <v>22</v>
      </c>
    </row>
    <row r="14" spans="1:10" ht="22.5" hidden="1" customHeight="1">
      <c r="A14" s="390"/>
      <c r="B14" s="435"/>
      <c r="C14" s="390"/>
      <c r="D14" s="861" t="s">
        <v>391</v>
      </c>
      <c r="E14" s="862" t="s">
        <v>392</v>
      </c>
      <c r="F14" s="863" t="str">
        <f>IF(inn="","",inn)</f>
        <v>6730048214</v>
      </c>
      <c r="G14" s="864" t="s">
        <v>393</v>
      </c>
      <c r="H14" s="408"/>
      <c r="J14" s="388">
        <v>0</v>
      </c>
    </row>
    <row r="15" spans="1:10" ht="22.5" hidden="1" customHeight="1">
      <c r="A15" s="390"/>
      <c r="B15" s="435"/>
      <c r="C15" s="390"/>
      <c r="D15" s="861" t="s">
        <v>394</v>
      </c>
      <c r="E15" s="862" t="s">
        <v>395</v>
      </c>
      <c r="F15" s="863" t="str">
        <f>IF(kpp="","",kpp)</f>
        <v>673101001</v>
      </c>
      <c r="G15" s="864" t="s">
        <v>396</v>
      </c>
      <c r="H15" s="408"/>
      <c r="J15" s="388">
        <v>0</v>
      </c>
    </row>
    <row r="16" spans="1:10" ht="39" customHeight="1">
      <c r="A16" s="390"/>
      <c r="B16" s="435"/>
      <c r="C16" s="390"/>
      <c r="D16" s="378" t="s">
        <v>89</v>
      </c>
      <c r="E16" s="37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4"/>
      <c r="G16" s="37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8"/>
      <c r="J16" s="388">
        <v>37</v>
      </c>
    </row>
    <row r="17" spans="1:10" ht="23.25" customHeight="1">
      <c r="A17" s="390"/>
      <c r="B17" s="435"/>
      <c r="C17" s="390"/>
      <c r="D17" s="378" t="s">
        <v>77</v>
      </c>
      <c r="E17" s="375" t="str">
        <f>"Дата присвоения ОГРН"&amp;IF(TEMPLATE_SPHERE="TKO",""," (ОГРНИП)")</f>
        <v>Дата присвоения ОГРН (ОГРНИП)</v>
      </c>
      <c r="F17" s="1491" t="s">
        <v>9</v>
      </c>
      <c r="G17" s="377" t="str">
        <f>"Дата присвоения ОГРН"&amp;IF(TEMPLATE_SPHERE="TKO",""," (ОГРНИП)")&amp;" указывается в виде «ДД.ММ.ГГГГ»."</f>
        <v>Дата присвоения ОГРН (ОГРНИП) указывается в виде «ДД.ММ.ГГГГ».</v>
      </c>
      <c r="H17" s="408"/>
      <c r="J17" s="388">
        <v>22</v>
      </c>
    </row>
    <row r="18" spans="1:10" ht="71.25" customHeight="1">
      <c r="A18" s="390"/>
      <c r="B18" s="435"/>
      <c r="C18" s="390"/>
      <c r="D18" s="378" t="s">
        <v>78</v>
      </c>
      <c r="E18" s="37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4"/>
      <c r="G18" s="407"/>
      <c r="H18" s="408"/>
      <c r="J18" s="388">
        <v>68</v>
      </c>
    </row>
    <row r="19" spans="1:10" ht="22.5" hidden="1" customHeight="1">
      <c r="A19" s="2350" t="s">
        <v>397</v>
      </c>
      <c r="B19" s="435"/>
      <c r="C19" s="2361"/>
      <c r="D19" s="378" t="str">
        <f>A19</f>
        <v>5.1</v>
      </c>
      <c r="E19" s="375" t="s">
        <v>398</v>
      </c>
      <c r="F19" s="376" t="s">
        <v>390</v>
      </c>
      <c r="G19" s="377" t="s">
        <v>399</v>
      </c>
      <c r="H19" s="408"/>
      <c r="I19" s="751"/>
      <c r="J19" s="388">
        <v>0</v>
      </c>
    </row>
    <row r="20" spans="1:10" ht="24" hidden="1" customHeight="1">
      <c r="A20" s="2350"/>
      <c r="B20" s="435"/>
      <c r="C20" s="2361"/>
      <c r="D20" s="373" t="str">
        <f>D19&amp;".1"</f>
        <v>5.1.1</v>
      </c>
      <c r="E20" s="372" t="s">
        <v>400</v>
      </c>
      <c r="F20" s="779" t="s">
        <v>9</v>
      </c>
      <c r="G20" s="407"/>
      <c r="H20" s="408"/>
      <c r="I20" s="751"/>
      <c r="J20" s="388">
        <v>0</v>
      </c>
    </row>
    <row r="21" spans="1:10" ht="22.5" hidden="1" customHeight="1">
      <c r="A21" s="2350"/>
      <c r="B21" s="435"/>
      <c r="C21" s="2361"/>
      <c r="D21" s="373" t="str">
        <f>D19&amp;".2"</f>
        <v>5.1.2</v>
      </c>
      <c r="E21" s="372" t="s">
        <v>401</v>
      </c>
      <c r="F21" s="1492" t="s">
        <v>9</v>
      </c>
      <c r="G21" s="377" t="s">
        <v>402</v>
      </c>
      <c r="H21" s="408"/>
      <c r="I21" s="751"/>
      <c r="J21" s="388">
        <v>0</v>
      </c>
    </row>
    <row r="22" spans="1:10" ht="22.5" hidden="1" customHeight="1">
      <c r="A22" s="2350"/>
      <c r="B22" s="435"/>
      <c r="C22" s="2361"/>
      <c r="D22" s="373" t="str">
        <f>D19&amp;".3"</f>
        <v>5.1.3</v>
      </c>
      <c r="E22" s="372" t="s">
        <v>403</v>
      </c>
      <c r="F22" s="779" t="s">
        <v>9</v>
      </c>
      <c r="G22" s="407"/>
      <c r="H22" s="408"/>
      <c r="I22" s="751"/>
      <c r="J22" s="388">
        <v>0</v>
      </c>
    </row>
    <row r="23" spans="1:10" ht="22.5" hidden="1" customHeight="1">
      <c r="A23" s="2350"/>
      <c r="B23" s="435"/>
      <c r="C23" s="2361"/>
      <c r="D23" s="373" t="str">
        <f>D19&amp;".4"</f>
        <v>5.1.4</v>
      </c>
      <c r="E23" s="372" t="s">
        <v>404</v>
      </c>
      <c r="F23" s="779" t="s">
        <v>9</v>
      </c>
      <c r="G23" s="377" t="s">
        <v>405</v>
      </c>
      <c r="H23" s="408"/>
      <c r="I23" s="751"/>
      <c r="J23" s="388">
        <v>0</v>
      </c>
    </row>
    <row r="24" spans="1:10" ht="22.5" hidden="1" customHeight="1">
      <c r="A24" s="1728"/>
      <c r="B24" s="435"/>
      <c r="C24" s="425"/>
      <c r="D24" s="400"/>
      <c r="E24" s="969" t="s">
        <v>406</v>
      </c>
      <c r="F24" s="401"/>
      <c r="G24" s="402"/>
      <c r="H24" s="408"/>
      <c r="I24" s="751"/>
      <c r="J24" s="388">
        <v>0</v>
      </c>
    </row>
    <row r="25" spans="1:10" s="434" customFormat="1" ht="24.75" hidden="1" customHeight="1">
      <c r="A25" s="390"/>
      <c r="B25" s="435"/>
      <c r="C25" s="435"/>
      <c r="D25" s="858" t="s">
        <v>77</v>
      </c>
      <c r="E25" s="860" t="s">
        <v>407</v>
      </c>
      <c r="F25" s="865" t="s">
        <v>390</v>
      </c>
      <c r="G25" s="860"/>
      <c r="J25" s="434">
        <v>0</v>
      </c>
    </row>
    <row r="26" spans="1:10" s="434" customFormat="1" ht="11.25" hidden="1" customHeight="1">
      <c r="A26" s="390"/>
      <c r="B26" s="435"/>
      <c r="C26" s="435"/>
      <c r="D26" s="858" t="s">
        <v>408</v>
      </c>
      <c r="E26" s="859" t="s">
        <v>409</v>
      </c>
      <c r="F26" s="865" t="s">
        <v>390</v>
      </c>
      <c r="G26" s="860"/>
      <c r="J26" s="434">
        <v>0</v>
      </c>
    </row>
    <row r="27" spans="1:10" s="434" customFormat="1" ht="11.25" hidden="1" customHeight="1">
      <c r="A27" s="390"/>
      <c r="B27" s="435"/>
      <c r="C27" s="435"/>
      <c r="D27" s="858" t="s">
        <v>410</v>
      </c>
      <c r="E27" s="866" t="s">
        <v>411</v>
      </c>
      <c r="F27" s="867"/>
      <c r="G27" s="86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4">
        <v>0</v>
      </c>
    </row>
    <row r="28" spans="1:10" s="434" customFormat="1" ht="11.25" hidden="1" customHeight="1">
      <c r="A28" s="390"/>
      <c r="B28" s="435"/>
      <c r="C28" s="435"/>
      <c r="D28" s="858" t="s">
        <v>412</v>
      </c>
      <c r="E28" s="866" t="s">
        <v>413</v>
      </c>
      <c r="F28" s="867"/>
      <c r="G28" s="86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4">
        <v>0</v>
      </c>
    </row>
    <row r="29" spans="1:10" s="434" customFormat="1" ht="11.25" hidden="1" customHeight="1">
      <c r="A29" s="390"/>
      <c r="B29" s="435"/>
      <c r="C29" s="435"/>
      <c r="D29" s="858" t="s">
        <v>414</v>
      </c>
      <c r="E29" s="866" t="s">
        <v>415</v>
      </c>
      <c r="F29" s="867"/>
      <c r="G29" s="86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4">
        <v>0</v>
      </c>
    </row>
    <row r="30" spans="1:10" s="434" customFormat="1" ht="11.25" hidden="1" customHeight="1">
      <c r="A30" s="390"/>
      <c r="B30" s="435"/>
      <c r="C30" s="435"/>
      <c r="D30" s="858" t="s">
        <v>416</v>
      </c>
      <c r="E30" s="859" t="s">
        <v>417</v>
      </c>
      <c r="F30" s="867"/>
      <c r="G30" s="860"/>
      <c r="J30" s="434">
        <v>0</v>
      </c>
    </row>
    <row r="31" spans="1:10" s="434" customFormat="1" ht="11.25" hidden="1" customHeight="1">
      <c r="A31" s="390"/>
      <c r="B31" s="435"/>
      <c r="C31" s="435"/>
      <c r="D31" s="858" t="s">
        <v>418</v>
      </c>
      <c r="E31" s="859" t="s">
        <v>419</v>
      </c>
      <c r="F31" s="867"/>
      <c r="G31" s="860"/>
      <c r="J31" s="434">
        <v>0</v>
      </c>
    </row>
    <row r="32" spans="1:10" s="434" customFormat="1" ht="11.25" hidden="1" customHeight="1">
      <c r="A32" s="390"/>
      <c r="B32" s="435"/>
      <c r="C32" s="435"/>
      <c r="D32" s="858" t="s">
        <v>420</v>
      </c>
      <c r="E32" s="859" t="s">
        <v>421</v>
      </c>
      <c r="F32" s="868"/>
      <c r="G32" s="860"/>
      <c r="J32" s="434">
        <v>0</v>
      </c>
    </row>
    <row r="33" spans="1:10" ht="24" customHeight="1">
      <c r="A33" s="390" t="str">
        <f>IF(TEMPLATE_SPHERE="HEAT","6","5")</f>
        <v>6</v>
      </c>
      <c r="B33" s="435"/>
      <c r="C33" s="390"/>
      <c r="D33" s="373" t="str">
        <f>A33</f>
        <v>6</v>
      </c>
      <c r="E33" s="37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6" t="s">
        <v>390</v>
      </c>
      <c r="G33" s="407"/>
      <c r="H33" s="408"/>
      <c r="J33" s="388">
        <v>23</v>
      </c>
    </row>
    <row r="34" spans="1:10" ht="23.25" customHeight="1">
      <c r="A34" s="390"/>
      <c r="B34" s="435"/>
      <c r="C34" s="390"/>
      <c r="D34" s="373" t="str">
        <f>D33&amp;".1"</f>
        <v>6.1</v>
      </c>
      <c r="E34" s="375" t="str">
        <f>"фамилия"&amp;IF(TEMPLATE_SPHERE&lt;&gt;"HEAT"," руководителя","")</f>
        <v>фамилия</v>
      </c>
      <c r="F34" s="374"/>
      <c r="G34" s="37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08"/>
      <c r="J34" s="388">
        <v>22</v>
      </c>
    </row>
    <row r="35" spans="1:10" ht="23.25" customHeight="1">
      <c r="A35" s="390"/>
      <c r="B35" s="435"/>
      <c r="C35" s="390"/>
      <c r="D35" s="373" t="str">
        <f>D33&amp;".2"</f>
        <v>6.2</v>
      </c>
      <c r="E35" s="375" t="str">
        <f>"имя"&amp;IF(TEMPLATE_SPHERE&lt;&gt;"HEAT"," руководителя","")</f>
        <v>имя</v>
      </c>
      <c r="F35" s="374"/>
      <c r="G35" s="37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08"/>
      <c r="J35" s="388">
        <v>22</v>
      </c>
    </row>
    <row r="36" spans="1:10" ht="24" customHeight="1">
      <c r="A36" s="390"/>
      <c r="B36" s="435"/>
      <c r="C36" s="390"/>
      <c r="D36" s="373" t="str">
        <f>D33&amp;".3"</f>
        <v>6.3</v>
      </c>
      <c r="E36" s="375" t="str">
        <f>"отчество"&amp;IF(TEMPLATE_SPHERE&lt;&gt;"HEAT"," руководителя","")</f>
        <v>отчество</v>
      </c>
      <c r="F36" s="619"/>
      <c r="G36" s="37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08"/>
      <c r="J36" s="388">
        <v>23</v>
      </c>
    </row>
    <row r="37" spans="1:10" ht="35.65" customHeight="1">
      <c r="A37" s="390"/>
      <c r="B37" s="435"/>
      <c r="C37" s="390"/>
      <c r="D37" s="373">
        <f>D33+1</f>
        <v>7</v>
      </c>
      <c r="E37" s="37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4"/>
      <c r="G37" s="377" t="s">
        <v>422</v>
      </c>
      <c r="H37" s="408"/>
      <c r="J37" s="388">
        <v>34</v>
      </c>
    </row>
    <row r="38" spans="1:10" ht="35.65" customHeight="1">
      <c r="A38" s="390"/>
      <c r="B38" s="435"/>
      <c r="C38" s="390"/>
      <c r="D38" s="373">
        <f>D37+1</f>
        <v>8</v>
      </c>
      <c r="E38" s="37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4"/>
      <c r="G38" s="377" t="s">
        <v>422</v>
      </c>
      <c r="H38" s="408"/>
      <c r="J38" s="388">
        <v>34</v>
      </c>
    </row>
    <row r="39" spans="1:10" ht="23.25" customHeight="1">
      <c r="A39" s="390"/>
      <c r="B39" s="435"/>
      <c r="C39" s="390"/>
      <c r="D39" s="373">
        <f>D38+1</f>
        <v>9</v>
      </c>
      <c r="E39" s="37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6" t="s">
        <v>390</v>
      </c>
      <c r="G39" s="235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08"/>
      <c r="J39" s="388">
        <v>22</v>
      </c>
    </row>
    <row r="40" spans="1:10" ht="22.5" hidden="1" customHeight="1">
      <c r="A40" s="390"/>
      <c r="B40" s="435"/>
      <c r="C40" s="390"/>
      <c r="D40" s="373" t="str">
        <f>D39&amp;".0"</f>
        <v>9.0</v>
      </c>
      <c r="E40" s="1393"/>
      <c r="F40" s="779"/>
      <c r="G40" s="2359"/>
      <c r="H40" s="408"/>
      <c r="J40" s="388">
        <v>0</v>
      </c>
    </row>
    <row r="41" spans="1:10" ht="23.25" customHeight="1">
      <c r="A41" s="390"/>
      <c r="B41" s="390"/>
      <c r="C41" s="1475"/>
      <c r="D41" s="373" t="str">
        <f>D39&amp;".1"</f>
        <v>9.1</v>
      </c>
      <c r="E41" s="759"/>
      <c r="F41" s="760"/>
      <c r="G41" s="2359"/>
      <c r="H41" s="408"/>
      <c r="J41" s="388">
        <v>22</v>
      </c>
    </row>
    <row r="42" spans="1:10" ht="15.75" customHeight="1">
      <c r="A42" s="390"/>
      <c r="B42" s="435"/>
      <c r="C42" s="390"/>
      <c r="D42" s="400"/>
      <c r="E42" s="348" t="s">
        <v>423</v>
      </c>
      <c r="F42" s="402"/>
      <c r="G42" s="2360"/>
      <c r="H42" s="409"/>
      <c r="J42" s="388">
        <v>15</v>
      </c>
    </row>
    <row r="43" spans="1:10" ht="27.4" customHeight="1">
      <c r="A43" s="390"/>
      <c r="B43" s="435"/>
      <c r="C43" s="390"/>
      <c r="D43" s="373">
        <f>D39+1</f>
        <v>10</v>
      </c>
      <c r="E43" s="37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61"/>
      <c r="G43" s="37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08"/>
      <c r="J43" s="388">
        <v>26</v>
      </c>
    </row>
    <row r="44" spans="1:10" ht="23.25" customHeight="1">
      <c r="A44" s="390"/>
      <c r="B44" s="435"/>
      <c r="C44" s="390"/>
      <c r="D44" s="373">
        <f>D43+1</f>
        <v>11</v>
      </c>
      <c r="E44" s="37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1"/>
      <c r="G44" s="407" t="s">
        <v>424</v>
      </c>
      <c r="H44" s="408"/>
      <c r="J44" s="388">
        <v>22</v>
      </c>
    </row>
    <row r="45" spans="1:10" ht="23.25" customHeight="1">
      <c r="A45" s="390"/>
      <c r="B45" s="435"/>
      <c r="C45" s="390"/>
      <c r="D45" s="373">
        <f>D44+1</f>
        <v>12</v>
      </c>
      <c r="E45" s="371" t="s">
        <v>425</v>
      </c>
      <c r="F45" s="376" t="s">
        <v>390</v>
      </c>
      <c r="G45" s="370" t="str">
        <f>IF(TEMPLATE_SPHERE="TKO","Указывается режим работы организации.","")</f>
        <v/>
      </c>
      <c r="H45" s="408"/>
      <c r="J45" s="388">
        <v>22</v>
      </c>
    </row>
    <row r="46" spans="1:10" ht="24" customHeight="1">
      <c r="A46" s="390"/>
      <c r="B46" s="435"/>
      <c r="C46" s="390"/>
      <c r="D46" s="373" t="str">
        <f>D45&amp;".1"</f>
        <v>12.1</v>
      </c>
      <c r="E46" s="375" t="str">
        <f>"режим работы регулируемой организации"&amp;IF(TEMPLATE_SPHERE="HEAT",", ЕТО, ТО","")</f>
        <v>режим работы регулируемой организации, ЕТО, ТО</v>
      </c>
      <c r="F46" s="1471"/>
      <c r="G46" s="370" t="s">
        <v>426</v>
      </c>
      <c r="H46" s="408"/>
      <c r="J46" s="388">
        <v>23</v>
      </c>
    </row>
    <row r="47" spans="1:10" ht="24" customHeight="1">
      <c r="A47" s="2350"/>
      <c r="B47" s="435"/>
      <c r="C47" s="425"/>
      <c r="D47" s="373" t="str">
        <f>D45&amp;".2"</f>
        <v>12.2</v>
      </c>
      <c r="E47" s="375" t="s">
        <v>427</v>
      </c>
      <c r="F47" s="423"/>
      <c r="G47" s="370" t="s">
        <v>428</v>
      </c>
      <c r="H47" s="408"/>
      <c r="J47" s="388">
        <v>23</v>
      </c>
    </row>
    <row r="48" spans="1:10" ht="24" customHeight="1">
      <c r="A48" s="2350"/>
      <c r="B48" s="435"/>
      <c r="C48" s="425"/>
      <c r="D48" s="373" t="str">
        <f>D45&amp;".3"</f>
        <v>12.3</v>
      </c>
      <c r="E48" s="375" t="s">
        <v>429</v>
      </c>
      <c r="F48" s="423"/>
      <c r="G48" s="370" t="s">
        <v>430</v>
      </c>
      <c r="H48" s="408"/>
      <c r="J48" s="388">
        <v>23</v>
      </c>
    </row>
    <row r="49" spans="1:10" ht="24" customHeight="1">
      <c r="A49" s="2350"/>
      <c r="B49" s="435"/>
      <c r="C49" s="425"/>
      <c r="D49" s="373" t="str">
        <f>IF(TEMPLATE_SPHERE="TKO",D45&amp;".0",D45&amp;".4")</f>
        <v>12.4</v>
      </c>
      <c r="E49" s="369" t="s">
        <v>431</v>
      </c>
      <c r="F49" s="1472"/>
      <c r="G49" s="1521" t="s">
        <v>432</v>
      </c>
      <c r="H49" s="408"/>
      <c r="J49" s="388">
        <v>23</v>
      </c>
    </row>
    <row r="50" spans="1:10" ht="24" customHeight="1">
      <c r="A50" s="390"/>
      <c r="B50" s="435"/>
      <c r="C50" s="390"/>
      <c r="D50" s="400"/>
      <c r="E50" s="348" t="s">
        <v>433</v>
      </c>
      <c r="F50" s="401"/>
      <c r="G50" s="1521" t="s">
        <v>434</v>
      </c>
      <c r="H50" s="409"/>
      <c r="J50" s="388">
        <v>23</v>
      </c>
    </row>
    <row r="51" spans="1:10" ht="24" customHeight="1">
      <c r="A51" s="757"/>
      <c r="B51" s="435"/>
      <c r="C51" s="425"/>
      <c r="D51" s="373">
        <f>D45+1</f>
        <v>13</v>
      </c>
      <c r="E51" s="461" t="s">
        <v>435</v>
      </c>
      <c r="F51" s="423"/>
      <c r="G51" s="147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08"/>
      <c r="J51" s="388">
        <v>23</v>
      </c>
    </row>
    <row r="52" spans="1:10" ht="11.45" customHeight="1">
      <c r="A52" s="390"/>
      <c r="B52" s="435"/>
      <c r="C52" s="390"/>
      <c r="J52" s="388">
        <v>11</v>
      </c>
    </row>
    <row r="53" spans="1:10" s="393" customFormat="1" ht="31.5" customHeight="1">
      <c r="A53" s="1474"/>
      <c r="B53" s="436"/>
      <c r="C53" s="2351"/>
      <c r="D53" s="235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54"/>
      <c r="F53" s="2354"/>
      <c r="G53" s="2354"/>
      <c r="H53" s="387"/>
      <c r="I53" s="387"/>
      <c r="J53" s="393">
        <v>30</v>
      </c>
    </row>
    <row r="54" spans="1:10" s="393" customFormat="1" ht="42" customHeight="1">
      <c r="A54" s="390"/>
      <c r="B54" s="435"/>
      <c r="C54" s="2351"/>
      <c r="D54" s="235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54"/>
      <c r="F54" s="2354"/>
      <c r="G54" s="2354"/>
      <c r="J54" s="393">
        <v>40</v>
      </c>
    </row>
    <row r="55" spans="1:10" ht="11.45" customHeight="1">
      <c r="D55" s="391"/>
      <c r="E55" s="392"/>
      <c r="F55" s="392"/>
      <c r="G55" s="392"/>
      <c r="J55" s="388">
        <v>11</v>
      </c>
    </row>
    <row r="56" spans="1:10" ht="28.5" customHeight="1">
      <c r="D56" s="394"/>
      <c r="E56" s="391"/>
      <c r="F56" s="403"/>
      <c r="G56" s="403"/>
      <c r="J56" s="388">
        <v>27</v>
      </c>
    </row>
    <row r="57" spans="1:10" ht="11.45" customHeight="1">
      <c r="D57" s="391"/>
      <c r="E57" s="391"/>
      <c r="F57" s="392"/>
      <c r="G57" s="392"/>
      <c r="J57" s="388">
        <v>11</v>
      </c>
    </row>
    <row r="58" spans="1:10" ht="40.9" customHeight="1">
      <c r="D58" s="395"/>
      <c r="E58" s="404"/>
      <c r="F58" s="404"/>
      <c r="G58" s="404"/>
      <c r="J58" s="388">
        <v>39</v>
      </c>
    </row>
    <row r="59" spans="1:10" ht="28.5" customHeight="1">
      <c r="D59" s="395"/>
      <c r="E59" s="404"/>
      <c r="F59" s="404"/>
      <c r="G59" s="404"/>
      <c r="J59" s="388">
        <v>27</v>
      </c>
    </row>
    <row r="60" spans="1:10" ht="11.25" hidden="1" customHeight="1">
      <c r="A60" s="1473" t="s">
        <v>69</v>
      </c>
      <c r="B60" s="434">
        <v>0</v>
      </c>
      <c r="C60" s="388">
        <v>3</v>
      </c>
      <c r="D60" s="389">
        <v>6</v>
      </c>
      <c r="E60" s="388">
        <v>52</v>
      </c>
      <c r="F60" s="388">
        <v>48</v>
      </c>
      <c r="G60" s="388">
        <v>121</v>
      </c>
      <c r="H60" s="388">
        <v>8</v>
      </c>
      <c r="I60" s="388">
        <v>64</v>
      </c>
      <c r="J60" s="388">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1869" t="s">
        <v>2282</v>
      </c>
      <c r="B1" s="1870" t="s">
        <v>2283</v>
      </c>
      <c r="C1" s="2648" t="s">
        <v>2284</v>
      </c>
      <c r="D1" s="2649"/>
      <c r="E1" s="735" t="s">
        <v>2285</v>
      </c>
    </row>
    <row r="2" spans="1:5" ht="11.25" customHeight="1">
      <c r="A2" s="1871"/>
      <c r="B2" s="668" t="s">
        <v>14</v>
      </c>
      <c r="C2" s="660"/>
      <c r="D2" s="667"/>
      <c r="E2" s="735"/>
    </row>
    <row r="3" spans="1:5" ht="11.25" customHeight="1">
      <c r="A3" s="1872"/>
      <c r="B3" s="1873" t="s">
        <v>20</v>
      </c>
      <c r="C3" s="660"/>
      <c r="D3" s="667"/>
      <c r="E3" s="735"/>
    </row>
    <row r="4" spans="1:5" ht="11.25" customHeight="1">
      <c r="A4" s="1874"/>
      <c r="B4" s="669" t="s">
        <v>1720</v>
      </c>
      <c r="C4" s="660"/>
      <c r="D4" s="667"/>
      <c r="E4" s="735"/>
    </row>
    <row r="5" spans="1:5" ht="11.25" customHeight="1">
      <c r="A5" s="1875"/>
      <c r="B5" s="669" t="s">
        <v>1715</v>
      </c>
      <c r="C5" s="1876" t="s">
        <v>2052</v>
      </c>
      <c r="D5" s="1877" t="s">
        <v>2286</v>
      </c>
      <c r="E5" s="735"/>
    </row>
    <row r="6" spans="1:5" s="1606" customFormat="1" ht="11.25" customHeight="1">
      <c r="A6" s="1878"/>
      <c r="B6" s="669" t="s">
        <v>1724</v>
      </c>
      <c r="C6" s="660"/>
      <c r="D6" s="667"/>
      <c r="E6" s="735"/>
    </row>
    <row r="7" spans="1:5" ht="11.25" customHeight="1">
      <c r="A7" s="1879"/>
      <c r="B7" s="669" t="s">
        <v>1731</v>
      </c>
      <c r="C7" s="660"/>
      <c r="D7" s="667"/>
      <c r="E7" s="735"/>
    </row>
    <row r="8" spans="1:5" ht="11.25" customHeight="1">
      <c r="A8" s="662"/>
      <c r="B8" s="669" t="s">
        <v>1726</v>
      </c>
      <c r="C8" s="660"/>
      <c r="D8" s="667"/>
      <c r="E8" s="73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420" hidden="1" customWidth="1"/>
    <col min="2" max="2" width="9.140625" style="1423" hidden="1" customWidth="1"/>
    <col min="3" max="3" width="3" style="1598" customWidth="1"/>
    <col min="4" max="4" width="5" style="1423" customWidth="1"/>
    <col min="5" max="5" width="48" style="1423" customWidth="1"/>
    <col min="6" max="6" width="38" style="1423" customWidth="1"/>
    <col min="7" max="7" width="1.7109375" style="1423" hidden="1" customWidth="1"/>
    <col min="8" max="11" width="19.85546875" style="1423" customWidth="1"/>
    <col min="12" max="12" width="9.7109375" style="1423" customWidth="1"/>
    <col min="13" max="18" width="19.85546875" style="1423" customWidth="1"/>
    <col min="19" max="19" width="1.7109375" style="1423" hidden="1" customWidth="1"/>
    <col min="20" max="22" width="19.85546875" style="1423" hidden="1" customWidth="1"/>
    <col min="23" max="23" width="1.7109375" style="1423" hidden="1" customWidth="1"/>
    <col min="24" max="26" width="19.85546875" style="1423" hidden="1" customWidth="1"/>
    <col min="27" max="27" width="1.7109375" style="1423" hidden="1" customWidth="1"/>
    <col min="28" max="29" width="19.85546875" style="1423" hidden="1" customWidth="1"/>
    <col min="30" max="30" width="1.7109375" style="1423" hidden="1" customWidth="1"/>
    <col min="31" max="31" width="103.7109375" style="1423" customWidth="1"/>
    <col min="32" max="34" width="103.7109375" style="1423" hidden="1" customWidth="1"/>
    <col min="35" max="35" width="3" style="1578" customWidth="1"/>
    <col min="36" max="38" width="10" style="1430" customWidth="1"/>
    <col min="39" max="39" width="13.7109375" style="1430" hidden="1" customWidth="1"/>
    <col min="40" max="40" width="15" style="1430" customWidth="1"/>
    <col min="41" max="41" width="16" style="1430" customWidth="1"/>
    <col min="42" max="45" width="10" style="1430" customWidth="1"/>
    <col min="46" max="46" width="10.5703125" style="1423" hidden="1"/>
  </cols>
  <sheetData>
    <row r="1" spans="1:46" ht="22.5" hidden="1" customHeight="1">
      <c r="E1" s="345"/>
      <c r="F1" s="345"/>
      <c r="G1" s="345"/>
      <c r="H1" s="2254" t="s">
        <v>436</v>
      </c>
      <c r="I1" s="2254"/>
      <c r="J1" s="2254"/>
      <c r="K1" s="2254"/>
      <c r="L1" s="2254"/>
      <c r="M1" s="2254"/>
      <c r="N1" s="2254"/>
      <c r="O1" s="2254"/>
      <c r="P1" s="2254"/>
      <c r="Q1" s="2254"/>
      <c r="R1" s="2254"/>
      <c r="T1" s="2254" t="s">
        <v>437</v>
      </c>
      <c r="U1" s="2254"/>
      <c r="V1" s="2254"/>
      <c r="X1" s="2254" t="s">
        <v>438</v>
      </c>
      <c r="Y1" s="2254"/>
      <c r="Z1" s="2254"/>
      <c r="AB1" s="2254" t="s">
        <v>439</v>
      </c>
      <c r="AC1" s="2254"/>
      <c r="AT1" s="380" t="s">
        <v>1</v>
      </c>
    </row>
    <row r="2" spans="1:46" ht="14.25" hidden="1" customHeight="1">
      <c r="AT2" s="380">
        <v>0</v>
      </c>
    </row>
    <row r="3" spans="1:46" s="1401" customFormat="1" ht="5.25" customHeight="1">
      <c r="C3" s="622"/>
      <c r="D3" s="623"/>
      <c r="E3" s="623"/>
      <c r="F3" s="623"/>
      <c r="G3" s="623"/>
      <c r="H3" s="623" t="s">
        <v>440</v>
      </c>
      <c r="I3" s="623"/>
      <c r="J3" s="623"/>
      <c r="K3" s="623"/>
      <c r="L3" s="623"/>
      <c r="M3" s="623"/>
      <c r="N3" s="623"/>
      <c r="O3" s="623"/>
      <c r="P3" s="623"/>
      <c r="Q3" s="623"/>
      <c r="R3" s="623"/>
      <c r="S3" s="623"/>
      <c r="T3" s="623"/>
      <c r="U3" s="623"/>
      <c r="V3" s="623"/>
      <c r="W3" s="623"/>
      <c r="X3" s="623"/>
      <c r="Y3" s="623"/>
      <c r="Z3" s="623"/>
      <c r="AA3" s="623"/>
      <c r="AB3" s="623"/>
      <c r="AC3" s="623"/>
      <c r="AD3" s="623"/>
      <c r="AE3" s="623"/>
      <c r="AF3" s="623"/>
      <c r="AG3" s="623"/>
      <c r="AH3" s="623"/>
      <c r="AJ3" s="444"/>
      <c r="AK3" s="444"/>
      <c r="AL3" s="444"/>
      <c r="AM3" s="444"/>
      <c r="AN3" s="444"/>
      <c r="AO3" s="444"/>
      <c r="AP3" s="444"/>
      <c r="AQ3" s="444"/>
      <c r="AR3" s="444"/>
      <c r="AS3" s="444"/>
      <c r="AT3" s="621">
        <v>5</v>
      </c>
    </row>
    <row r="4" spans="1:46" ht="39.75" customHeight="1">
      <c r="C4" s="383"/>
      <c r="D4" s="231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319"/>
      <c r="F4" s="2319"/>
      <c r="G4" s="2319"/>
      <c r="H4" s="2319"/>
      <c r="I4" s="2319"/>
      <c r="J4" s="2319"/>
      <c r="K4" s="2319"/>
      <c r="L4" s="2319"/>
      <c r="M4" s="2319"/>
      <c r="N4" s="2319"/>
      <c r="O4" s="2319"/>
      <c r="P4" s="2319"/>
      <c r="Q4" s="2319"/>
      <c r="R4" s="2320"/>
      <c r="S4" s="752"/>
      <c r="T4" s="620"/>
      <c r="U4" s="620"/>
      <c r="V4" s="620"/>
      <c r="W4" s="620"/>
      <c r="X4" s="620"/>
      <c r="Y4" s="620"/>
      <c r="Z4" s="620"/>
      <c r="AA4" s="620"/>
      <c r="AB4" s="620"/>
      <c r="AC4" s="620"/>
      <c r="AD4" s="620"/>
      <c r="AE4" s="424"/>
      <c r="AF4" s="424"/>
      <c r="AG4" s="424"/>
      <c r="AH4" s="424"/>
      <c r="AI4" s="421"/>
      <c r="AT4" s="380">
        <v>38</v>
      </c>
    </row>
    <row r="5" spans="1:46" s="1423" customFormat="1" ht="18" customHeight="1">
      <c r="A5" s="664"/>
      <c r="C5" s="721"/>
      <c r="D5" s="2371" t="str">
        <f>IF(org=0,"Не определено",org)</f>
        <v>ООО "Смоленскрегионтеплоэнерго"</v>
      </c>
      <c r="E5" s="2372"/>
      <c r="F5" s="2372"/>
      <c r="G5" s="2372"/>
      <c r="H5" s="2372"/>
      <c r="I5" s="2372"/>
      <c r="J5" s="2372"/>
      <c r="K5" s="2372"/>
      <c r="L5" s="2372"/>
      <c r="M5" s="2372"/>
      <c r="N5" s="2372"/>
      <c r="O5" s="2372"/>
      <c r="P5" s="2372"/>
      <c r="Q5" s="2372"/>
      <c r="R5" s="2373"/>
      <c r="S5" s="752"/>
      <c r="T5" s="620"/>
      <c r="U5" s="620"/>
      <c r="V5" s="620"/>
      <c r="W5" s="620"/>
      <c r="X5" s="620"/>
      <c r="Y5" s="620"/>
      <c r="Z5" s="620"/>
      <c r="AA5" s="620"/>
      <c r="AB5" s="620"/>
      <c r="AC5" s="620"/>
      <c r="AD5" s="620"/>
      <c r="AE5" s="424"/>
      <c r="AF5" s="424"/>
      <c r="AG5" s="424"/>
      <c r="AH5" s="424"/>
      <c r="AI5" s="421"/>
      <c r="AJ5" s="444"/>
      <c r="AK5" s="444"/>
      <c r="AL5" s="444"/>
      <c r="AM5" s="444"/>
      <c r="AN5" s="444"/>
      <c r="AO5" s="444"/>
      <c r="AP5" s="444"/>
      <c r="AQ5" s="444"/>
      <c r="AR5" s="444"/>
      <c r="AS5" s="444"/>
      <c r="AT5" s="663">
        <v>17</v>
      </c>
    </row>
    <row r="6" spans="1:46" s="1400" customFormat="1" ht="11.45" customHeight="1">
      <c r="A6" s="412"/>
      <c r="C6" s="419"/>
      <c r="D6" s="418"/>
      <c r="E6" s="418"/>
      <c r="F6" s="418"/>
      <c r="G6" s="418"/>
      <c r="H6" s="418"/>
      <c r="I6" s="418"/>
      <c r="J6" s="418"/>
      <c r="K6" s="418"/>
      <c r="L6" s="418"/>
      <c r="M6" s="418"/>
      <c r="N6" s="418"/>
      <c r="O6" s="418"/>
      <c r="P6" s="418"/>
      <c r="Q6" s="418"/>
      <c r="R6" s="659"/>
      <c r="S6" s="659"/>
      <c r="T6" s="418"/>
      <c r="U6" s="418"/>
      <c r="V6" s="630"/>
      <c r="W6" s="630"/>
      <c r="X6" s="418"/>
      <c r="Y6" s="418"/>
      <c r="Z6" s="630"/>
      <c r="AA6" s="630"/>
      <c r="AB6" s="418"/>
      <c r="AC6" s="630"/>
      <c r="AD6" s="630"/>
      <c r="AE6" s="418"/>
      <c r="AF6" s="418"/>
      <c r="AG6" s="418"/>
      <c r="AH6" s="418"/>
      <c r="AJ6" s="422"/>
      <c r="AK6" s="422"/>
      <c r="AL6" s="422"/>
      <c r="AM6" s="422"/>
      <c r="AN6" s="422"/>
      <c r="AO6" s="422"/>
      <c r="AP6" s="422"/>
      <c r="AQ6" s="422"/>
      <c r="AR6" s="422"/>
      <c r="AS6" s="422"/>
      <c r="AT6" s="413">
        <v>11</v>
      </c>
    </row>
    <row r="7" spans="1:46" ht="14.65" customHeight="1">
      <c r="C7" s="383"/>
      <c r="D7" s="2362" t="s">
        <v>384</v>
      </c>
      <c r="E7" s="2374"/>
      <c r="F7" s="2374"/>
      <c r="G7" s="2374"/>
      <c r="H7" s="2374"/>
      <c r="I7" s="2374"/>
      <c r="J7" s="2374"/>
      <c r="K7" s="2374"/>
      <c r="L7" s="2374"/>
      <c r="M7" s="2374"/>
      <c r="N7" s="2374"/>
      <c r="O7" s="2374"/>
      <c r="P7" s="2374"/>
      <c r="Q7" s="2374"/>
      <c r="R7" s="2374"/>
      <c r="S7" s="2374"/>
      <c r="T7" s="2374"/>
      <c r="U7" s="2374"/>
      <c r="V7" s="2374"/>
      <c r="W7" s="2374"/>
      <c r="X7" s="2374"/>
      <c r="Y7" s="2374"/>
      <c r="Z7" s="2374"/>
      <c r="AA7" s="2374"/>
      <c r="AB7" s="2374"/>
      <c r="AC7" s="2374"/>
      <c r="AD7" s="2375"/>
      <c r="AE7" s="2325" t="s">
        <v>385</v>
      </c>
      <c r="AF7" s="2325" t="s">
        <v>385</v>
      </c>
      <c r="AG7" s="2325" t="s">
        <v>385</v>
      </c>
      <c r="AH7" s="2325" t="s">
        <v>385</v>
      </c>
      <c r="AT7" s="380">
        <v>14</v>
      </c>
    </row>
    <row r="8" spans="1:46" ht="27.4" customHeight="1">
      <c r="C8" s="383"/>
      <c r="D8" s="2266" t="s">
        <v>75</v>
      </c>
      <c r="E8" s="2325" t="str">
        <f>"Наименование "&amp;IF(TEMPLATE_SPHERE&lt;&gt;"HEAT","централизованной ","")&amp;"системы "&amp;TEMPLATE_SPHERE_RUS</f>
        <v>Наименование системы теплоснабжения</v>
      </c>
      <c r="F8" s="2325" t="str">
        <f>IF(TEMPLATE_SPHERE&lt;&gt;"HEAT","Регулируемый вид деятельности","Вид регулируемой деятельности")</f>
        <v>Вид регулируемой деятельности</v>
      </c>
      <c r="G8" s="727"/>
      <c r="H8" s="2363" t="s">
        <v>441</v>
      </c>
      <c r="I8" s="2367" t="s">
        <v>442</v>
      </c>
      <c r="J8" s="2325" t="s">
        <v>443</v>
      </c>
      <c r="K8" s="2325"/>
      <c r="L8" s="2325"/>
      <c r="M8" s="2362"/>
      <c r="N8" s="2325" t="s">
        <v>444</v>
      </c>
      <c r="O8" s="2325"/>
      <c r="P8" s="2325" t="s">
        <v>445</v>
      </c>
      <c r="Q8" s="2325"/>
      <c r="R8" s="2365" t="s">
        <v>446</v>
      </c>
      <c r="S8" s="723"/>
      <c r="T8" s="2363" t="s">
        <v>447</v>
      </c>
      <c r="U8" s="2363" t="s">
        <v>448</v>
      </c>
      <c r="V8" s="2363" t="s">
        <v>449</v>
      </c>
      <c r="W8" s="725"/>
      <c r="X8" s="2363" t="s">
        <v>450</v>
      </c>
      <c r="Y8" s="2363" t="s">
        <v>451</v>
      </c>
      <c r="Z8" s="2363" t="s">
        <v>452</v>
      </c>
      <c r="AA8" s="725"/>
      <c r="AB8" s="2363" t="s">
        <v>453</v>
      </c>
      <c r="AC8" s="2363" t="s">
        <v>446</v>
      </c>
      <c r="AD8" s="725"/>
      <c r="AE8" s="2325"/>
      <c r="AF8" s="2325"/>
      <c r="AG8" s="2325"/>
      <c r="AH8" s="2325"/>
      <c r="AT8" s="380">
        <v>26</v>
      </c>
    </row>
    <row r="9" spans="1:46" ht="46.15" customHeight="1">
      <c r="C9" s="383"/>
      <c r="D9" s="2266"/>
      <c r="E9" s="2325"/>
      <c r="F9" s="2325"/>
      <c r="G9" s="728"/>
      <c r="H9" s="2364"/>
      <c r="I9" s="2368"/>
      <c r="J9" s="358" t="s">
        <v>454</v>
      </c>
      <c r="K9" s="358" t="s">
        <v>455</v>
      </c>
      <c r="L9" s="358" t="s">
        <v>456</v>
      </c>
      <c r="M9" s="364" t="s">
        <v>457</v>
      </c>
      <c r="N9" s="358" t="s">
        <v>458</v>
      </c>
      <c r="O9" s="358" t="s">
        <v>457</v>
      </c>
      <c r="P9" s="358" t="s">
        <v>459</v>
      </c>
      <c r="Q9" s="358" t="s">
        <v>457</v>
      </c>
      <c r="R9" s="2366"/>
      <c r="S9" s="724"/>
      <c r="T9" s="2364"/>
      <c r="U9" s="2364"/>
      <c r="V9" s="2364"/>
      <c r="W9" s="726"/>
      <c r="X9" s="2364"/>
      <c r="Y9" s="2364"/>
      <c r="Z9" s="2364"/>
      <c r="AA9" s="726"/>
      <c r="AB9" s="2364"/>
      <c r="AC9" s="2364"/>
      <c r="AD9" s="726"/>
      <c r="AE9" s="2325"/>
      <c r="AF9" s="2325"/>
      <c r="AG9" s="2325"/>
      <c r="AH9" s="2325"/>
      <c r="AT9" s="380">
        <v>44</v>
      </c>
    </row>
    <row r="10" spans="1:46" ht="12" hidden="1" customHeight="1">
      <c r="C10" s="420"/>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0"/>
      <c r="AP10" s="433"/>
      <c r="AQ10" s="433"/>
      <c r="AT10" s="380">
        <v>0</v>
      </c>
    </row>
    <row r="11" spans="1:46" s="1429" customFormat="1" ht="11.25" hidden="1" customHeight="1">
      <c r="C11" s="431"/>
      <c r="D11" s="432" t="s">
        <v>460</v>
      </c>
      <c r="E11" s="432"/>
      <c r="F11" s="432"/>
      <c r="G11" s="432"/>
      <c r="H11" s="430"/>
      <c r="I11" s="430"/>
      <c r="J11" s="430"/>
      <c r="K11" s="430"/>
      <c r="L11" s="430"/>
      <c r="M11" s="430"/>
      <c r="N11" s="430"/>
      <c r="O11" s="430"/>
      <c r="P11" s="430"/>
      <c r="Q11" s="430"/>
      <c r="R11" s="430"/>
      <c r="S11" s="430"/>
      <c r="T11" s="430"/>
      <c r="U11" s="430"/>
      <c r="V11" s="430"/>
      <c r="W11" s="430"/>
      <c r="X11" s="430"/>
      <c r="Y11" s="430"/>
      <c r="Z11" s="430"/>
      <c r="AA11" s="430"/>
      <c r="AB11" s="430"/>
      <c r="AC11" s="430"/>
      <c r="AD11" s="430"/>
      <c r="AE11" s="368"/>
      <c r="AF11" s="368"/>
      <c r="AG11" s="368"/>
      <c r="AH11" s="368"/>
      <c r="AJ11" s="422"/>
      <c r="AK11" s="422"/>
      <c r="AL11" s="422"/>
      <c r="AM11" s="422"/>
      <c r="AN11" s="422"/>
      <c r="AO11" s="422"/>
      <c r="AP11" s="422"/>
      <c r="AQ11" s="422"/>
      <c r="AR11" s="422"/>
      <c r="AS11" s="422"/>
      <c r="AT11" s="429">
        <v>0</v>
      </c>
    </row>
    <row r="12" spans="1:46" ht="14.65" customHeight="1">
      <c r="A12" s="380"/>
      <c r="C12" s="383"/>
      <c r="D12" s="367" t="s">
        <v>161</v>
      </c>
      <c r="E12" s="1536" t="s">
        <v>9</v>
      </c>
      <c r="F12" s="754"/>
      <c r="G12" s="755"/>
      <c r="H12" s="1537"/>
      <c r="I12" s="1537"/>
      <c r="J12" s="366"/>
      <c r="K12" s="1619"/>
      <c r="L12" s="365"/>
      <c r="M12" s="1619"/>
      <c r="N12" s="366"/>
      <c r="O12" s="1619"/>
      <c r="P12" s="366"/>
      <c r="Q12" s="1619"/>
      <c r="R12" s="366"/>
      <c r="S12" s="753"/>
      <c r="T12" s="1537"/>
      <c r="U12" s="366"/>
      <c r="V12" s="366"/>
      <c r="W12" s="726"/>
      <c r="X12" s="1537"/>
      <c r="Y12" s="366"/>
      <c r="Z12" s="366"/>
      <c r="AA12" s="726"/>
      <c r="AB12" s="1537"/>
      <c r="AC12" s="366"/>
      <c r="AD12" s="726"/>
      <c r="AE12" s="2369" t="s">
        <v>461</v>
      </c>
      <c r="AF12" s="2369" t="s">
        <v>462</v>
      </c>
      <c r="AG12" s="2369" t="s">
        <v>463</v>
      </c>
      <c r="AH12" s="2369" t="s">
        <v>464</v>
      </c>
      <c r="AI12" s="380"/>
      <c r="AM12" s="444"/>
      <c r="AP12" s="433" t="s">
        <v>465</v>
      </c>
      <c r="AQ12" s="433" t="s">
        <v>465</v>
      </c>
      <c r="AT12" s="380">
        <v>14</v>
      </c>
    </row>
    <row r="13" spans="1:46" ht="18" customHeight="1">
      <c r="A13" s="380"/>
      <c r="C13" s="383"/>
      <c r="D13" s="338"/>
      <c r="E13" s="768" t="str">
        <f>IF(TITLE_DIFFERENTIATION_TYPE="нет","","Добавить систему")</f>
        <v/>
      </c>
      <c r="F13" s="768" t="str">
        <f>IF(TITLE_DIFFERENTIATION_TYPE="нет","Добавить вид деятельности","")</f>
        <v>Добавить вид деятельности</v>
      </c>
      <c r="G13" s="247"/>
      <c r="H13" s="339"/>
      <c r="I13" s="339"/>
      <c r="J13" s="339"/>
      <c r="K13" s="339"/>
      <c r="L13" s="339"/>
      <c r="M13" s="339"/>
      <c r="N13" s="339"/>
      <c r="O13" s="339"/>
      <c r="P13" s="339"/>
      <c r="Q13" s="339"/>
      <c r="R13" s="339"/>
      <c r="S13" s="339"/>
      <c r="T13" s="339"/>
      <c r="U13" s="339"/>
      <c r="V13" s="339"/>
      <c r="W13" s="339"/>
      <c r="X13" s="339"/>
      <c r="Y13" s="339"/>
      <c r="Z13" s="339"/>
      <c r="AA13" s="339"/>
      <c r="AB13" s="339"/>
      <c r="AC13" s="339"/>
      <c r="AD13" s="756"/>
      <c r="AE13" s="2370"/>
      <c r="AF13" s="2370"/>
      <c r="AG13" s="2370"/>
      <c r="AH13" s="2370"/>
      <c r="AI13" s="380"/>
      <c r="AT13" s="380">
        <v>17</v>
      </c>
    </row>
    <row r="14" spans="1:46" ht="14.65" customHeight="1">
      <c r="AI14" s="380"/>
      <c r="AT14" s="380">
        <v>14</v>
      </c>
    </row>
    <row r="15" spans="1:46" ht="14.65" customHeight="1">
      <c r="E15" s="663"/>
      <c r="L15" s="663"/>
      <c r="AT15" s="380">
        <v>14</v>
      </c>
    </row>
    <row r="16" spans="1:46" ht="14.65" customHeight="1">
      <c r="L16" s="663"/>
      <c r="AT16" s="380">
        <v>14</v>
      </c>
    </row>
    <row r="17" spans="1:46" ht="14.65" customHeight="1">
      <c r="L17" s="663"/>
      <c r="AT17" s="380">
        <v>14</v>
      </c>
    </row>
    <row r="18" spans="1:46" ht="22.5" hidden="1" customHeight="1">
      <c r="A18" s="382" t="s">
        <v>69</v>
      </c>
      <c r="B18" s="380">
        <v>0</v>
      </c>
      <c r="C18" s="384">
        <v>3</v>
      </c>
      <c r="D18" s="380">
        <v>5</v>
      </c>
      <c r="E18" s="380">
        <v>48</v>
      </c>
      <c r="F18" s="380">
        <v>38</v>
      </c>
      <c r="G18" s="663">
        <v>0</v>
      </c>
      <c r="H18" s="380">
        <v>0</v>
      </c>
      <c r="I18" s="380">
        <v>0</v>
      </c>
      <c r="J18" s="380">
        <v>0</v>
      </c>
      <c r="K18" s="380">
        <v>0</v>
      </c>
      <c r="L18" s="380">
        <v>0</v>
      </c>
      <c r="M18" s="380">
        <v>0</v>
      </c>
      <c r="N18" s="380">
        <v>0</v>
      </c>
      <c r="O18" s="380">
        <v>0</v>
      </c>
      <c r="P18" s="380">
        <v>0</v>
      </c>
      <c r="Q18" s="380">
        <v>0</v>
      </c>
      <c r="R18" s="380">
        <v>0</v>
      </c>
      <c r="S18" s="663">
        <v>0</v>
      </c>
      <c r="T18" s="438">
        <v>0</v>
      </c>
      <c r="U18" s="438">
        <v>0</v>
      </c>
      <c r="V18" s="438">
        <v>0</v>
      </c>
      <c r="W18" s="663">
        <v>0</v>
      </c>
      <c r="X18" s="438">
        <v>0</v>
      </c>
      <c r="Y18" s="438">
        <v>0</v>
      </c>
      <c r="Z18" s="438">
        <v>0</v>
      </c>
      <c r="AA18" s="663">
        <v>0</v>
      </c>
      <c r="AB18" s="438">
        <v>0</v>
      </c>
      <c r="AC18" s="438">
        <v>0</v>
      </c>
      <c r="AD18" s="663">
        <v>0</v>
      </c>
      <c r="AE18" s="380">
        <v>0</v>
      </c>
      <c r="AF18" s="438">
        <v>0</v>
      </c>
      <c r="AG18" s="438">
        <v>0</v>
      </c>
      <c r="AH18" s="438">
        <v>0</v>
      </c>
      <c r="AI18" s="385">
        <v>3</v>
      </c>
      <c r="AJ18" s="422">
        <v>10</v>
      </c>
      <c r="AK18" s="422">
        <v>10</v>
      </c>
      <c r="AL18" s="422">
        <v>10</v>
      </c>
      <c r="AM18" s="422">
        <v>0</v>
      </c>
      <c r="AN18" s="422">
        <v>15</v>
      </c>
      <c r="AO18" s="422">
        <v>16</v>
      </c>
      <c r="AP18" s="422">
        <v>10</v>
      </c>
      <c r="AQ18" s="422">
        <v>10</v>
      </c>
      <c r="AR18" s="422">
        <v>10</v>
      </c>
      <c r="AS18" s="422">
        <v>10</v>
      </c>
      <c r="AT18" s="380">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12"/>
  <sheetViews>
    <sheetView showGridLines="0" workbookViewId="0"/>
  </sheetViews>
  <sheetFormatPr defaultColWidth="9.140625" defaultRowHeight="11.25" customHeight="1"/>
  <cols>
    <col min="1" max="2" width="9.140625" style="1606"/>
    <col min="3" max="3" width="20.7109375" style="1606" customWidth="1"/>
    <col min="4" max="4" width="25.140625" style="1606" customWidth="1"/>
    <col min="5" max="9" width="9.140625" style="1606"/>
  </cols>
  <sheetData>
    <row r="1" spans="1:9" ht="11.25" customHeight="1">
      <c r="A1" s="6" t="s">
        <v>2287</v>
      </c>
      <c r="B1" s="6" t="s">
        <v>2288</v>
      </c>
      <c r="C1" s="6" t="s">
        <v>2289</v>
      </c>
      <c r="D1" s="6" t="s">
        <v>2290</v>
      </c>
      <c r="E1" s="6" t="s">
        <v>2291</v>
      </c>
      <c r="F1" s="6" t="s">
        <v>2292</v>
      </c>
      <c r="G1" s="6" t="s">
        <v>2293</v>
      </c>
      <c r="H1" s="6" t="s">
        <v>2294</v>
      </c>
      <c r="I1" s="6" t="s">
        <v>2295</v>
      </c>
    </row>
    <row r="2" spans="1:9" ht="11.25" customHeight="1">
      <c r="A2" s="1606" t="s">
        <v>2296</v>
      </c>
      <c r="B2" s="1606" t="s">
        <v>3</v>
      </c>
      <c r="C2" s="1606" t="s">
        <v>2297</v>
      </c>
      <c r="D2" s="1606" t="s">
        <v>2298</v>
      </c>
      <c r="E2" s="1606" t="s">
        <v>2299</v>
      </c>
      <c r="F2" s="1606" t="s">
        <v>2300</v>
      </c>
      <c r="G2" s="1606" t="s">
        <v>9</v>
      </c>
      <c r="H2" s="1606" t="s">
        <v>9</v>
      </c>
      <c r="I2" s="1606" t="s">
        <v>939</v>
      </c>
    </row>
    <row r="3" spans="1:9" ht="11.25" customHeight="1">
      <c r="A3" s="1606" t="s">
        <v>2296</v>
      </c>
      <c r="B3" s="1606" t="s">
        <v>3</v>
      </c>
      <c r="C3" s="1606" t="s">
        <v>2301</v>
      </c>
      <c r="D3" s="1606" t="s">
        <v>2298</v>
      </c>
      <c r="E3" s="1606" t="s">
        <v>2299</v>
      </c>
      <c r="F3" s="1606" t="s">
        <v>2302</v>
      </c>
      <c r="G3" s="1606" t="s">
        <v>9</v>
      </c>
      <c r="H3" s="1606" t="s">
        <v>9</v>
      </c>
      <c r="I3" s="1606" t="s">
        <v>939</v>
      </c>
    </row>
    <row r="4" spans="1:9" ht="11.25" customHeight="1">
      <c r="A4" s="1606" t="s">
        <v>2296</v>
      </c>
      <c r="B4" s="1606" t="s">
        <v>3</v>
      </c>
      <c r="C4" s="1606" t="s">
        <v>2303</v>
      </c>
      <c r="D4" s="1606" t="s">
        <v>2304</v>
      </c>
      <c r="E4" s="1606" t="s">
        <v>2305</v>
      </c>
      <c r="F4" s="1606" t="s">
        <v>2306</v>
      </c>
      <c r="G4" s="1606" t="s">
        <v>9</v>
      </c>
      <c r="H4" s="1606" t="s">
        <v>9</v>
      </c>
      <c r="I4" s="1606" t="s">
        <v>939</v>
      </c>
    </row>
    <row r="5" spans="1:9" ht="11.25" customHeight="1">
      <c r="A5" s="1606" t="s">
        <v>2296</v>
      </c>
      <c r="B5" s="1606" t="s">
        <v>3</v>
      </c>
      <c r="C5" s="1606" t="s">
        <v>2307</v>
      </c>
      <c r="D5" s="1606" t="s">
        <v>2308</v>
      </c>
      <c r="E5" s="1606" t="s">
        <v>2309</v>
      </c>
      <c r="F5" s="1606" t="s">
        <v>2310</v>
      </c>
      <c r="G5" s="1606" t="s">
        <v>9</v>
      </c>
      <c r="H5" s="1606" t="s">
        <v>9</v>
      </c>
      <c r="I5" s="1606" t="s">
        <v>939</v>
      </c>
    </row>
    <row r="6" spans="1:9" ht="11.25" customHeight="1">
      <c r="A6" s="1606" t="s">
        <v>2296</v>
      </c>
      <c r="B6" s="1606" t="s">
        <v>3</v>
      </c>
      <c r="C6" s="1606" t="s">
        <v>2311</v>
      </c>
      <c r="D6" s="1606" t="s">
        <v>2312</v>
      </c>
      <c r="E6" s="1606" t="s">
        <v>2313</v>
      </c>
      <c r="F6" s="1606" t="s">
        <v>2314</v>
      </c>
      <c r="G6" s="1606" t="s">
        <v>9</v>
      </c>
      <c r="H6" s="1606" t="s">
        <v>9</v>
      </c>
      <c r="I6" s="1606" t="s">
        <v>939</v>
      </c>
    </row>
    <row r="7" spans="1:9" ht="11.25" customHeight="1">
      <c r="A7" s="1606" t="s">
        <v>2296</v>
      </c>
      <c r="B7" s="1606" t="s">
        <v>3</v>
      </c>
      <c r="C7" s="1606" t="s">
        <v>2315</v>
      </c>
      <c r="D7" s="1606" t="s">
        <v>2316</v>
      </c>
      <c r="E7" s="1606" t="s">
        <v>2317</v>
      </c>
      <c r="F7" s="1606" t="s">
        <v>2318</v>
      </c>
      <c r="G7" s="1606" t="s">
        <v>9</v>
      </c>
      <c r="H7" s="1606" t="s">
        <v>9</v>
      </c>
      <c r="I7" s="1606" t="s">
        <v>939</v>
      </c>
    </row>
    <row r="8" spans="1:9" ht="11.25" customHeight="1">
      <c r="A8" s="1606" t="s">
        <v>2296</v>
      </c>
      <c r="B8" s="1606" t="s">
        <v>3</v>
      </c>
      <c r="C8" s="1606" t="s">
        <v>2319</v>
      </c>
      <c r="D8" s="1606" t="s">
        <v>2320</v>
      </c>
      <c r="E8" s="1606" t="s">
        <v>2321</v>
      </c>
      <c r="F8" s="1606" t="s">
        <v>37</v>
      </c>
      <c r="G8" s="1606" t="s">
        <v>9</v>
      </c>
      <c r="H8" s="1606" t="s">
        <v>9</v>
      </c>
      <c r="I8" s="1606" t="s">
        <v>939</v>
      </c>
    </row>
    <row r="9" spans="1:9" ht="11.25" customHeight="1">
      <c r="A9" s="1606" t="s">
        <v>2296</v>
      </c>
      <c r="B9" s="1606" t="s">
        <v>3</v>
      </c>
      <c r="C9" s="1606" t="s">
        <v>2322</v>
      </c>
      <c r="D9" s="1606" t="s">
        <v>2323</v>
      </c>
      <c r="E9" s="1606" t="s">
        <v>2324</v>
      </c>
      <c r="F9" s="1606" t="s">
        <v>2302</v>
      </c>
      <c r="G9" s="1606" t="s">
        <v>9</v>
      </c>
      <c r="H9" s="1606" t="s">
        <v>9</v>
      </c>
      <c r="I9" s="1606" t="s">
        <v>939</v>
      </c>
    </row>
    <row r="10" spans="1:9" ht="11.25" customHeight="1">
      <c r="A10" s="1606" t="s">
        <v>2296</v>
      </c>
      <c r="B10" s="1606" t="s">
        <v>3</v>
      </c>
      <c r="C10" s="1606" t="s">
        <v>2325</v>
      </c>
      <c r="D10" s="1606" t="s">
        <v>2326</v>
      </c>
      <c r="E10" s="1606" t="s">
        <v>2327</v>
      </c>
      <c r="F10" s="1606" t="s">
        <v>2328</v>
      </c>
      <c r="G10" s="1606" t="s">
        <v>9</v>
      </c>
      <c r="H10" s="1606" t="s">
        <v>9</v>
      </c>
      <c r="I10" s="1606" t="s">
        <v>939</v>
      </c>
    </row>
    <row r="11" spans="1:9" ht="11.25" customHeight="1">
      <c r="A11" s="1606" t="s">
        <v>2296</v>
      </c>
      <c r="B11" s="1606" t="s">
        <v>3</v>
      </c>
      <c r="C11" s="1606" t="s">
        <v>2329</v>
      </c>
      <c r="D11" s="1606" t="s">
        <v>2330</v>
      </c>
      <c r="E11" s="1606" t="s">
        <v>2331</v>
      </c>
      <c r="F11" s="1606" t="s">
        <v>2332</v>
      </c>
      <c r="G11" s="1606" t="s">
        <v>9</v>
      </c>
      <c r="H11" s="1606" t="s">
        <v>9</v>
      </c>
      <c r="I11" s="1606" t="s">
        <v>939</v>
      </c>
    </row>
    <row r="12" spans="1:9" ht="11.25" customHeight="1">
      <c r="A12" s="1606" t="s">
        <v>2296</v>
      </c>
      <c r="B12" s="1606" t="s">
        <v>3</v>
      </c>
      <c r="C12" s="1606" t="s">
        <v>2333</v>
      </c>
      <c r="D12" s="1606" t="s">
        <v>2334</v>
      </c>
      <c r="E12" s="1606" t="s">
        <v>2335</v>
      </c>
      <c r="F12" s="1606" t="s">
        <v>2336</v>
      </c>
      <c r="G12" s="1606" t="s">
        <v>9</v>
      </c>
      <c r="H12" s="1606" t="s">
        <v>9</v>
      </c>
      <c r="I12" s="1606" t="s">
        <v>939</v>
      </c>
    </row>
    <row r="13" spans="1:9" ht="11.25" customHeight="1">
      <c r="A13" s="1606" t="s">
        <v>2296</v>
      </c>
      <c r="B13" s="1606" t="s">
        <v>3</v>
      </c>
      <c r="C13" s="1606" t="s">
        <v>2337</v>
      </c>
      <c r="D13" s="1606" t="s">
        <v>2338</v>
      </c>
      <c r="E13" s="1606" t="s">
        <v>2339</v>
      </c>
      <c r="F13" s="1606" t="s">
        <v>2310</v>
      </c>
      <c r="G13" s="1606" t="s">
        <v>9</v>
      </c>
      <c r="H13" s="1606" t="s">
        <v>9</v>
      </c>
      <c r="I13" s="1606" t="s">
        <v>939</v>
      </c>
    </row>
    <row r="14" spans="1:9" ht="11.25" customHeight="1">
      <c r="A14" s="1606" t="s">
        <v>2296</v>
      </c>
      <c r="B14" s="1606" t="s">
        <v>3</v>
      </c>
      <c r="C14" s="1606" t="s">
        <v>2340</v>
      </c>
      <c r="D14" s="1606" t="s">
        <v>2341</v>
      </c>
      <c r="E14" s="1606" t="s">
        <v>2342</v>
      </c>
      <c r="F14" s="1606" t="s">
        <v>2343</v>
      </c>
      <c r="G14" s="1606" t="s">
        <v>2344</v>
      </c>
      <c r="H14" s="1606" t="s">
        <v>9</v>
      </c>
      <c r="I14" s="1606" t="s">
        <v>939</v>
      </c>
    </row>
    <row r="15" spans="1:9" ht="11.25" customHeight="1">
      <c r="A15" s="1606" t="s">
        <v>2296</v>
      </c>
      <c r="B15" s="1606" t="s">
        <v>3</v>
      </c>
      <c r="C15" s="1606" t="s">
        <v>2345</v>
      </c>
      <c r="D15" s="1606" t="s">
        <v>2346</v>
      </c>
      <c r="E15" s="1606" t="s">
        <v>2347</v>
      </c>
      <c r="F15" s="1606" t="s">
        <v>2348</v>
      </c>
      <c r="G15" s="1606" t="s">
        <v>9</v>
      </c>
      <c r="H15" s="1606" t="s">
        <v>9</v>
      </c>
      <c r="I15" s="1606" t="s">
        <v>939</v>
      </c>
    </row>
    <row r="16" spans="1:9" ht="11.25" customHeight="1">
      <c r="A16" s="1606" t="s">
        <v>2296</v>
      </c>
      <c r="B16" s="1606" t="s">
        <v>3</v>
      </c>
      <c r="C16" s="1606" t="s">
        <v>2349</v>
      </c>
      <c r="D16" s="1606" t="s">
        <v>2350</v>
      </c>
      <c r="E16" s="1606" t="s">
        <v>2351</v>
      </c>
      <c r="F16" s="1606" t="s">
        <v>2352</v>
      </c>
      <c r="G16" s="1606" t="s">
        <v>9</v>
      </c>
      <c r="H16" s="1606" t="s">
        <v>9</v>
      </c>
      <c r="I16" s="1606" t="s">
        <v>939</v>
      </c>
    </row>
    <row r="17" spans="1:9" ht="11.25" customHeight="1">
      <c r="A17" s="1606" t="s">
        <v>2296</v>
      </c>
      <c r="B17" s="1606" t="s">
        <v>3</v>
      </c>
      <c r="C17" s="1606" t="s">
        <v>2353</v>
      </c>
      <c r="D17" s="1606" t="s">
        <v>2354</v>
      </c>
      <c r="E17" s="1606" t="s">
        <v>2355</v>
      </c>
      <c r="F17" s="1606" t="s">
        <v>2356</v>
      </c>
      <c r="G17" s="1606" t="s">
        <v>9</v>
      </c>
      <c r="H17" s="1606" t="s">
        <v>9</v>
      </c>
      <c r="I17" s="1606" t="s">
        <v>939</v>
      </c>
    </row>
    <row r="18" spans="1:9" ht="11.25" customHeight="1">
      <c r="A18" s="1606" t="s">
        <v>2296</v>
      </c>
      <c r="B18" s="1606" t="s">
        <v>3</v>
      </c>
      <c r="C18" s="1606" t="s">
        <v>2357</v>
      </c>
      <c r="D18" s="1606" t="s">
        <v>2358</v>
      </c>
      <c r="E18" s="1606" t="s">
        <v>2359</v>
      </c>
      <c r="F18" s="1606" t="s">
        <v>2360</v>
      </c>
      <c r="G18" s="1606" t="s">
        <v>9</v>
      </c>
      <c r="H18" s="1606" t="s">
        <v>9</v>
      </c>
      <c r="I18" s="1606" t="s">
        <v>939</v>
      </c>
    </row>
    <row r="19" spans="1:9" ht="11.25" customHeight="1">
      <c r="A19" s="1606" t="s">
        <v>2296</v>
      </c>
      <c r="B19" s="1606" t="s">
        <v>3</v>
      </c>
      <c r="C19" s="1606" t="s">
        <v>2361</v>
      </c>
      <c r="D19" s="1606" t="s">
        <v>2362</v>
      </c>
      <c r="E19" s="1606" t="s">
        <v>2363</v>
      </c>
      <c r="F19" s="1606" t="s">
        <v>37</v>
      </c>
      <c r="G19" s="1606" t="s">
        <v>9</v>
      </c>
      <c r="H19" s="1606" t="s">
        <v>9</v>
      </c>
      <c r="I19" s="1606" t="s">
        <v>939</v>
      </c>
    </row>
    <row r="20" spans="1:9" ht="11.25" customHeight="1">
      <c r="A20" s="1606" t="s">
        <v>2296</v>
      </c>
      <c r="B20" s="1606" t="s">
        <v>3</v>
      </c>
      <c r="C20" s="1606" t="s">
        <v>2364</v>
      </c>
      <c r="D20" s="1606" t="s">
        <v>2365</v>
      </c>
      <c r="E20" s="1606" t="s">
        <v>2366</v>
      </c>
      <c r="F20" s="1606" t="s">
        <v>37</v>
      </c>
      <c r="G20" s="1606" t="s">
        <v>9</v>
      </c>
      <c r="H20" s="1606" t="s">
        <v>9</v>
      </c>
      <c r="I20" s="1606" t="s">
        <v>939</v>
      </c>
    </row>
    <row r="21" spans="1:9" ht="11.25" customHeight="1">
      <c r="A21" s="1606" t="s">
        <v>2296</v>
      </c>
      <c r="B21" s="1606" t="s">
        <v>3</v>
      </c>
      <c r="C21" s="1606" t="s">
        <v>2367</v>
      </c>
      <c r="D21" s="1606" t="s">
        <v>2368</v>
      </c>
      <c r="E21" s="1606" t="s">
        <v>2369</v>
      </c>
      <c r="F21" s="1606" t="s">
        <v>664</v>
      </c>
      <c r="G21" s="1606" t="s">
        <v>9</v>
      </c>
      <c r="H21" s="1606" t="s">
        <v>9</v>
      </c>
      <c r="I21" s="1606" t="s">
        <v>939</v>
      </c>
    </row>
    <row r="22" spans="1:9" ht="11.25" customHeight="1">
      <c r="A22" s="1606" t="s">
        <v>2296</v>
      </c>
      <c r="B22" s="1606" t="s">
        <v>3</v>
      </c>
      <c r="C22" s="1606" t="s">
        <v>2370</v>
      </c>
      <c r="D22" s="1606" t="s">
        <v>2371</v>
      </c>
      <c r="E22" s="1606" t="s">
        <v>2372</v>
      </c>
      <c r="F22" s="1606" t="s">
        <v>664</v>
      </c>
      <c r="G22" s="1606" t="s">
        <v>9</v>
      </c>
      <c r="H22" s="1606" t="s">
        <v>9</v>
      </c>
      <c r="I22" s="1606" t="s">
        <v>939</v>
      </c>
    </row>
    <row r="23" spans="1:9" ht="11.25" customHeight="1">
      <c r="A23" s="1606" t="s">
        <v>2296</v>
      </c>
      <c r="B23" s="1606" t="s">
        <v>3</v>
      </c>
      <c r="C23" s="1606" t="s">
        <v>2373</v>
      </c>
      <c r="D23" s="1606" t="s">
        <v>2374</v>
      </c>
      <c r="E23" s="1606" t="s">
        <v>2375</v>
      </c>
      <c r="F23" s="1606" t="s">
        <v>664</v>
      </c>
      <c r="G23" s="1606" t="s">
        <v>9</v>
      </c>
      <c r="H23" s="1606" t="s">
        <v>9</v>
      </c>
      <c r="I23" s="1606" t="s">
        <v>939</v>
      </c>
    </row>
    <row r="24" spans="1:9" ht="11.25" customHeight="1">
      <c r="A24" s="1606" t="s">
        <v>2296</v>
      </c>
      <c r="B24" s="1606" t="s">
        <v>3</v>
      </c>
      <c r="C24" s="1606" t="s">
        <v>2376</v>
      </c>
      <c r="D24" s="1606" t="s">
        <v>2377</v>
      </c>
      <c r="E24" s="1606" t="s">
        <v>2378</v>
      </c>
      <c r="F24" s="1606" t="s">
        <v>664</v>
      </c>
      <c r="G24" s="1606" t="s">
        <v>9</v>
      </c>
      <c r="H24" s="1606" t="s">
        <v>9</v>
      </c>
      <c r="I24" s="1606" t="s">
        <v>939</v>
      </c>
    </row>
    <row r="25" spans="1:9" ht="11.25" customHeight="1">
      <c r="A25" s="1606" t="s">
        <v>2296</v>
      </c>
      <c r="B25" s="1606" t="s">
        <v>3</v>
      </c>
      <c r="C25" s="1606" t="s">
        <v>2379</v>
      </c>
      <c r="D25" s="1606" t="s">
        <v>2380</v>
      </c>
      <c r="E25" s="1606" t="s">
        <v>2381</v>
      </c>
      <c r="F25" s="1606" t="s">
        <v>664</v>
      </c>
      <c r="G25" s="1606" t="s">
        <v>9</v>
      </c>
      <c r="H25" s="1606" t="s">
        <v>9</v>
      </c>
      <c r="I25" s="1606" t="s">
        <v>939</v>
      </c>
    </row>
    <row r="26" spans="1:9" ht="11.25" customHeight="1">
      <c r="A26" s="1606" t="s">
        <v>2296</v>
      </c>
      <c r="B26" s="1606" t="s">
        <v>3</v>
      </c>
      <c r="C26" s="1606" t="s">
        <v>2382</v>
      </c>
      <c r="D26" s="1606" t="s">
        <v>2383</v>
      </c>
      <c r="E26" s="1606" t="s">
        <v>2384</v>
      </c>
      <c r="F26" s="1606" t="s">
        <v>2385</v>
      </c>
      <c r="G26" s="1606" t="s">
        <v>9</v>
      </c>
      <c r="H26" s="1606" t="s">
        <v>9</v>
      </c>
      <c r="I26" s="1606" t="s">
        <v>939</v>
      </c>
    </row>
    <row r="27" spans="1:9" ht="11.25" customHeight="1">
      <c r="A27" s="1606" t="s">
        <v>2296</v>
      </c>
      <c r="B27" s="1606" t="s">
        <v>3</v>
      </c>
      <c r="C27" s="1606" t="s">
        <v>2386</v>
      </c>
      <c r="D27" s="1606" t="s">
        <v>2387</v>
      </c>
      <c r="E27" s="1606" t="s">
        <v>2388</v>
      </c>
      <c r="F27" s="1606" t="s">
        <v>2385</v>
      </c>
      <c r="G27" s="1606" t="s">
        <v>9</v>
      </c>
      <c r="H27" s="1606" t="s">
        <v>9</v>
      </c>
      <c r="I27" s="1606" t="s">
        <v>939</v>
      </c>
    </row>
    <row r="28" spans="1:9" ht="11.25" customHeight="1">
      <c r="A28" s="1606" t="s">
        <v>2296</v>
      </c>
      <c r="B28" s="1606" t="s">
        <v>3</v>
      </c>
      <c r="C28" s="1606" t="s">
        <v>2389</v>
      </c>
      <c r="D28" s="1606" t="s">
        <v>2390</v>
      </c>
      <c r="E28" s="1606" t="s">
        <v>2391</v>
      </c>
      <c r="F28" s="1606" t="s">
        <v>2392</v>
      </c>
      <c r="G28" s="1606" t="s">
        <v>9</v>
      </c>
      <c r="H28" s="1606" t="s">
        <v>9</v>
      </c>
      <c r="I28" s="1606" t="s">
        <v>939</v>
      </c>
    </row>
    <row r="29" spans="1:9" ht="11.25" customHeight="1">
      <c r="A29" s="1606" t="s">
        <v>2296</v>
      </c>
      <c r="B29" s="1606" t="s">
        <v>3</v>
      </c>
      <c r="C29" s="1606" t="s">
        <v>2393</v>
      </c>
      <c r="D29" s="1606" t="s">
        <v>2394</v>
      </c>
      <c r="E29" s="1606" t="s">
        <v>2395</v>
      </c>
      <c r="F29" s="1606" t="s">
        <v>2396</v>
      </c>
      <c r="G29" s="1606" t="s">
        <v>2397</v>
      </c>
      <c r="H29" s="1606" t="s">
        <v>9</v>
      </c>
      <c r="I29" s="1606" t="s">
        <v>939</v>
      </c>
    </row>
    <row r="30" spans="1:9" ht="11.25" customHeight="1">
      <c r="A30" s="1606" t="s">
        <v>2296</v>
      </c>
      <c r="B30" s="1606" t="s">
        <v>3</v>
      </c>
      <c r="C30" s="1606" t="s">
        <v>9</v>
      </c>
      <c r="D30" s="1606" t="s">
        <v>2398</v>
      </c>
      <c r="E30" s="1606" t="s">
        <v>2399</v>
      </c>
      <c r="F30" s="1606" t="s">
        <v>2343</v>
      </c>
      <c r="G30" s="1606" t="s">
        <v>9</v>
      </c>
      <c r="H30" s="1606" t="s">
        <v>9</v>
      </c>
      <c r="I30" s="1606" t="s">
        <v>939</v>
      </c>
    </row>
    <row r="31" spans="1:9" ht="11.25" customHeight="1">
      <c r="A31" s="1606" t="s">
        <v>2296</v>
      </c>
      <c r="B31" s="1606" t="s">
        <v>3</v>
      </c>
      <c r="C31" s="1606" t="s">
        <v>2400</v>
      </c>
      <c r="D31" s="1606" t="s">
        <v>2401</v>
      </c>
      <c r="E31" s="1606" t="s">
        <v>2402</v>
      </c>
      <c r="F31" s="1606" t="s">
        <v>2403</v>
      </c>
      <c r="G31" s="1606" t="s">
        <v>9</v>
      </c>
      <c r="H31" s="1606" t="s">
        <v>9</v>
      </c>
      <c r="I31" s="1606" t="s">
        <v>939</v>
      </c>
    </row>
    <row r="32" spans="1:9" ht="11.25" customHeight="1">
      <c r="A32" s="1606" t="s">
        <v>2296</v>
      </c>
      <c r="B32" s="1606" t="s">
        <v>3</v>
      </c>
      <c r="C32" s="1606" t="s">
        <v>2404</v>
      </c>
      <c r="D32" s="1606" t="s">
        <v>2405</v>
      </c>
      <c r="E32" s="1606" t="s">
        <v>2406</v>
      </c>
      <c r="F32" s="1606" t="s">
        <v>2407</v>
      </c>
      <c r="G32" s="1606" t="s">
        <v>9</v>
      </c>
      <c r="H32" s="1606" t="s">
        <v>9</v>
      </c>
      <c r="I32" s="1606" t="s">
        <v>939</v>
      </c>
    </row>
    <row r="33" spans="1:9" ht="11.25" customHeight="1">
      <c r="A33" s="1606" t="s">
        <v>2296</v>
      </c>
      <c r="B33" s="1606" t="s">
        <v>3</v>
      </c>
      <c r="C33" s="1606" t="s">
        <v>2408</v>
      </c>
      <c r="D33" s="1606" t="s">
        <v>2409</v>
      </c>
      <c r="E33" s="1606" t="s">
        <v>2410</v>
      </c>
      <c r="F33" s="1606" t="s">
        <v>2328</v>
      </c>
      <c r="G33" s="1606" t="s">
        <v>9</v>
      </c>
      <c r="H33" s="1606" t="s">
        <v>9</v>
      </c>
      <c r="I33" s="1606" t="s">
        <v>939</v>
      </c>
    </row>
    <row r="34" spans="1:9" ht="11.25" customHeight="1">
      <c r="A34" s="1606" t="s">
        <v>2296</v>
      </c>
      <c r="B34" s="1606" t="s">
        <v>3</v>
      </c>
      <c r="C34" s="1606" t="s">
        <v>2411</v>
      </c>
      <c r="D34" s="1606" t="s">
        <v>2412</v>
      </c>
      <c r="E34" s="1606" t="s">
        <v>2413</v>
      </c>
      <c r="F34" s="1606" t="s">
        <v>2414</v>
      </c>
      <c r="G34" s="1606" t="s">
        <v>9</v>
      </c>
      <c r="H34" s="1606" t="s">
        <v>9</v>
      </c>
      <c r="I34" s="1606" t="s">
        <v>939</v>
      </c>
    </row>
    <row r="35" spans="1:9" ht="11.25" customHeight="1">
      <c r="A35" s="1606" t="s">
        <v>2296</v>
      </c>
      <c r="B35" s="1606" t="s">
        <v>3</v>
      </c>
      <c r="C35" s="1606" t="s">
        <v>2415</v>
      </c>
      <c r="D35" s="1606" t="s">
        <v>2416</v>
      </c>
      <c r="E35" s="1606" t="s">
        <v>2417</v>
      </c>
      <c r="F35" s="1606" t="s">
        <v>2418</v>
      </c>
      <c r="G35" s="1606" t="s">
        <v>9</v>
      </c>
      <c r="H35" s="1606" t="s">
        <v>9</v>
      </c>
      <c r="I35" s="1606" t="s">
        <v>939</v>
      </c>
    </row>
    <row r="36" spans="1:9" ht="11.25" customHeight="1">
      <c r="A36" s="1606" t="s">
        <v>2296</v>
      </c>
      <c r="B36" s="1606" t="s">
        <v>3</v>
      </c>
      <c r="C36" s="1606" t="s">
        <v>2419</v>
      </c>
      <c r="D36" s="1606" t="s">
        <v>2420</v>
      </c>
      <c r="E36" s="1606" t="s">
        <v>2421</v>
      </c>
      <c r="F36" s="1606" t="s">
        <v>2422</v>
      </c>
      <c r="G36" s="1606" t="s">
        <v>9</v>
      </c>
      <c r="H36" s="1606" t="s">
        <v>9</v>
      </c>
      <c r="I36" s="1606" t="s">
        <v>939</v>
      </c>
    </row>
    <row r="37" spans="1:9" ht="11.25" customHeight="1">
      <c r="A37" s="1606" t="s">
        <v>2296</v>
      </c>
      <c r="B37" s="1606" t="s">
        <v>3</v>
      </c>
      <c r="C37" s="1606" t="s">
        <v>2423</v>
      </c>
      <c r="D37" s="1606" t="s">
        <v>2424</v>
      </c>
      <c r="E37" s="1606" t="s">
        <v>2425</v>
      </c>
      <c r="F37" s="1606" t="s">
        <v>2418</v>
      </c>
      <c r="G37" s="1606" t="s">
        <v>9</v>
      </c>
      <c r="H37" s="1606" t="s">
        <v>9</v>
      </c>
      <c r="I37" s="1606" t="s">
        <v>939</v>
      </c>
    </row>
    <row r="38" spans="1:9" ht="11.25" customHeight="1">
      <c r="A38" s="1606" t="s">
        <v>2296</v>
      </c>
      <c r="B38" s="1606" t="s">
        <v>3</v>
      </c>
      <c r="C38" s="1606" t="s">
        <v>2426</v>
      </c>
      <c r="D38" s="1606" t="s">
        <v>2427</v>
      </c>
      <c r="E38" s="1606" t="s">
        <v>2428</v>
      </c>
      <c r="F38" s="1606" t="s">
        <v>2318</v>
      </c>
      <c r="G38" s="1606" t="s">
        <v>9</v>
      </c>
      <c r="H38" s="1606" t="s">
        <v>9</v>
      </c>
      <c r="I38" s="1606" t="s">
        <v>939</v>
      </c>
    </row>
    <row r="39" spans="1:9" ht="11.25" customHeight="1">
      <c r="A39" s="1606" t="s">
        <v>2296</v>
      </c>
      <c r="B39" s="1606" t="s">
        <v>3</v>
      </c>
      <c r="C39" s="1606" t="s">
        <v>2429</v>
      </c>
      <c r="D39" s="1606" t="s">
        <v>2430</v>
      </c>
      <c r="E39" s="1606" t="s">
        <v>2431</v>
      </c>
      <c r="F39" s="1606" t="s">
        <v>2432</v>
      </c>
      <c r="G39" s="1606" t="s">
        <v>2433</v>
      </c>
      <c r="H39" s="1606" t="s">
        <v>9</v>
      </c>
      <c r="I39" s="1606" t="s">
        <v>939</v>
      </c>
    </row>
    <row r="40" spans="1:9" ht="11.25" customHeight="1">
      <c r="A40" s="1606" t="s">
        <v>2296</v>
      </c>
      <c r="B40" s="1606" t="s">
        <v>3</v>
      </c>
      <c r="C40" s="1606" t="s">
        <v>2434</v>
      </c>
      <c r="D40" s="1606" t="s">
        <v>2435</v>
      </c>
      <c r="E40" s="1606" t="s">
        <v>2436</v>
      </c>
      <c r="F40" s="1606" t="s">
        <v>2352</v>
      </c>
      <c r="G40" s="1606" t="s">
        <v>9</v>
      </c>
      <c r="H40" s="1606" t="s">
        <v>9</v>
      </c>
      <c r="I40" s="1606" t="s">
        <v>939</v>
      </c>
    </row>
    <row r="41" spans="1:9" ht="11.25" customHeight="1">
      <c r="A41" s="1606" t="s">
        <v>2296</v>
      </c>
      <c r="B41" s="1606" t="s">
        <v>3</v>
      </c>
      <c r="C41" s="1606" t="s">
        <v>2437</v>
      </c>
      <c r="D41" s="1606" t="s">
        <v>2435</v>
      </c>
      <c r="E41" s="1606" t="s">
        <v>2438</v>
      </c>
      <c r="F41" s="1606" t="s">
        <v>2352</v>
      </c>
      <c r="G41" s="1606" t="s">
        <v>9</v>
      </c>
      <c r="H41" s="1606" t="s">
        <v>9</v>
      </c>
      <c r="I41" s="1606" t="s">
        <v>939</v>
      </c>
    </row>
    <row r="42" spans="1:9" ht="11.25" customHeight="1">
      <c r="A42" s="1606" t="s">
        <v>2296</v>
      </c>
      <c r="B42" s="1606" t="s">
        <v>3</v>
      </c>
      <c r="C42" s="1606" t="s">
        <v>2439</v>
      </c>
      <c r="D42" s="1606" t="s">
        <v>2440</v>
      </c>
      <c r="E42" s="1606" t="s">
        <v>2441</v>
      </c>
      <c r="F42" s="1606" t="s">
        <v>2407</v>
      </c>
      <c r="G42" s="1606" t="s">
        <v>9</v>
      </c>
      <c r="H42" s="1606" t="s">
        <v>2442</v>
      </c>
      <c r="I42" s="1606" t="s">
        <v>939</v>
      </c>
    </row>
    <row r="43" spans="1:9" ht="11.25" customHeight="1">
      <c r="A43" s="1606" t="s">
        <v>2296</v>
      </c>
      <c r="B43" s="1606" t="s">
        <v>3</v>
      </c>
      <c r="C43" s="1606" t="s">
        <v>2443</v>
      </c>
      <c r="D43" s="1606" t="s">
        <v>2440</v>
      </c>
      <c r="E43" s="1606" t="s">
        <v>2444</v>
      </c>
      <c r="F43" s="1606" t="s">
        <v>2445</v>
      </c>
      <c r="G43" s="1606" t="s">
        <v>9</v>
      </c>
      <c r="H43" s="1606" t="s">
        <v>9</v>
      </c>
      <c r="I43" s="1606" t="s">
        <v>939</v>
      </c>
    </row>
    <row r="44" spans="1:9" ht="11.25" customHeight="1">
      <c r="A44" s="1606" t="s">
        <v>2296</v>
      </c>
      <c r="B44" s="1606" t="s">
        <v>3</v>
      </c>
      <c r="C44" s="1606" t="s">
        <v>2446</v>
      </c>
      <c r="D44" s="1606" t="s">
        <v>2440</v>
      </c>
      <c r="E44" s="1606" t="s">
        <v>2447</v>
      </c>
      <c r="F44" s="1606" t="s">
        <v>2448</v>
      </c>
      <c r="G44" s="1606" t="s">
        <v>9</v>
      </c>
      <c r="H44" s="1606" t="s">
        <v>9</v>
      </c>
      <c r="I44" s="1606" t="s">
        <v>939</v>
      </c>
    </row>
    <row r="45" spans="1:9" ht="11.25" customHeight="1">
      <c r="A45" s="1606" t="s">
        <v>2296</v>
      </c>
      <c r="B45" s="1606" t="s">
        <v>3</v>
      </c>
      <c r="C45" s="1606" t="s">
        <v>2449</v>
      </c>
      <c r="D45" s="1606" t="s">
        <v>2440</v>
      </c>
      <c r="E45" s="1606" t="s">
        <v>2450</v>
      </c>
      <c r="F45" s="1606" t="s">
        <v>2451</v>
      </c>
      <c r="G45" s="1606" t="s">
        <v>9</v>
      </c>
      <c r="H45" s="1606" t="s">
        <v>9</v>
      </c>
      <c r="I45" s="1606" t="s">
        <v>939</v>
      </c>
    </row>
    <row r="46" spans="1:9" ht="11.25" customHeight="1">
      <c r="A46" s="1606" t="s">
        <v>2296</v>
      </c>
      <c r="B46" s="1606" t="s">
        <v>3</v>
      </c>
      <c r="C46" s="1606" t="s">
        <v>2452</v>
      </c>
      <c r="D46" s="1606" t="s">
        <v>2440</v>
      </c>
      <c r="E46" s="1606" t="s">
        <v>2453</v>
      </c>
      <c r="F46" s="1606" t="s">
        <v>2422</v>
      </c>
      <c r="G46" s="1606" t="s">
        <v>9</v>
      </c>
      <c r="H46" s="1606" t="s">
        <v>9</v>
      </c>
      <c r="I46" s="1606" t="s">
        <v>939</v>
      </c>
    </row>
    <row r="47" spans="1:9" ht="11.25" customHeight="1">
      <c r="A47" s="1606" t="s">
        <v>2296</v>
      </c>
      <c r="B47" s="1606" t="s">
        <v>3</v>
      </c>
      <c r="C47" s="1606" t="s">
        <v>2454</v>
      </c>
      <c r="D47" s="1606" t="s">
        <v>2455</v>
      </c>
      <c r="E47" s="1606" t="s">
        <v>2456</v>
      </c>
      <c r="F47" s="1606" t="s">
        <v>2352</v>
      </c>
      <c r="G47" s="1606" t="s">
        <v>9</v>
      </c>
      <c r="H47" s="1606" t="s">
        <v>9</v>
      </c>
      <c r="I47" s="1606" t="s">
        <v>939</v>
      </c>
    </row>
    <row r="48" spans="1:9" ht="11.25" customHeight="1">
      <c r="A48" s="1606" t="s">
        <v>2296</v>
      </c>
      <c r="B48" s="1606" t="s">
        <v>3</v>
      </c>
      <c r="C48" s="1606" t="s">
        <v>2457</v>
      </c>
      <c r="D48" s="1606" t="s">
        <v>2458</v>
      </c>
      <c r="E48" s="1606" t="s">
        <v>2459</v>
      </c>
      <c r="F48" s="1606" t="s">
        <v>2318</v>
      </c>
      <c r="G48" s="1606" t="s">
        <v>9</v>
      </c>
      <c r="H48" s="1606" t="s">
        <v>9</v>
      </c>
      <c r="I48" s="1606" t="s">
        <v>939</v>
      </c>
    </row>
    <row r="49" spans="1:9" ht="11.25" customHeight="1">
      <c r="A49" s="1606" t="s">
        <v>2296</v>
      </c>
      <c r="B49" s="1606" t="s">
        <v>3</v>
      </c>
      <c r="C49" s="1606" t="s">
        <v>2460</v>
      </c>
      <c r="D49" s="1606" t="s">
        <v>2461</v>
      </c>
      <c r="E49" s="1606" t="s">
        <v>2462</v>
      </c>
      <c r="F49" s="1606" t="s">
        <v>2328</v>
      </c>
      <c r="G49" s="1606" t="s">
        <v>9</v>
      </c>
      <c r="H49" s="1606" t="s">
        <v>9</v>
      </c>
      <c r="I49" s="1606" t="s">
        <v>939</v>
      </c>
    </row>
    <row r="50" spans="1:9" ht="11.25" customHeight="1">
      <c r="A50" s="1606" t="s">
        <v>2296</v>
      </c>
      <c r="B50" s="1606" t="s">
        <v>3</v>
      </c>
      <c r="C50" s="1606" t="s">
        <v>2463</v>
      </c>
      <c r="D50" s="1606" t="s">
        <v>2464</v>
      </c>
      <c r="E50" s="1606" t="s">
        <v>2465</v>
      </c>
      <c r="F50" s="1606" t="s">
        <v>2318</v>
      </c>
      <c r="G50" s="1606" t="s">
        <v>2466</v>
      </c>
      <c r="H50" s="1606" t="s">
        <v>9</v>
      </c>
      <c r="I50" s="1606" t="s">
        <v>939</v>
      </c>
    </row>
    <row r="51" spans="1:9" ht="11.25" customHeight="1">
      <c r="A51" s="1606" t="s">
        <v>2296</v>
      </c>
      <c r="B51" s="1606" t="s">
        <v>3</v>
      </c>
      <c r="C51" s="1606" t="s">
        <v>2467</v>
      </c>
      <c r="D51" s="1606" t="s">
        <v>2468</v>
      </c>
      <c r="E51" s="1606" t="s">
        <v>2469</v>
      </c>
      <c r="F51" s="1606" t="s">
        <v>2403</v>
      </c>
      <c r="G51" s="1606" t="s">
        <v>9</v>
      </c>
      <c r="H51" s="1606" t="s">
        <v>9</v>
      </c>
      <c r="I51" s="1606" t="s">
        <v>939</v>
      </c>
    </row>
    <row r="52" spans="1:9" ht="11.25" customHeight="1">
      <c r="A52" s="1606" t="s">
        <v>2296</v>
      </c>
      <c r="B52" s="1606" t="s">
        <v>3</v>
      </c>
      <c r="C52" s="1606" t="s">
        <v>2470</v>
      </c>
      <c r="D52" s="1606" t="s">
        <v>2471</v>
      </c>
      <c r="E52" s="1606" t="s">
        <v>2472</v>
      </c>
      <c r="F52" s="1606" t="s">
        <v>2343</v>
      </c>
      <c r="G52" s="1606" t="s">
        <v>9</v>
      </c>
      <c r="H52" s="1606" t="s">
        <v>9</v>
      </c>
      <c r="I52" s="1606" t="s">
        <v>939</v>
      </c>
    </row>
    <row r="53" spans="1:9" ht="11.25" customHeight="1">
      <c r="A53" s="1606" t="s">
        <v>2296</v>
      </c>
      <c r="B53" s="1606" t="s">
        <v>3</v>
      </c>
      <c r="C53" s="1606" t="s">
        <v>2473</v>
      </c>
      <c r="D53" s="1606" t="s">
        <v>2474</v>
      </c>
      <c r="E53" s="1606" t="s">
        <v>2475</v>
      </c>
      <c r="F53" s="1606" t="s">
        <v>2476</v>
      </c>
      <c r="G53" s="1606" t="s">
        <v>9</v>
      </c>
      <c r="H53" s="1606" t="s">
        <v>9</v>
      </c>
      <c r="I53" s="1606" t="s">
        <v>939</v>
      </c>
    </row>
    <row r="54" spans="1:9" ht="11.25" customHeight="1">
      <c r="A54" s="1606" t="s">
        <v>2296</v>
      </c>
      <c r="B54" s="1606" t="s">
        <v>3</v>
      </c>
      <c r="C54" s="1606" t="s">
        <v>2477</v>
      </c>
      <c r="D54" s="1606" t="s">
        <v>2478</v>
      </c>
      <c r="E54" s="1606" t="s">
        <v>2479</v>
      </c>
      <c r="F54" s="1606" t="s">
        <v>2414</v>
      </c>
      <c r="G54" s="1606" t="s">
        <v>2480</v>
      </c>
      <c r="H54" s="1606" t="s">
        <v>9</v>
      </c>
      <c r="I54" s="1606" t="s">
        <v>939</v>
      </c>
    </row>
    <row r="55" spans="1:9" ht="11.25" customHeight="1">
      <c r="A55" s="1606" t="s">
        <v>2296</v>
      </c>
      <c r="B55" s="1606" t="s">
        <v>3</v>
      </c>
      <c r="C55" s="1606" t="s">
        <v>2481</v>
      </c>
      <c r="D55" s="1606" t="s">
        <v>2482</v>
      </c>
      <c r="E55" s="1606" t="s">
        <v>2483</v>
      </c>
      <c r="F55" s="1606" t="s">
        <v>2318</v>
      </c>
      <c r="G55" s="1606" t="s">
        <v>9</v>
      </c>
      <c r="H55" s="1606" t="s">
        <v>9</v>
      </c>
      <c r="I55" s="1606" t="s">
        <v>939</v>
      </c>
    </row>
    <row r="56" spans="1:9" ht="11.25" customHeight="1">
      <c r="A56" s="1606" t="s">
        <v>2296</v>
      </c>
      <c r="B56" s="1606" t="s">
        <v>3</v>
      </c>
      <c r="C56" s="1606" t="s">
        <v>2484</v>
      </c>
      <c r="D56" s="1606" t="s">
        <v>2485</v>
      </c>
      <c r="E56" s="1606" t="s">
        <v>2486</v>
      </c>
      <c r="F56" s="1606" t="s">
        <v>2487</v>
      </c>
      <c r="G56" s="1606" t="s">
        <v>2488</v>
      </c>
      <c r="H56" s="1606" t="s">
        <v>9</v>
      </c>
      <c r="I56" s="1606" t="s">
        <v>939</v>
      </c>
    </row>
    <row r="57" spans="1:9" ht="11.25" customHeight="1">
      <c r="A57" s="1606" t="s">
        <v>2296</v>
      </c>
      <c r="B57" s="1606" t="s">
        <v>3</v>
      </c>
      <c r="C57" s="1606" t="s">
        <v>2489</v>
      </c>
      <c r="D57" s="1606" t="s">
        <v>2490</v>
      </c>
      <c r="E57" s="1606" t="s">
        <v>2491</v>
      </c>
      <c r="F57" s="1606" t="s">
        <v>2492</v>
      </c>
      <c r="G57" s="1606" t="s">
        <v>9</v>
      </c>
      <c r="H57" s="1606" t="s">
        <v>9</v>
      </c>
      <c r="I57" s="1606" t="s">
        <v>939</v>
      </c>
    </row>
    <row r="58" spans="1:9" ht="11.25" customHeight="1">
      <c r="A58" s="1606" t="s">
        <v>2296</v>
      </c>
      <c r="B58" s="1606" t="s">
        <v>3</v>
      </c>
      <c r="C58" s="1606" t="s">
        <v>2493</v>
      </c>
      <c r="D58" s="1606" t="s">
        <v>2494</v>
      </c>
      <c r="E58" s="1606" t="s">
        <v>2495</v>
      </c>
      <c r="F58" s="1606" t="s">
        <v>2407</v>
      </c>
      <c r="G58" s="1606" t="s">
        <v>9</v>
      </c>
      <c r="H58" s="1606" t="s">
        <v>9</v>
      </c>
      <c r="I58" s="1606" t="s">
        <v>939</v>
      </c>
    </row>
    <row r="59" spans="1:9" ht="11.25" customHeight="1">
      <c r="A59" s="1606" t="s">
        <v>2296</v>
      </c>
      <c r="B59" s="1606" t="s">
        <v>3</v>
      </c>
      <c r="C59" s="1606" t="s">
        <v>2496</v>
      </c>
      <c r="D59" s="1606" t="s">
        <v>2497</v>
      </c>
      <c r="E59" s="1606" t="s">
        <v>2498</v>
      </c>
      <c r="F59" s="1606" t="s">
        <v>2392</v>
      </c>
      <c r="G59" s="1606" t="s">
        <v>9</v>
      </c>
      <c r="H59" s="1606" t="s">
        <v>9</v>
      </c>
      <c r="I59" s="1606" t="s">
        <v>939</v>
      </c>
    </row>
    <row r="60" spans="1:9" ht="11.25" customHeight="1">
      <c r="A60" s="1606" t="s">
        <v>2296</v>
      </c>
      <c r="B60" s="1606" t="s">
        <v>3</v>
      </c>
      <c r="C60" s="1606" t="s">
        <v>2499</v>
      </c>
      <c r="D60" s="1606" t="s">
        <v>2500</v>
      </c>
      <c r="E60" s="1606" t="s">
        <v>2501</v>
      </c>
      <c r="F60" s="1606" t="s">
        <v>2318</v>
      </c>
      <c r="G60" s="1606" t="s">
        <v>9</v>
      </c>
      <c r="H60" s="1606" t="s">
        <v>9</v>
      </c>
      <c r="I60" s="1606" t="s">
        <v>939</v>
      </c>
    </row>
    <row r="61" spans="1:9" ht="11.25" customHeight="1">
      <c r="A61" s="1606" t="s">
        <v>2296</v>
      </c>
      <c r="B61" s="1606" t="s">
        <v>3</v>
      </c>
      <c r="C61" s="1606" t="s">
        <v>2502</v>
      </c>
      <c r="D61" s="1606" t="s">
        <v>2503</v>
      </c>
      <c r="E61" s="1606" t="s">
        <v>2504</v>
      </c>
      <c r="F61" s="1606" t="s">
        <v>2403</v>
      </c>
      <c r="G61" s="1606" t="s">
        <v>9</v>
      </c>
      <c r="H61" s="1606" t="s">
        <v>9</v>
      </c>
      <c r="I61" s="1606" t="s">
        <v>939</v>
      </c>
    </row>
    <row r="62" spans="1:9" ht="11.25" customHeight="1">
      <c r="A62" s="1606" t="s">
        <v>2296</v>
      </c>
      <c r="B62" s="1606" t="s">
        <v>3</v>
      </c>
      <c r="C62" s="1606" t="s">
        <v>2505</v>
      </c>
      <c r="D62" s="1606" t="s">
        <v>2506</v>
      </c>
      <c r="E62" s="1606" t="s">
        <v>2507</v>
      </c>
      <c r="F62" s="1606" t="s">
        <v>2403</v>
      </c>
      <c r="G62" s="1606" t="s">
        <v>9</v>
      </c>
      <c r="H62" s="1606" t="s">
        <v>9</v>
      </c>
      <c r="I62" s="1606" t="s">
        <v>939</v>
      </c>
    </row>
    <row r="63" spans="1:9" ht="11.25" customHeight="1">
      <c r="A63" s="1606" t="s">
        <v>2296</v>
      </c>
      <c r="B63" s="1606" t="s">
        <v>3</v>
      </c>
      <c r="C63" s="1606" t="s">
        <v>2508</v>
      </c>
      <c r="D63" s="1606" t="s">
        <v>2509</v>
      </c>
      <c r="E63" s="1606" t="s">
        <v>2510</v>
      </c>
      <c r="F63" s="1606" t="s">
        <v>2403</v>
      </c>
      <c r="G63" s="1606" t="s">
        <v>9</v>
      </c>
      <c r="H63" s="1606" t="s">
        <v>9</v>
      </c>
      <c r="I63" s="1606" t="s">
        <v>939</v>
      </c>
    </row>
    <row r="64" spans="1:9" ht="11.25" customHeight="1">
      <c r="A64" s="1606" t="s">
        <v>2296</v>
      </c>
      <c r="B64" s="1606" t="s">
        <v>3</v>
      </c>
      <c r="C64" s="1606" t="s">
        <v>2511</v>
      </c>
      <c r="D64" s="1606" t="s">
        <v>2512</v>
      </c>
      <c r="E64" s="1606" t="s">
        <v>2513</v>
      </c>
      <c r="F64" s="1606" t="s">
        <v>2392</v>
      </c>
      <c r="G64" s="1606" t="s">
        <v>9</v>
      </c>
      <c r="H64" s="1606" t="s">
        <v>9</v>
      </c>
      <c r="I64" s="1606" t="s">
        <v>939</v>
      </c>
    </row>
    <row r="65" spans="1:9" ht="11.25" customHeight="1">
      <c r="A65" s="1606" t="s">
        <v>2296</v>
      </c>
      <c r="B65" s="1606" t="s">
        <v>3</v>
      </c>
      <c r="C65" s="1606" t="s">
        <v>2514</v>
      </c>
      <c r="D65" s="1606" t="s">
        <v>2515</v>
      </c>
      <c r="E65" s="1606" t="s">
        <v>2516</v>
      </c>
      <c r="F65" s="1606" t="s">
        <v>2418</v>
      </c>
      <c r="G65" s="1606" t="s">
        <v>2517</v>
      </c>
      <c r="H65" s="1606" t="s">
        <v>9</v>
      </c>
      <c r="I65" s="1606" t="s">
        <v>939</v>
      </c>
    </row>
    <row r="66" spans="1:9" ht="11.25" customHeight="1">
      <c r="A66" s="1606" t="s">
        <v>2296</v>
      </c>
      <c r="B66" s="1606" t="s">
        <v>3</v>
      </c>
      <c r="C66" s="1606" t="s">
        <v>2518</v>
      </c>
      <c r="D66" s="1606" t="s">
        <v>2519</v>
      </c>
      <c r="E66" s="1606" t="s">
        <v>2520</v>
      </c>
      <c r="F66" s="1606" t="s">
        <v>2318</v>
      </c>
      <c r="G66" s="1606" t="s">
        <v>9</v>
      </c>
      <c r="H66" s="1606" t="s">
        <v>9</v>
      </c>
      <c r="I66" s="1606" t="s">
        <v>939</v>
      </c>
    </row>
    <row r="67" spans="1:9" ht="11.25" customHeight="1">
      <c r="A67" s="1606" t="s">
        <v>2296</v>
      </c>
      <c r="B67" s="1606" t="s">
        <v>3</v>
      </c>
      <c r="C67" s="1606" t="s">
        <v>2521</v>
      </c>
      <c r="D67" s="1606" t="s">
        <v>2522</v>
      </c>
      <c r="E67" s="1606" t="s">
        <v>2523</v>
      </c>
      <c r="F67" s="1606" t="s">
        <v>2524</v>
      </c>
      <c r="G67" s="1606" t="s">
        <v>9</v>
      </c>
      <c r="H67" s="1606" t="s">
        <v>9</v>
      </c>
      <c r="I67" s="1606" t="s">
        <v>939</v>
      </c>
    </row>
    <row r="68" spans="1:9" ht="11.25" customHeight="1">
      <c r="A68" s="1606" t="s">
        <v>2296</v>
      </c>
      <c r="B68" s="1606" t="s">
        <v>3</v>
      </c>
      <c r="C68" s="1606" t="s">
        <v>2525</v>
      </c>
      <c r="D68" s="1606" t="s">
        <v>2526</v>
      </c>
      <c r="E68" s="1606" t="s">
        <v>2527</v>
      </c>
      <c r="F68" s="1606" t="s">
        <v>2528</v>
      </c>
      <c r="G68" s="1606" t="s">
        <v>9</v>
      </c>
      <c r="H68" s="1606" t="s">
        <v>9</v>
      </c>
      <c r="I68" s="1606" t="s">
        <v>939</v>
      </c>
    </row>
    <row r="69" spans="1:9" ht="11.25" customHeight="1">
      <c r="A69" s="1606" t="s">
        <v>2296</v>
      </c>
      <c r="B69" s="1606" t="s">
        <v>3</v>
      </c>
      <c r="C69" s="1606" t="s">
        <v>2529</v>
      </c>
      <c r="D69" s="1606" t="s">
        <v>2530</v>
      </c>
      <c r="E69" s="1606" t="s">
        <v>2531</v>
      </c>
      <c r="F69" s="1606" t="s">
        <v>2476</v>
      </c>
      <c r="G69" s="1606" t="s">
        <v>9</v>
      </c>
      <c r="H69" s="1606" t="s">
        <v>9</v>
      </c>
      <c r="I69" s="1606" t="s">
        <v>939</v>
      </c>
    </row>
    <row r="70" spans="1:9" ht="11.25" customHeight="1">
      <c r="A70" s="1606" t="s">
        <v>2296</v>
      </c>
      <c r="B70" s="1606" t="s">
        <v>3</v>
      </c>
      <c r="C70" s="1606" t="s">
        <v>2532</v>
      </c>
      <c r="D70" s="1606" t="s">
        <v>2533</v>
      </c>
      <c r="E70" s="1606" t="s">
        <v>2534</v>
      </c>
      <c r="F70" s="1606" t="s">
        <v>2356</v>
      </c>
      <c r="G70" s="1606" t="s">
        <v>9</v>
      </c>
      <c r="H70" s="1606" t="s">
        <v>9</v>
      </c>
      <c r="I70" s="1606" t="s">
        <v>939</v>
      </c>
    </row>
    <row r="71" spans="1:9" ht="11.25" customHeight="1">
      <c r="A71" s="1606" t="s">
        <v>2296</v>
      </c>
      <c r="B71" s="1606" t="s">
        <v>3</v>
      </c>
      <c r="C71" s="1606" t="s">
        <v>2535</v>
      </c>
      <c r="D71" s="1606" t="s">
        <v>2536</v>
      </c>
      <c r="E71" s="1606" t="s">
        <v>2537</v>
      </c>
      <c r="F71" s="1606" t="s">
        <v>2476</v>
      </c>
      <c r="G71" s="1606" t="s">
        <v>9</v>
      </c>
      <c r="H71" s="1606" t="s">
        <v>9</v>
      </c>
      <c r="I71" s="1606" t="s">
        <v>939</v>
      </c>
    </row>
    <row r="72" spans="1:9" ht="11.25" customHeight="1">
      <c r="A72" s="1606" t="s">
        <v>2296</v>
      </c>
      <c r="B72" s="1606" t="s">
        <v>3</v>
      </c>
      <c r="C72" s="1606" t="s">
        <v>2538</v>
      </c>
      <c r="D72" s="1606" t="s">
        <v>2539</v>
      </c>
      <c r="E72" s="1606" t="s">
        <v>2540</v>
      </c>
      <c r="F72" s="1606" t="s">
        <v>2528</v>
      </c>
      <c r="G72" s="1606" t="s">
        <v>9</v>
      </c>
      <c r="H72" s="1606" t="s">
        <v>9</v>
      </c>
      <c r="I72" s="1606" t="s">
        <v>939</v>
      </c>
    </row>
    <row r="73" spans="1:9" ht="11.25" customHeight="1">
      <c r="A73" s="1606" t="s">
        <v>2296</v>
      </c>
      <c r="B73" s="1606" t="s">
        <v>3</v>
      </c>
      <c r="C73" s="1606" t="s">
        <v>2541</v>
      </c>
      <c r="D73" s="1606" t="s">
        <v>2542</v>
      </c>
      <c r="E73" s="1606" t="s">
        <v>2543</v>
      </c>
      <c r="F73" s="1606" t="s">
        <v>2544</v>
      </c>
      <c r="G73" s="1606" t="s">
        <v>9</v>
      </c>
      <c r="H73" s="1606" t="s">
        <v>9</v>
      </c>
      <c r="I73" s="1606" t="s">
        <v>939</v>
      </c>
    </row>
    <row r="74" spans="1:9" ht="11.25" customHeight="1">
      <c r="A74" s="1606" t="s">
        <v>2296</v>
      </c>
      <c r="B74" s="1606" t="s">
        <v>3</v>
      </c>
      <c r="C74" s="1606" t="s">
        <v>2545</v>
      </c>
      <c r="D74" s="1606" t="s">
        <v>2546</v>
      </c>
      <c r="E74" s="1606" t="s">
        <v>2547</v>
      </c>
      <c r="F74" s="1606" t="s">
        <v>2343</v>
      </c>
      <c r="G74" s="1606" t="s">
        <v>9</v>
      </c>
      <c r="H74" s="1606" t="s">
        <v>9</v>
      </c>
      <c r="I74" s="1606" t="s">
        <v>939</v>
      </c>
    </row>
    <row r="75" spans="1:9" ht="11.25" customHeight="1">
      <c r="A75" s="1606" t="s">
        <v>2296</v>
      </c>
      <c r="B75" s="1606" t="s">
        <v>3</v>
      </c>
      <c r="C75" s="1606" t="s">
        <v>2548</v>
      </c>
      <c r="D75" s="1606" t="s">
        <v>2549</v>
      </c>
      <c r="E75" s="1606" t="s">
        <v>2550</v>
      </c>
      <c r="F75" s="1606" t="s">
        <v>2343</v>
      </c>
      <c r="G75" s="1606" t="s">
        <v>9</v>
      </c>
      <c r="H75" s="1606" t="s">
        <v>9</v>
      </c>
      <c r="I75" s="1606" t="s">
        <v>939</v>
      </c>
    </row>
    <row r="76" spans="1:9" ht="11.25" customHeight="1">
      <c r="A76" s="1606" t="s">
        <v>2296</v>
      </c>
      <c r="B76" s="1606" t="s">
        <v>3</v>
      </c>
      <c r="C76" s="1606" t="s">
        <v>2551</v>
      </c>
      <c r="D76" s="1606" t="s">
        <v>2552</v>
      </c>
      <c r="E76" s="1606" t="s">
        <v>2553</v>
      </c>
      <c r="F76" s="1606" t="s">
        <v>2392</v>
      </c>
      <c r="G76" s="1606" t="s">
        <v>9</v>
      </c>
      <c r="H76" s="1606" t="s">
        <v>9</v>
      </c>
      <c r="I76" s="1606" t="s">
        <v>939</v>
      </c>
    </row>
    <row r="77" spans="1:9" ht="11.25" customHeight="1">
      <c r="A77" s="1606" t="s">
        <v>2296</v>
      </c>
      <c r="B77" s="1606" t="s">
        <v>3</v>
      </c>
      <c r="C77" s="1606" t="s">
        <v>2554</v>
      </c>
      <c r="D77" s="1606" t="s">
        <v>2555</v>
      </c>
      <c r="E77" s="1606" t="s">
        <v>2556</v>
      </c>
      <c r="F77" s="1606" t="s">
        <v>37</v>
      </c>
      <c r="G77" s="1606" t="s">
        <v>9</v>
      </c>
      <c r="H77" s="1606" t="s">
        <v>9</v>
      </c>
      <c r="I77" s="1606" t="s">
        <v>939</v>
      </c>
    </row>
    <row r="78" spans="1:9" ht="11.25" customHeight="1">
      <c r="A78" s="1606" t="s">
        <v>2296</v>
      </c>
      <c r="B78" s="1606" t="s">
        <v>3</v>
      </c>
      <c r="C78" s="1606" t="s">
        <v>2557</v>
      </c>
      <c r="D78" s="1606" t="s">
        <v>2558</v>
      </c>
      <c r="E78" s="1606" t="s">
        <v>2559</v>
      </c>
      <c r="F78" s="1606" t="s">
        <v>2560</v>
      </c>
      <c r="G78" s="1606" t="s">
        <v>9</v>
      </c>
      <c r="H78" s="1606" t="s">
        <v>9</v>
      </c>
      <c r="I78" s="1606" t="s">
        <v>939</v>
      </c>
    </row>
    <row r="79" spans="1:9" ht="11.25" customHeight="1">
      <c r="A79" s="1606" t="s">
        <v>2296</v>
      </c>
      <c r="B79" s="1606" t="s">
        <v>3</v>
      </c>
      <c r="C79" s="1606" t="s">
        <v>2561</v>
      </c>
      <c r="D79" s="1606" t="s">
        <v>2562</v>
      </c>
      <c r="E79" s="1606" t="s">
        <v>2563</v>
      </c>
      <c r="F79" s="1606" t="s">
        <v>2356</v>
      </c>
      <c r="G79" s="1606" t="s">
        <v>2433</v>
      </c>
      <c r="H79" s="1606" t="s">
        <v>9</v>
      </c>
      <c r="I79" s="1606" t="s">
        <v>939</v>
      </c>
    </row>
    <row r="80" spans="1:9" ht="11.25" customHeight="1">
      <c r="A80" s="1606" t="s">
        <v>2296</v>
      </c>
      <c r="B80" s="1606" t="s">
        <v>3</v>
      </c>
      <c r="C80" s="1606" t="s">
        <v>2564</v>
      </c>
      <c r="D80" s="1606" t="s">
        <v>2565</v>
      </c>
      <c r="E80" s="1606" t="s">
        <v>2566</v>
      </c>
      <c r="F80" s="1606" t="s">
        <v>2487</v>
      </c>
      <c r="G80" s="1606" t="s">
        <v>9</v>
      </c>
      <c r="H80" s="1606" t="s">
        <v>9</v>
      </c>
      <c r="I80" s="1606" t="s">
        <v>939</v>
      </c>
    </row>
    <row r="81" spans="1:9" ht="11.25" customHeight="1">
      <c r="A81" s="1606" t="s">
        <v>2296</v>
      </c>
      <c r="B81" s="1606" t="s">
        <v>3</v>
      </c>
      <c r="C81" s="1606" t="s">
        <v>2567</v>
      </c>
      <c r="D81" s="1606" t="s">
        <v>2568</v>
      </c>
      <c r="E81" s="1606" t="s">
        <v>2569</v>
      </c>
      <c r="F81" s="1606" t="s">
        <v>37</v>
      </c>
      <c r="G81" s="1606" t="s">
        <v>9</v>
      </c>
      <c r="H81" s="1606" t="s">
        <v>9</v>
      </c>
      <c r="I81" s="1606" t="s">
        <v>939</v>
      </c>
    </row>
    <row r="82" spans="1:9" ht="11.25" customHeight="1">
      <c r="A82" s="1606" t="s">
        <v>2296</v>
      </c>
      <c r="B82" s="1606" t="s">
        <v>3</v>
      </c>
      <c r="C82" s="1606" t="s">
        <v>2570</v>
      </c>
      <c r="D82" s="1606" t="s">
        <v>2571</v>
      </c>
      <c r="E82" s="1606" t="s">
        <v>2572</v>
      </c>
      <c r="F82" s="1606" t="s">
        <v>2414</v>
      </c>
      <c r="G82" s="1606" t="s">
        <v>9</v>
      </c>
      <c r="H82" s="1606" t="s">
        <v>9</v>
      </c>
      <c r="I82" s="1606" t="s">
        <v>939</v>
      </c>
    </row>
    <row r="83" spans="1:9" ht="11.25" customHeight="1">
      <c r="A83" s="1606" t="s">
        <v>2296</v>
      </c>
      <c r="B83" s="1606" t="s">
        <v>3</v>
      </c>
      <c r="C83" s="1606" t="s">
        <v>2573</v>
      </c>
      <c r="D83" s="1606" t="s">
        <v>2574</v>
      </c>
      <c r="E83" s="1606" t="s">
        <v>2575</v>
      </c>
      <c r="F83" s="1606" t="s">
        <v>2487</v>
      </c>
      <c r="G83" s="1606" t="s">
        <v>9</v>
      </c>
      <c r="H83" s="1606" t="s">
        <v>9</v>
      </c>
      <c r="I83" s="1606" t="s">
        <v>939</v>
      </c>
    </row>
    <row r="84" spans="1:9" ht="11.25" customHeight="1">
      <c r="A84" s="1606" t="s">
        <v>2296</v>
      </c>
      <c r="B84" s="1606" t="s">
        <v>3</v>
      </c>
      <c r="C84" s="1606" t="s">
        <v>2576</v>
      </c>
      <c r="D84" s="1606" t="s">
        <v>2577</v>
      </c>
      <c r="E84" s="1606" t="s">
        <v>2578</v>
      </c>
      <c r="F84" s="1606" t="s">
        <v>2343</v>
      </c>
      <c r="G84" s="1606" t="s">
        <v>9</v>
      </c>
      <c r="H84" s="1606" t="s">
        <v>9</v>
      </c>
      <c r="I84" s="1606" t="s">
        <v>939</v>
      </c>
    </row>
    <row r="85" spans="1:9" ht="11.25" customHeight="1">
      <c r="A85" s="1606" t="s">
        <v>2296</v>
      </c>
      <c r="B85" s="1606" t="s">
        <v>3</v>
      </c>
      <c r="C85" s="1606" t="s">
        <v>2579</v>
      </c>
      <c r="D85" s="1606" t="s">
        <v>2580</v>
      </c>
      <c r="E85" s="1606" t="s">
        <v>2581</v>
      </c>
      <c r="F85" s="1606" t="s">
        <v>2418</v>
      </c>
      <c r="G85" s="1606" t="s">
        <v>9</v>
      </c>
      <c r="H85" s="1606" t="s">
        <v>9</v>
      </c>
      <c r="I85" s="1606" t="s">
        <v>939</v>
      </c>
    </row>
    <row r="86" spans="1:9" ht="11.25" customHeight="1">
      <c r="A86" s="1606" t="s">
        <v>2296</v>
      </c>
      <c r="B86" s="1606" t="s">
        <v>3</v>
      </c>
      <c r="C86" s="1606" t="s">
        <v>2582</v>
      </c>
      <c r="D86" s="1606" t="s">
        <v>2583</v>
      </c>
      <c r="E86" s="1606" t="s">
        <v>2584</v>
      </c>
      <c r="F86" s="1606" t="s">
        <v>2356</v>
      </c>
      <c r="G86" s="1606" t="s">
        <v>9</v>
      </c>
      <c r="H86" s="1606" t="s">
        <v>9</v>
      </c>
      <c r="I86" s="1606" t="s">
        <v>939</v>
      </c>
    </row>
    <row r="87" spans="1:9" ht="11.25" customHeight="1">
      <c r="A87" s="1606" t="s">
        <v>2296</v>
      </c>
      <c r="B87" s="1606" t="s">
        <v>3</v>
      </c>
      <c r="C87" s="1606" t="s">
        <v>2585</v>
      </c>
      <c r="D87" s="1606" t="s">
        <v>2586</v>
      </c>
      <c r="E87" s="1606" t="s">
        <v>2587</v>
      </c>
      <c r="F87" s="1606" t="s">
        <v>2343</v>
      </c>
      <c r="G87" s="1606" t="s">
        <v>9</v>
      </c>
      <c r="H87" s="1606" t="s">
        <v>9</v>
      </c>
      <c r="I87" s="1606" t="s">
        <v>939</v>
      </c>
    </row>
    <row r="88" spans="1:9" ht="11.25" customHeight="1">
      <c r="A88" s="1606" t="s">
        <v>2296</v>
      </c>
      <c r="B88" s="1606" t="s">
        <v>3</v>
      </c>
      <c r="C88" s="1606" t="s">
        <v>2588</v>
      </c>
      <c r="D88" s="1606" t="s">
        <v>2589</v>
      </c>
      <c r="E88" s="1606" t="s">
        <v>2590</v>
      </c>
      <c r="F88" s="1606" t="s">
        <v>2528</v>
      </c>
      <c r="G88" s="1606" t="s">
        <v>9</v>
      </c>
      <c r="H88" s="1606" t="s">
        <v>9</v>
      </c>
      <c r="I88" s="1606" t="s">
        <v>939</v>
      </c>
    </row>
    <row r="89" spans="1:9" ht="11.25" customHeight="1">
      <c r="A89" s="1606" t="s">
        <v>2296</v>
      </c>
      <c r="B89" s="1606" t="s">
        <v>3</v>
      </c>
      <c r="C89" s="1606" t="s">
        <v>2591</v>
      </c>
      <c r="D89" s="1606" t="s">
        <v>2592</v>
      </c>
      <c r="E89" s="1606" t="s">
        <v>2593</v>
      </c>
      <c r="F89" s="1606" t="s">
        <v>2356</v>
      </c>
      <c r="G89" s="1606" t="s">
        <v>9</v>
      </c>
      <c r="H89" s="1606" t="s">
        <v>9</v>
      </c>
      <c r="I89" s="1606" t="s">
        <v>939</v>
      </c>
    </row>
    <row r="90" spans="1:9" ht="11.25" customHeight="1">
      <c r="A90" s="1606" t="s">
        <v>2296</v>
      </c>
      <c r="B90" s="1606" t="s">
        <v>3</v>
      </c>
      <c r="C90" s="1606" t="s">
        <v>2594</v>
      </c>
      <c r="D90" s="1606" t="s">
        <v>2595</v>
      </c>
      <c r="E90" s="1606" t="s">
        <v>2596</v>
      </c>
      <c r="F90" s="1606" t="s">
        <v>2528</v>
      </c>
      <c r="G90" s="1606" t="s">
        <v>9</v>
      </c>
      <c r="H90" s="1606" t="s">
        <v>9</v>
      </c>
      <c r="I90" s="1606" t="s">
        <v>939</v>
      </c>
    </row>
    <row r="91" spans="1:9" ht="11.25" customHeight="1">
      <c r="A91" s="1606" t="s">
        <v>2296</v>
      </c>
      <c r="B91" s="1606" t="s">
        <v>3</v>
      </c>
      <c r="C91" s="1606" t="s">
        <v>2597</v>
      </c>
      <c r="D91" s="1606" t="s">
        <v>2598</v>
      </c>
      <c r="E91" s="1606" t="s">
        <v>2599</v>
      </c>
      <c r="F91" s="1606" t="s">
        <v>2528</v>
      </c>
      <c r="G91" s="1606" t="s">
        <v>2600</v>
      </c>
      <c r="H91" s="1606" t="s">
        <v>9</v>
      </c>
      <c r="I91" s="1606" t="s">
        <v>939</v>
      </c>
    </row>
    <row r="92" spans="1:9" ht="11.25" customHeight="1">
      <c r="A92" s="1606" t="s">
        <v>2296</v>
      </c>
      <c r="B92" s="1606" t="s">
        <v>3</v>
      </c>
      <c r="C92" s="1606" t="s">
        <v>2601</v>
      </c>
      <c r="D92" s="1606" t="s">
        <v>2602</v>
      </c>
      <c r="E92" s="1606" t="s">
        <v>2603</v>
      </c>
      <c r="F92" s="1606" t="s">
        <v>2318</v>
      </c>
      <c r="G92" s="1606" t="s">
        <v>2600</v>
      </c>
      <c r="H92" s="1606" t="s">
        <v>9</v>
      </c>
      <c r="I92" s="1606" t="s">
        <v>939</v>
      </c>
    </row>
    <row r="93" spans="1:9" ht="11.25" customHeight="1">
      <c r="A93" s="1606" t="s">
        <v>2296</v>
      </c>
      <c r="B93" s="1606" t="s">
        <v>3</v>
      </c>
      <c r="C93" s="1606" t="s">
        <v>2604</v>
      </c>
      <c r="D93" s="1606" t="s">
        <v>2605</v>
      </c>
      <c r="E93" s="1606" t="s">
        <v>2606</v>
      </c>
      <c r="F93" s="1606" t="s">
        <v>2414</v>
      </c>
      <c r="G93" s="1606" t="s">
        <v>9</v>
      </c>
      <c r="H93" s="1606" t="s">
        <v>9</v>
      </c>
      <c r="I93" s="1606" t="s">
        <v>939</v>
      </c>
    </row>
    <row r="94" spans="1:9" ht="11.25" customHeight="1">
      <c r="A94" s="1606" t="s">
        <v>2296</v>
      </c>
      <c r="B94" s="1606" t="s">
        <v>3</v>
      </c>
      <c r="C94" s="1606" t="s">
        <v>2607</v>
      </c>
      <c r="D94" s="1606" t="s">
        <v>2608</v>
      </c>
      <c r="E94" s="1606" t="s">
        <v>2609</v>
      </c>
      <c r="F94" s="1606" t="s">
        <v>2610</v>
      </c>
      <c r="G94" s="1606" t="s">
        <v>9</v>
      </c>
      <c r="H94" s="1606" t="s">
        <v>9</v>
      </c>
      <c r="I94" s="1606" t="s">
        <v>939</v>
      </c>
    </row>
    <row r="95" spans="1:9" ht="11.25" customHeight="1">
      <c r="A95" s="1606" t="s">
        <v>2296</v>
      </c>
      <c r="B95" s="1606" t="s">
        <v>3</v>
      </c>
      <c r="C95" s="1606" t="s">
        <v>2611</v>
      </c>
      <c r="D95" s="1606" t="s">
        <v>2612</v>
      </c>
      <c r="E95" s="1606" t="s">
        <v>2613</v>
      </c>
      <c r="F95" s="1606" t="s">
        <v>2318</v>
      </c>
      <c r="G95" s="1606" t="s">
        <v>9</v>
      </c>
      <c r="H95" s="1606" t="s">
        <v>9</v>
      </c>
      <c r="I95" s="1606" t="s">
        <v>939</v>
      </c>
    </row>
    <row r="96" spans="1:9" ht="11.25" customHeight="1">
      <c r="A96" s="1606" t="s">
        <v>2296</v>
      </c>
      <c r="B96" s="1606" t="s">
        <v>3</v>
      </c>
      <c r="C96" s="1606" t="s">
        <v>2614</v>
      </c>
      <c r="D96" s="1606" t="s">
        <v>2615</v>
      </c>
      <c r="E96" s="1606" t="s">
        <v>2616</v>
      </c>
      <c r="F96" s="1606" t="s">
        <v>2318</v>
      </c>
      <c r="G96" s="1606" t="s">
        <v>9</v>
      </c>
      <c r="H96" s="1606" t="s">
        <v>9</v>
      </c>
      <c r="I96" s="1606" t="s">
        <v>939</v>
      </c>
    </row>
    <row r="97" spans="1:9" ht="11.25" customHeight="1">
      <c r="A97" s="1606" t="s">
        <v>2296</v>
      </c>
      <c r="B97" s="1606" t="s">
        <v>3</v>
      </c>
      <c r="C97" s="1606" t="s">
        <v>2617</v>
      </c>
      <c r="D97" s="1606" t="s">
        <v>2618</v>
      </c>
      <c r="E97" s="1606" t="s">
        <v>2619</v>
      </c>
      <c r="F97" s="1606" t="s">
        <v>2318</v>
      </c>
      <c r="G97" s="1606" t="s">
        <v>9</v>
      </c>
      <c r="H97" s="1606" t="s">
        <v>9</v>
      </c>
      <c r="I97" s="1606" t="s">
        <v>939</v>
      </c>
    </row>
    <row r="98" spans="1:9" ht="11.25" customHeight="1">
      <c r="A98" s="1606" t="s">
        <v>2296</v>
      </c>
      <c r="B98" s="1606" t="s">
        <v>3</v>
      </c>
      <c r="C98" s="1606" t="s">
        <v>2620</v>
      </c>
      <c r="D98" s="1606" t="s">
        <v>2621</v>
      </c>
      <c r="E98" s="1606" t="s">
        <v>2622</v>
      </c>
      <c r="F98" s="1606" t="s">
        <v>2487</v>
      </c>
      <c r="G98" s="1606" t="s">
        <v>2600</v>
      </c>
      <c r="H98" s="1606" t="s">
        <v>9</v>
      </c>
      <c r="I98" s="1606" t="s">
        <v>939</v>
      </c>
    </row>
    <row r="99" spans="1:9" ht="11.25" customHeight="1">
      <c r="A99" s="1606" t="s">
        <v>2296</v>
      </c>
      <c r="B99" s="1606" t="s">
        <v>3</v>
      </c>
      <c r="C99" s="1606" t="s">
        <v>2623</v>
      </c>
      <c r="D99" s="1606" t="s">
        <v>2624</v>
      </c>
      <c r="E99" s="1606" t="s">
        <v>2625</v>
      </c>
      <c r="F99" s="1606" t="s">
        <v>2318</v>
      </c>
      <c r="G99" s="1606" t="s">
        <v>9</v>
      </c>
      <c r="H99" s="1606" t="s">
        <v>9</v>
      </c>
      <c r="I99" s="1606" t="s">
        <v>939</v>
      </c>
    </row>
    <row r="100" spans="1:9" ht="11.25" customHeight="1">
      <c r="A100" s="1606" t="s">
        <v>2296</v>
      </c>
      <c r="B100" s="1606" t="s">
        <v>3</v>
      </c>
      <c r="C100" s="1606" t="s">
        <v>2626</v>
      </c>
      <c r="D100" s="1606" t="s">
        <v>2627</v>
      </c>
      <c r="E100" s="1606" t="s">
        <v>2628</v>
      </c>
      <c r="F100" s="1606" t="s">
        <v>2418</v>
      </c>
      <c r="G100" s="1606" t="s">
        <v>9</v>
      </c>
      <c r="H100" s="1606" t="s">
        <v>9</v>
      </c>
      <c r="I100" s="1606" t="s">
        <v>939</v>
      </c>
    </row>
    <row r="101" spans="1:9" ht="11.25" customHeight="1">
      <c r="A101" s="1606" t="s">
        <v>2296</v>
      </c>
      <c r="B101" s="1606" t="s">
        <v>3</v>
      </c>
      <c r="C101" s="1606" t="s">
        <v>2629</v>
      </c>
      <c r="D101" s="1606" t="s">
        <v>2627</v>
      </c>
      <c r="E101" s="1606" t="s">
        <v>2630</v>
      </c>
      <c r="F101" s="1606" t="s">
        <v>2610</v>
      </c>
      <c r="G101" s="1606" t="s">
        <v>9</v>
      </c>
      <c r="H101" s="1606" t="s">
        <v>9</v>
      </c>
      <c r="I101" s="1606" t="s">
        <v>939</v>
      </c>
    </row>
    <row r="102" spans="1:9" ht="11.25" customHeight="1">
      <c r="A102" s="1606" t="s">
        <v>2296</v>
      </c>
      <c r="B102" s="1606" t="s">
        <v>3</v>
      </c>
      <c r="C102" s="1606" t="s">
        <v>2631</v>
      </c>
      <c r="D102" s="1606" t="s">
        <v>2632</v>
      </c>
      <c r="E102" s="1606" t="s">
        <v>2633</v>
      </c>
      <c r="F102" s="1606" t="s">
        <v>2318</v>
      </c>
      <c r="G102" s="1606" t="s">
        <v>9</v>
      </c>
      <c r="H102" s="1606" t="s">
        <v>9</v>
      </c>
      <c r="I102" s="1606" t="s">
        <v>939</v>
      </c>
    </row>
    <row r="103" spans="1:9" ht="11.25" customHeight="1">
      <c r="A103" s="1606" t="s">
        <v>2296</v>
      </c>
      <c r="B103" s="1606" t="s">
        <v>3</v>
      </c>
      <c r="C103" s="1606" t="s">
        <v>2634</v>
      </c>
      <c r="D103" s="1606" t="s">
        <v>2635</v>
      </c>
      <c r="E103" s="1606" t="s">
        <v>2636</v>
      </c>
      <c r="F103" s="1606" t="s">
        <v>2356</v>
      </c>
      <c r="G103" s="1606" t="s">
        <v>9</v>
      </c>
      <c r="H103" s="1606" t="s">
        <v>9</v>
      </c>
      <c r="I103" s="1606" t="s">
        <v>939</v>
      </c>
    </row>
    <row r="104" spans="1:9" ht="11.25" customHeight="1">
      <c r="A104" s="1606" t="s">
        <v>2296</v>
      </c>
      <c r="B104" s="1606" t="s">
        <v>3</v>
      </c>
      <c r="C104" s="1606" t="s">
        <v>2637</v>
      </c>
      <c r="D104" s="1606" t="s">
        <v>2638</v>
      </c>
      <c r="E104" s="1606" t="s">
        <v>2639</v>
      </c>
      <c r="F104" s="1606" t="s">
        <v>37</v>
      </c>
      <c r="G104" s="1606" t="s">
        <v>9</v>
      </c>
      <c r="H104" s="1606" t="s">
        <v>9</v>
      </c>
      <c r="I104" s="1606" t="s">
        <v>939</v>
      </c>
    </row>
    <row r="105" spans="1:9" ht="11.25" customHeight="1">
      <c r="A105" s="1606" t="s">
        <v>2296</v>
      </c>
      <c r="B105" s="1606" t="s">
        <v>3</v>
      </c>
      <c r="C105" s="1606" t="s">
        <v>2640</v>
      </c>
      <c r="D105" s="1606" t="s">
        <v>2641</v>
      </c>
      <c r="E105" s="1606" t="s">
        <v>2642</v>
      </c>
      <c r="F105" s="1606" t="s">
        <v>2414</v>
      </c>
      <c r="G105" s="1606" t="s">
        <v>9</v>
      </c>
      <c r="H105" s="1606" t="s">
        <v>9</v>
      </c>
      <c r="I105" s="1606" t="s">
        <v>939</v>
      </c>
    </row>
    <row r="106" spans="1:9" ht="11.25" customHeight="1">
      <c r="A106" s="1606" t="s">
        <v>2296</v>
      </c>
      <c r="B106" s="1606" t="s">
        <v>3</v>
      </c>
      <c r="C106" s="1606" t="s">
        <v>2643</v>
      </c>
      <c r="D106" s="1606" t="s">
        <v>2644</v>
      </c>
      <c r="E106" s="1606" t="s">
        <v>2645</v>
      </c>
      <c r="F106" s="1606" t="s">
        <v>2487</v>
      </c>
      <c r="G106" s="1606" t="s">
        <v>9</v>
      </c>
      <c r="H106" s="1606" t="s">
        <v>9</v>
      </c>
      <c r="I106" s="1606" t="s">
        <v>939</v>
      </c>
    </row>
    <row r="107" spans="1:9" ht="11.25" customHeight="1">
      <c r="A107" s="1606" t="s">
        <v>2296</v>
      </c>
      <c r="B107" s="1606" t="s">
        <v>3</v>
      </c>
      <c r="C107" s="1606" t="s">
        <v>2646</v>
      </c>
      <c r="D107" s="1606" t="s">
        <v>2647</v>
      </c>
      <c r="E107" s="1606" t="s">
        <v>2648</v>
      </c>
      <c r="F107" s="1606" t="s">
        <v>2418</v>
      </c>
      <c r="G107" s="1606" t="s">
        <v>9</v>
      </c>
      <c r="H107" s="1606" t="s">
        <v>9</v>
      </c>
      <c r="I107" s="1606" t="s">
        <v>939</v>
      </c>
    </row>
    <row r="108" spans="1:9" ht="11.25" customHeight="1">
      <c r="A108" s="1606" t="s">
        <v>2296</v>
      </c>
      <c r="B108" s="1606" t="s">
        <v>3</v>
      </c>
      <c r="C108" s="1606" t="s">
        <v>2649</v>
      </c>
      <c r="D108" s="1606" t="s">
        <v>2650</v>
      </c>
      <c r="E108" s="1606" t="s">
        <v>2651</v>
      </c>
      <c r="F108" s="1606" t="s">
        <v>2487</v>
      </c>
      <c r="G108" s="1606" t="s">
        <v>2517</v>
      </c>
      <c r="H108" s="1606" t="s">
        <v>9</v>
      </c>
      <c r="I108" s="1606" t="s">
        <v>939</v>
      </c>
    </row>
    <row r="109" spans="1:9" ht="11.25" customHeight="1">
      <c r="A109" s="1606" t="s">
        <v>2296</v>
      </c>
      <c r="B109" s="1606" t="s">
        <v>3</v>
      </c>
      <c r="C109" s="1606" t="s">
        <v>2652</v>
      </c>
      <c r="D109" s="1606" t="s">
        <v>2653</v>
      </c>
      <c r="E109" s="1606" t="s">
        <v>2654</v>
      </c>
      <c r="F109" s="1606" t="s">
        <v>2528</v>
      </c>
      <c r="G109" s="1606" t="s">
        <v>9</v>
      </c>
      <c r="H109" s="1606" t="s">
        <v>9</v>
      </c>
      <c r="I109" s="1606" t="s">
        <v>939</v>
      </c>
    </row>
    <row r="110" spans="1:9" ht="11.25" customHeight="1">
      <c r="A110" s="1606" t="s">
        <v>2296</v>
      </c>
      <c r="B110" s="1606" t="s">
        <v>3</v>
      </c>
      <c r="C110" s="1606" t="s">
        <v>2655</v>
      </c>
      <c r="D110" s="1606" t="s">
        <v>2656</v>
      </c>
      <c r="E110" s="1606" t="s">
        <v>2657</v>
      </c>
      <c r="F110" s="1606" t="s">
        <v>2487</v>
      </c>
      <c r="G110" s="1606" t="s">
        <v>9</v>
      </c>
      <c r="H110" s="1606" t="s">
        <v>9</v>
      </c>
      <c r="I110" s="1606" t="s">
        <v>939</v>
      </c>
    </row>
    <row r="111" spans="1:9" ht="11.25" customHeight="1">
      <c r="A111" s="1606" t="s">
        <v>2296</v>
      </c>
      <c r="B111" s="1606" t="s">
        <v>3</v>
      </c>
      <c r="C111" s="1606" t="s">
        <v>2658</v>
      </c>
      <c r="D111" s="1606" t="s">
        <v>2659</v>
      </c>
      <c r="E111" s="1606" t="s">
        <v>2660</v>
      </c>
      <c r="F111" s="1606" t="s">
        <v>2487</v>
      </c>
      <c r="G111" s="1606" t="s">
        <v>2600</v>
      </c>
      <c r="H111" s="1606" t="s">
        <v>9</v>
      </c>
      <c r="I111" s="1606" t="s">
        <v>939</v>
      </c>
    </row>
    <row r="112" spans="1:9" ht="11.25" customHeight="1">
      <c r="A112" s="1606" t="s">
        <v>2296</v>
      </c>
      <c r="B112" s="1606" t="s">
        <v>3</v>
      </c>
      <c r="C112" s="1606" t="s">
        <v>2661</v>
      </c>
      <c r="D112" s="1606" t="s">
        <v>2662</v>
      </c>
      <c r="E112" s="1606" t="s">
        <v>2663</v>
      </c>
      <c r="F112" s="1606" t="s">
        <v>2403</v>
      </c>
      <c r="G112" s="1606" t="s">
        <v>9</v>
      </c>
      <c r="H112" s="1606" t="s">
        <v>9</v>
      </c>
      <c r="I112" s="1606" t="s">
        <v>939</v>
      </c>
    </row>
    <row r="113" spans="1:9" ht="11.25" customHeight="1">
      <c r="A113" s="1606" t="s">
        <v>2296</v>
      </c>
      <c r="B113" s="1606" t="s">
        <v>3</v>
      </c>
      <c r="C113" s="1606" t="s">
        <v>2664</v>
      </c>
      <c r="D113" s="1606" t="s">
        <v>2665</v>
      </c>
      <c r="E113" s="1606" t="s">
        <v>2666</v>
      </c>
      <c r="F113" s="1606" t="s">
        <v>2318</v>
      </c>
      <c r="G113" s="1606" t="s">
        <v>9</v>
      </c>
      <c r="H113" s="1606" t="s">
        <v>9</v>
      </c>
      <c r="I113" s="1606" t="s">
        <v>939</v>
      </c>
    </row>
    <row r="114" spans="1:9" ht="11.25" customHeight="1">
      <c r="A114" s="1606" t="s">
        <v>2296</v>
      </c>
      <c r="B114" s="1606" t="s">
        <v>3</v>
      </c>
      <c r="C114" s="1606" t="s">
        <v>2667</v>
      </c>
      <c r="D114" s="1606" t="s">
        <v>2668</v>
      </c>
      <c r="E114" s="1606" t="s">
        <v>2669</v>
      </c>
      <c r="F114" s="1606" t="s">
        <v>2487</v>
      </c>
      <c r="G114" s="1606" t="s">
        <v>9</v>
      </c>
      <c r="H114" s="1606" t="s">
        <v>9</v>
      </c>
      <c r="I114" s="1606" t="s">
        <v>939</v>
      </c>
    </row>
    <row r="115" spans="1:9" ht="11.25" customHeight="1">
      <c r="A115" s="1606" t="s">
        <v>2296</v>
      </c>
      <c r="B115" s="1606" t="s">
        <v>3</v>
      </c>
      <c r="C115" s="1606" t="s">
        <v>2670</v>
      </c>
      <c r="D115" s="1606" t="s">
        <v>2671</v>
      </c>
      <c r="E115" s="1606" t="s">
        <v>2672</v>
      </c>
      <c r="F115" s="1606" t="s">
        <v>2487</v>
      </c>
      <c r="G115" s="1606" t="s">
        <v>9</v>
      </c>
      <c r="H115" s="1606" t="s">
        <v>9</v>
      </c>
      <c r="I115" s="1606" t="s">
        <v>939</v>
      </c>
    </row>
    <row r="116" spans="1:9" ht="11.25" customHeight="1">
      <c r="A116" s="1606" t="s">
        <v>2296</v>
      </c>
      <c r="B116" s="1606" t="s">
        <v>3</v>
      </c>
      <c r="C116" s="1606" t="s">
        <v>0</v>
      </c>
      <c r="D116" s="1606" t="s">
        <v>32</v>
      </c>
      <c r="E116" s="1606" t="s">
        <v>35</v>
      </c>
      <c r="F116" s="1606" t="s">
        <v>37</v>
      </c>
      <c r="G116" s="1606" t="s">
        <v>9</v>
      </c>
      <c r="H116" s="1606" t="s">
        <v>9</v>
      </c>
      <c r="I116" s="1606" t="s">
        <v>939</v>
      </c>
    </row>
    <row r="117" spans="1:9" ht="11.25" customHeight="1">
      <c r="A117" s="1606" t="s">
        <v>2296</v>
      </c>
      <c r="B117" s="1606" t="s">
        <v>3</v>
      </c>
      <c r="C117" s="1606" t="s">
        <v>2673</v>
      </c>
      <c r="D117" s="1606" t="s">
        <v>2674</v>
      </c>
      <c r="E117" s="1606" t="s">
        <v>2675</v>
      </c>
      <c r="F117" s="1606" t="s">
        <v>2476</v>
      </c>
      <c r="G117" s="1606" t="s">
        <v>9</v>
      </c>
      <c r="H117" s="1606" t="s">
        <v>9</v>
      </c>
      <c r="I117" s="1606" t="s">
        <v>939</v>
      </c>
    </row>
    <row r="118" spans="1:9" ht="11.25" customHeight="1">
      <c r="A118" s="1606" t="s">
        <v>2296</v>
      </c>
      <c r="B118" s="1606" t="s">
        <v>3</v>
      </c>
      <c r="C118" s="1606" t="s">
        <v>2676</v>
      </c>
      <c r="D118" s="1606" t="s">
        <v>2677</v>
      </c>
      <c r="E118" s="1606" t="s">
        <v>2678</v>
      </c>
      <c r="F118" s="1606" t="s">
        <v>2418</v>
      </c>
      <c r="G118" s="1606" t="s">
        <v>9</v>
      </c>
      <c r="H118" s="1606" t="s">
        <v>9</v>
      </c>
      <c r="I118" s="1606" t="s">
        <v>939</v>
      </c>
    </row>
    <row r="119" spans="1:9" ht="11.25" customHeight="1">
      <c r="A119" s="1606" t="s">
        <v>2296</v>
      </c>
      <c r="B119" s="1606" t="s">
        <v>3</v>
      </c>
      <c r="C119" s="1606" t="s">
        <v>2679</v>
      </c>
      <c r="D119" s="1606" t="s">
        <v>2680</v>
      </c>
      <c r="E119" s="1606" t="s">
        <v>2681</v>
      </c>
      <c r="F119" s="1606" t="s">
        <v>2682</v>
      </c>
      <c r="G119" s="1606" t="s">
        <v>9</v>
      </c>
      <c r="H119" s="1606" t="s">
        <v>9</v>
      </c>
      <c r="I119" s="1606" t="s">
        <v>939</v>
      </c>
    </row>
    <row r="120" spans="1:9" ht="11.25" customHeight="1">
      <c r="A120" s="1606" t="s">
        <v>2296</v>
      </c>
      <c r="B120" s="1606" t="s">
        <v>3</v>
      </c>
      <c r="C120" s="1606" t="s">
        <v>2683</v>
      </c>
      <c r="D120" s="1606" t="s">
        <v>2684</v>
      </c>
      <c r="E120" s="1606" t="s">
        <v>2685</v>
      </c>
      <c r="F120" s="1606" t="s">
        <v>2403</v>
      </c>
      <c r="G120" s="1606" t="s">
        <v>2686</v>
      </c>
      <c r="H120" s="1606" t="s">
        <v>9</v>
      </c>
      <c r="I120" s="1606" t="s">
        <v>939</v>
      </c>
    </row>
    <row r="121" spans="1:9" ht="11.25" customHeight="1">
      <c r="A121" s="1606" t="s">
        <v>2296</v>
      </c>
      <c r="B121" s="1606" t="s">
        <v>3</v>
      </c>
      <c r="C121" s="1606" t="s">
        <v>2687</v>
      </c>
      <c r="D121" s="1606" t="s">
        <v>2688</v>
      </c>
      <c r="E121" s="1606" t="s">
        <v>2689</v>
      </c>
      <c r="F121" s="1606" t="s">
        <v>2487</v>
      </c>
      <c r="G121" s="1606" t="s">
        <v>2466</v>
      </c>
      <c r="H121" s="1606" t="s">
        <v>9</v>
      </c>
      <c r="I121" s="1606" t="s">
        <v>939</v>
      </c>
    </row>
    <row r="122" spans="1:9" ht="11.25" customHeight="1">
      <c r="A122" s="1606" t="s">
        <v>2296</v>
      </c>
      <c r="B122" s="1606" t="s">
        <v>3</v>
      </c>
      <c r="C122" s="1606" t="s">
        <v>2690</v>
      </c>
      <c r="D122" s="1606" t="s">
        <v>2691</v>
      </c>
      <c r="E122" s="1606" t="s">
        <v>2692</v>
      </c>
      <c r="F122" s="1606" t="s">
        <v>2476</v>
      </c>
      <c r="G122" s="1606" t="s">
        <v>9</v>
      </c>
      <c r="H122" s="1606" t="s">
        <v>9</v>
      </c>
      <c r="I122" s="1606" t="s">
        <v>939</v>
      </c>
    </row>
    <row r="123" spans="1:9" ht="11.25" customHeight="1">
      <c r="A123" s="1606" t="s">
        <v>2296</v>
      </c>
      <c r="B123" s="1606" t="s">
        <v>3</v>
      </c>
      <c r="C123" s="1606" t="s">
        <v>2693</v>
      </c>
      <c r="D123" s="1606" t="s">
        <v>2694</v>
      </c>
      <c r="E123" s="1606" t="s">
        <v>2695</v>
      </c>
      <c r="F123" s="1606" t="s">
        <v>2476</v>
      </c>
      <c r="G123" s="1606" t="s">
        <v>9</v>
      </c>
      <c r="H123" s="1606" t="s">
        <v>9</v>
      </c>
      <c r="I123" s="1606" t="s">
        <v>939</v>
      </c>
    </row>
    <row r="124" spans="1:9" ht="11.25" customHeight="1">
      <c r="A124" s="1606" t="s">
        <v>2296</v>
      </c>
      <c r="B124" s="1606" t="s">
        <v>3</v>
      </c>
      <c r="C124" s="1606" t="s">
        <v>2696</v>
      </c>
      <c r="D124" s="1606" t="s">
        <v>2697</v>
      </c>
      <c r="E124" s="1606" t="s">
        <v>2698</v>
      </c>
      <c r="F124" s="1606" t="s">
        <v>2699</v>
      </c>
      <c r="G124" s="1606" t="s">
        <v>9</v>
      </c>
      <c r="H124" s="1606" t="s">
        <v>9</v>
      </c>
      <c r="I124" s="1606" t="s">
        <v>939</v>
      </c>
    </row>
    <row r="125" spans="1:9" ht="11.25" customHeight="1">
      <c r="A125" s="1606" t="s">
        <v>2296</v>
      </c>
      <c r="B125" s="1606" t="s">
        <v>3</v>
      </c>
      <c r="C125" s="1606" t="s">
        <v>2700</v>
      </c>
      <c r="D125" s="1606" t="s">
        <v>2701</v>
      </c>
      <c r="E125" s="1606" t="s">
        <v>2702</v>
      </c>
      <c r="F125" s="1606" t="s">
        <v>2487</v>
      </c>
      <c r="G125" s="1606" t="s">
        <v>9</v>
      </c>
      <c r="H125" s="1606" t="s">
        <v>9</v>
      </c>
      <c r="I125" s="1606" t="s">
        <v>939</v>
      </c>
    </row>
    <row r="126" spans="1:9" ht="11.25" customHeight="1">
      <c r="A126" s="1606" t="s">
        <v>2296</v>
      </c>
      <c r="B126" s="1606" t="s">
        <v>3</v>
      </c>
      <c r="C126" s="1606" t="s">
        <v>2703</v>
      </c>
      <c r="D126" s="1606" t="s">
        <v>2704</v>
      </c>
      <c r="E126" s="1606" t="s">
        <v>2705</v>
      </c>
      <c r="F126" s="1606" t="s">
        <v>2487</v>
      </c>
      <c r="G126" s="1606" t="s">
        <v>2706</v>
      </c>
      <c r="H126" s="1606" t="s">
        <v>9</v>
      </c>
      <c r="I126" s="1606" t="s">
        <v>939</v>
      </c>
    </row>
    <row r="127" spans="1:9" ht="11.25" customHeight="1">
      <c r="A127" s="1606" t="s">
        <v>2296</v>
      </c>
      <c r="B127" s="1606" t="s">
        <v>3</v>
      </c>
      <c r="C127" s="1606" t="s">
        <v>2707</v>
      </c>
      <c r="D127" s="1606" t="s">
        <v>2708</v>
      </c>
      <c r="E127" s="1606" t="s">
        <v>2709</v>
      </c>
      <c r="F127" s="1606" t="s">
        <v>2332</v>
      </c>
      <c r="G127" s="1606" t="s">
        <v>9</v>
      </c>
      <c r="H127" s="1606" t="s">
        <v>9</v>
      </c>
      <c r="I127" s="1606" t="s">
        <v>939</v>
      </c>
    </row>
    <row r="128" spans="1:9" ht="11.25" customHeight="1">
      <c r="A128" s="1606" t="s">
        <v>2296</v>
      </c>
      <c r="B128" s="1606" t="s">
        <v>3</v>
      </c>
      <c r="C128" s="1606" t="s">
        <v>2710</v>
      </c>
      <c r="D128" s="1606" t="s">
        <v>2711</v>
      </c>
      <c r="E128" s="1606" t="s">
        <v>2712</v>
      </c>
      <c r="F128" s="1606" t="s">
        <v>37</v>
      </c>
      <c r="G128" s="1606" t="s">
        <v>9</v>
      </c>
      <c r="H128" s="1606" t="s">
        <v>9</v>
      </c>
      <c r="I128" s="1606" t="s">
        <v>939</v>
      </c>
    </row>
    <row r="129" spans="1:9" ht="11.25" customHeight="1">
      <c r="A129" s="1606" t="s">
        <v>2296</v>
      </c>
      <c r="B129" s="1606" t="s">
        <v>3</v>
      </c>
      <c r="C129" s="1606" t="s">
        <v>2713</v>
      </c>
      <c r="D129" s="1606" t="s">
        <v>2714</v>
      </c>
      <c r="E129" s="1606" t="s">
        <v>2715</v>
      </c>
      <c r="F129" s="1606" t="s">
        <v>2343</v>
      </c>
      <c r="G129" s="1606" t="s">
        <v>9</v>
      </c>
      <c r="H129" s="1606" t="s">
        <v>9</v>
      </c>
      <c r="I129" s="1606" t="s">
        <v>939</v>
      </c>
    </row>
    <row r="130" spans="1:9" ht="11.25" customHeight="1">
      <c r="A130" s="1606" t="s">
        <v>2296</v>
      </c>
      <c r="B130" s="1606" t="s">
        <v>3</v>
      </c>
      <c r="C130" s="1606" t="s">
        <v>2716</v>
      </c>
      <c r="D130" s="1606" t="s">
        <v>2717</v>
      </c>
      <c r="E130" s="1606" t="s">
        <v>2718</v>
      </c>
      <c r="F130" s="1606" t="s">
        <v>2356</v>
      </c>
      <c r="G130" s="1606" t="s">
        <v>9</v>
      </c>
      <c r="H130" s="1606" t="s">
        <v>9</v>
      </c>
      <c r="I130" s="1606" t="s">
        <v>939</v>
      </c>
    </row>
    <row r="131" spans="1:9" ht="11.25" customHeight="1">
      <c r="A131" s="1606" t="s">
        <v>2296</v>
      </c>
      <c r="B131" s="1606" t="s">
        <v>3</v>
      </c>
      <c r="C131" s="1606" t="s">
        <v>2719</v>
      </c>
      <c r="D131" s="1606" t="s">
        <v>2720</v>
      </c>
      <c r="E131" s="1606" t="s">
        <v>2721</v>
      </c>
      <c r="F131" s="1606" t="s">
        <v>2722</v>
      </c>
      <c r="G131" s="1606" t="s">
        <v>9</v>
      </c>
      <c r="H131" s="1606" t="s">
        <v>9</v>
      </c>
      <c r="I131" s="1606" t="s">
        <v>939</v>
      </c>
    </row>
    <row r="132" spans="1:9" ht="11.25" customHeight="1">
      <c r="A132" s="1606" t="s">
        <v>2296</v>
      </c>
      <c r="B132" s="1606" t="s">
        <v>3</v>
      </c>
      <c r="C132" s="1606" t="s">
        <v>2723</v>
      </c>
      <c r="D132" s="1606" t="s">
        <v>2724</v>
      </c>
      <c r="E132" s="1606" t="s">
        <v>2725</v>
      </c>
      <c r="F132" s="1606" t="s">
        <v>2487</v>
      </c>
      <c r="G132" s="1606" t="s">
        <v>9</v>
      </c>
      <c r="H132" s="1606" t="s">
        <v>9</v>
      </c>
      <c r="I132" s="1606" t="s">
        <v>939</v>
      </c>
    </row>
    <row r="133" spans="1:9" ht="11.25" customHeight="1">
      <c r="A133" s="1606" t="s">
        <v>2296</v>
      </c>
      <c r="B133" s="1606" t="s">
        <v>3</v>
      </c>
      <c r="C133" s="1606" t="s">
        <v>2726</v>
      </c>
      <c r="D133" s="1606" t="s">
        <v>2727</v>
      </c>
      <c r="E133" s="1606" t="s">
        <v>2728</v>
      </c>
      <c r="F133" s="1606" t="s">
        <v>2487</v>
      </c>
      <c r="G133" s="1606" t="s">
        <v>9</v>
      </c>
      <c r="H133" s="1606" t="s">
        <v>9</v>
      </c>
      <c r="I133" s="1606" t="s">
        <v>939</v>
      </c>
    </row>
    <row r="134" spans="1:9" ht="11.25" customHeight="1">
      <c r="A134" s="1606" t="s">
        <v>2296</v>
      </c>
      <c r="B134" s="1606" t="s">
        <v>3</v>
      </c>
      <c r="C134" s="1606" t="s">
        <v>2729</v>
      </c>
      <c r="D134" s="1606" t="s">
        <v>2730</v>
      </c>
      <c r="E134" s="1606" t="s">
        <v>2731</v>
      </c>
      <c r="F134" s="1606" t="s">
        <v>2414</v>
      </c>
      <c r="G134" s="1606" t="s">
        <v>9</v>
      </c>
      <c r="H134" s="1606" t="s">
        <v>9</v>
      </c>
      <c r="I134" s="1606" t="s">
        <v>939</v>
      </c>
    </row>
    <row r="135" spans="1:9" ht="11.25" customHeight="1">
      <c r="A135" s="1606" t="s">
        <v>2296</v>
      </c>
      <c r="B135" s="1606" t="s">
        <v>3</v>
      </c>
      <c r="C135" s="1606" t="s">
        <v>2732</v>
      </c>
      <c r="D135" s="1606" t="s">
        <v>2733</v>
      </c>
      <c r="E135" s="1606" t="s">
        <v>2734</v>
      </c>
      <c r="F135" s="1606" t="s">
        <v>2414</v>
      </c>
      <c r="G135" s="1606" t="s">
        <v>9</v>
      </c>
      <c r="H135" s="1606" t="s">
        <v>9</v>
      </c>
      <c r="I135" s="1606" t="s">
        <v>939</v>
      </c>
    </row>
    <row r="136" spans="1:9" ht="11.25" customHeight="1">
      <c r="A136" s="1606" t="s">
        <v>2296</v>
      </c>
      <c r="B136" s="1606" t="s">
        <v>3</v>
      </c>
      <c r="C136" s="1606" t="s">
        <v>2735</v>
      </c>
      <c r="D136" s="1606" t="s">
        <v>2736</v>
      </c>
      <c r="E136" s="1606" t="s">
        <v>2737</v>
      </c>
      <c r="F136" s="1606" t="s">
        <v>2528</v>
      </c>
      <c r="G136" s="1606" t="s">
        <v>2738</v>
      </c>
      <c r="H136" s="1606" t="s">
        <v>9</v>
      </c>
      <c r="I136" s="1606" t="s">
        <v>939</v>
      </c>
    </row>
    <row r="137" spans="1:9" ht="11.25" customHeight="1">
      <c r="A137" s="1606" t="s">
        <v>2296</v>
      </c>
      <c r="B137" s="1606" t="s">
        <v>3</v>
      </c>
      <c r="C137" s="1606" t="s">
        <v>2739</v>
      </c>
      <c r="D137" s="1606" t="s">
        <v>2740</v>
      </c>
      <c r="E137" s="1606" t="s">
        <v>2741</v>
      </c>
      <c r="F137" s="1606" t="s">
        <v>2742</v>
      </c>
      <c r="G137" s="1606" t="s">
        <v>9</v>
      </c>
      <c r="H137" s="1606" t="s">
        <v>9</v>
      </c>
      <c r="I137" s="1606" t="s">
        <v>939</v>
      </c>
    </row>
    <row r="138" spans="1:9" ht="11.25" customHeight="1">
      <c r="A138" s="1606" t="s">
        <v>2296</v>
      </c>
      <c r="B138" s="1606" t="s">
        <v>3</v>
      </c>
      <c r="C138" s="1606" t="s">
        <v>2743</v>
      </c>
      <c r="D138" s="1606" t="s">
        <v>2744</v>
      </c>
      <c r="E138" s="1606" t="s">
        <v>2745</v>
      </c>
      <c r="F138" s="1606" t="s">
        <v>2746</v>
      </c>
      <c r="G138" s="1606" t="s">
        <v>9</v>
      </c>
      <c r="H138" s="1606" t="s">
        <v>9</v>
      </c>
      <c r="I138" s="1606" t="s">
        <v>939</v>
      </c>
    </row>
    <row r="139" spans="1:9" ht="11.25" customHeight="1">
      <c r="A139" s="1606" t="s">
        <v>2296</v>
      </c>
      <c r="B139" s="1606" t="s">
        <v>3</v>
      </c>
      <c r="C139" s="1606" t="s">
        <v>2747</v>
      </c>
      <c r="D139" s="1606" t="s">
        <v>2748</v>
      </c>
      <c r="E139" s="1606" t="s">
        <v>2523</v>
      </c>
      <c r="F139" s="1606" t="s">
        <v>2749</v>
      </c>
      <c r="G139" s="1606" t="s">
        <v>9</v>
      </c>
      <c r="H139" s="1606" t="s">
        <v>9</v>
      </c>
      <c r="I139" s="1606" t="s">
        <v>939</v>
      </c>
    </row>
    <row r="140" spans="1:9" ht="11.25" customHeight="1">
      <c r="A140" s="1606" t="s">
        <v>2296</v>
      </c>
      <c r="B140" s="1606" t="s">
        <v>3</v>
      </c>
      <c r="C140" s="1606" t="s">
        <v>2750</v>
      </c>
      <c r="D140" s="1606" t="s">
        <v>2751</v>
      </c>
      <c r="E140" s="1606" t="s">
        <v>2752</v>
      </c>
      <c r="F140" s="1606" t="s">
        <v>2318</v>
      </c>
      <c r="G140" s="1606" t="s">
        <v>9</v>
      </c>
      <c r="H140" s="1606" t="s">
        <v>9</v>
      </c>
      <c r="I140" s="1606" t="s">
        <v>939</v>
      </c>
    </row>
    <row r="141" spans="1:9" ht="11.25" customHeight="1">
      <c r="A141" s="1606" t="s">
        <v>2296</v>
      </c>
      <c r="B141" s="1606" t="s">
        <v>3</v>
      </c>
      <c r="C141" s="1606" t="s">
        <v>2753</v>
      </c>
      <c r="D141" s="1606" t="s">
        <v>2754</v>
      </c>
      <c r="E141" s="1606" t="s">
        <v>2755</v>
      </c>
      <c r="F141" s="1606" t="s">
        <v>2403</v>
      </c>
      <c r="G141" s="1606" t="s">
        <v>9</v>
      </c>
      <c r="H141" s="1606" t="s">
        <v>9</v>
      </c>
      <c r="I141" s="1606" t="s">
        <v>939</v>
      </c>
    </row>
    <row r="142" spans="1:9" ht="11.25" customHeight="1">
      <c r="A142" s="1606" t="s">
        <v>2296</v>
      </c>
      <c r="B142" s="1606" t="s">
        <v>3</v>
      </c>
      <c r="C142" s="1606" t="s">
        <v>2756</v>
      </c>
      <c r="D142" s="1606" t="s">
        <v>2757</v>
      </c>
      <c r="E142" s="1606" t="s">
        <v>2758</v>
      </c>
      <c r="F142" s="1606" t="s">
        <v>2356</v>
      </c>
      <c r="G142" s="1606" t="s">
        <v>9</v>
      </c>
      <c r="H142" s="1606" t="s">
        <v>9</v>
      </c>
      <c r="I142" s="1606" t="s">
        <v>939</v>
      </c>
    </row>
    <row r="143" spans="1:9" ht="11.25" customHeight="1">
      <c r="A143" s="1606" t="s">
        <v>2296</v>
      </c>
      <c r="B143" s="1606" t="s">
        <v>3</v>
      </c>
      <c r="C143" s="1606" t="s">
        <v>2759</v>
      </c>
      <c r="D143" s="1606" t="s">
        <v>2760</v>
      </c>
      <c r="E143" s="1606" t="s">
        <v>2523</v>
      </c>
      <c r="F143" s="1606" t="s">
        <v>2761</v>
      </c>
      <c r="G143" s="1606" t="s">
        <v>9</v>
      </c>
      <c r="H143" s="1606" t="s">
        <v>9</v>
      </c>
      <c r="I143" s="1606" t="s">
        <v>939</v>
      </c>
    </row>
    <row r="144" spans="1:9" ht="11.25" customHeight="1">
      <c r="A144" s="1606" t="s">
        <v>2296</v>
      </c>
      <c r="B144" s="1606" t="s">
        <v>3</v>
      </c>
      <c r="C144" s="1606" t="s">
        <v>2762</v>
      </c>
      <c r="D144" s="1606" t="s">
        <v>2763</v>
      </c>
      <c r="E144" s="1606" t="s">
        <v>2764</v>
      </c>
      <c r="F144" s="1606" t="s">
        <v>2487</v>
      </c>
      <c r="G144" s="1606" t="s">
        <v>9</v>
      </c>
      <c r="H144" s="1606" t="s">
        <v>9</v>
      </c>
      <c r="I144" s="1606" t="s">
        <v>939</v>
      </c>
    </row>
    <row r="145" spans="1:9" ht="11.25" customHeight="1">
      <c r="A145" s="1606" t="s">
        <v>2296</v>
      </c>
      <c r="B145" s="1606" t="s">
        <v>3</v>
      </c>
      <c r="C145" s="1606" t="s">
        <v>2765</v>
      </c>
      <c r="D145" s="1606" t="s">
        <v>2766</v>
      </c>
      <c r="E145" s="1606" t="s">
        <v>2767</v>
      </c>
      <c r="F145" s="1606" t="s">
        <v>2332</v>
      </c>
      <c r="G145" s="1606" t="s">
        <v>9</v>
      </c>
      <c r="H145" s="1606" t="s">
        <v>9</v>
      </c>
      <c r="I145" s="1606" t="s">
        <v>939</v>
      </c>
    </row>
    <row r="146" spans="1:9" ht="11.25" customHeight="1">
      <c r="A146" s="1606" t="s">
        <v>2296</v>
      </c>
      <c r="B146" s="1606" t="s">
        <v>3</v>
      </c>
      <c r="C146" s="1606" t="s">
        <v>2768</v>
      </c>
      <c r="D146" s="1606" t="s">
        <v>2769</v>
      </c>
      <c r="E146" s="1606" t="s">
        <v>2770</v>
      </c>
      <c r="F146" s="1606" t="s">
        <v>2771</v>
      </c>
      <c r="G146" s="1606" t="s">
        <v>9</v>
      </c>
      <c r="H146" s="1606" t="s">
        <v>9</v>
      </c>
      <c r="I146" s="1606" t="s">
        <v>939</v>
      </c>
    </row>
    <row r="147" spans="1:9" ht="11.25" customHeight="1">
      <c r="A147" s="1606" t="s">
        <v>2296</v>
      </c>
      <c r="B147" s="1606" t="s">
        <v>3</v>
      </c>
      <c r="C147" s="1606" t="s">
        <v>2772</v>
      </c>
      <c r="D147" s="1606" t="s">
        <v>2773</v>
      </c>
      <c r="E147" s="1606" t="s">
        <v>2774</v>
      </c>
      <c r="F147" s="1606" t="s">
        <v>2775</v>
      </c>
      <c r="G147" s="1606" t="s">
        <v>9</v>
      </c>
      <c r="H147" s="1606" t="s">
        <v>9</v>
      </c>
      <c r="I147" s="1606" t="s">
        <v>939</v>
      </c>
    </row>
    <row r="148" spans="1:9" ht="11.25" customHeight="1">
      <c r="A148" s="1606" t="s">
        <v>2296</v>
      </c>
      <c r="B148" s="1606" t="s">
        <v>3</v>
      </c>
      <c r="C148" s="1606" t="s">
        <v>2776</v>
      </c>
      <c r="D148" s="1606" t="s">
        <v>2777</v>
      </c>
      <c r="E148" s="1606" t="s">
        <v>2778</v>
      </c>
      <c r="F148" s="1606" t="s">
        <v>2528</v>
      </c>
      <c r="G148" s="1606" t="s">
        <v>9</v>
      </c>
      <c r="H148" s="1606" t="s">
        <v>9</v>
      </c>
      <c r="I148" s="1606" t="s">
        <v>939</v>
      </c>
    </row>
    <row r="149" spans="1:9" ht="11.25" customHeight="1">
      <c r="A149" s="1606" t="s">
        <v>2296</v>
      </c>
      <c r="B149" s="1606" t="s">
        <v>3</v>
      </c>
      <c r="C149" s="1606" t="s">
        <v>2779</v>
      </c>
      <c r="D149" s="1606" t="s">
        <v>2780</v>
      </c>
      <c r="E149" s="1606" t="s">
        <v>2781</v>
      </c>
      <c r="F149" s="1606" t="s">
        <v>2528</v>
      </c>
      <c r="G149" s="1606" t="s">
        <v>9</v>
      </c>
      <c r="H149" s="1606" t="s">
        <v>9</v>
      </c>
      <c r="I149" s="1606" t="s">
        <v>939</v>
      </c>
    </row>
    <row r="150" spans="1:9" ht="11.25" customHeight="1">
      <c r="A150" s="1606" t="s">
        <v>2296</v>
      </c>
      <c r="B150" s="1606" t="s">
        <v>3</v>
      </c>
      <c r="C150" s="1606" t="s">
        <v>2782</v>
      </c>
      <c r="D150" s="1606" t="s">
        <v>2783</v>
      </c>
      <c r="E150" s="1606" t="s">
        <v>2784</v>
      </c>
      <c r="F150" s="1606" t="s">
        <v>2318</v>
      </c>
      <c r="G150" s="1606" t="s">
        <v>9</v>
      </c>
      <c r="H150" s="1606" t="s">
        <v>9</v>
      </c>
      <c r="I150" s="1606" t="s">
        <v>939</v>
      </c>
    </row>
    <row r="151" spans="1:9" ht="11.25" customHeight="1">
      <c r="A151" s="1606" t="s">
        <v>2296</v>
      </c>
      <c r="B151" s="1606" t="s">
        <v>3</v>
      </c>
      <c r="C151" s="1606" t="s">
        <v>2785</v>
      </c>
      <c r="D151" s="1606" t="s">
        <v>2786</v>
      </c>
      <c r="E151" s="1606" t="s">
        <v>2787</v>
      </c>
      <c r="F151" s="1606" t="s">
        <v>2788</v>
      </c>
      <c r="G151" s="1606" t="s">
        <v>9</v>
      </c>
      <c r="H151" s="1606" t="s">
        <v>9</v>
      </c>
      <c r="I151" s="1606" t="s">
        <v>939</v>
      </c>
    </row>
    <row r="152" spans="1:9" ht="11.25" customHeight="1">
      <c r="A152" s="1606" t="s">
        <v>2296</v>
      </c>
      <c r="B152" s="1606" t="s">
        <v>3</v>
      </c>
      <c r="C152" s="1606" t="s">
        <v>2789</v>
      </c>
      <c r="D152" s="1606" t="s">
        <v>2790</v>
      </c>
      <c r="E152" s="1606" t="s">
        <v>2791</v>
      </c>
      <c r="F152" s="1606" t="s">
        <v>2746</v>
      </c>
      <c r="G152" s="1606" t="s">
        <v>9</v>
      </c>
      <c r="H152" s="1606" t="s">
        <v>9</v>
      </c>
      <c r="I152" s="1606" t="s">
        <v>939</v>
      </c>
    </row>
    <row r="153" spans="1:9" ht="11.25" customHeight="1">
      <c r="A153" s="1606" t="s">
        <v>2296</v>
      </c>
      <c r="B153" s="1606" t="s">
        <v>3</v>
      </c>
      <c r="C153" s="1606" t="s">
        <v>2792</v>
      </c>
      <c r="D153" s="1606" t="s">
        <v>2793</v>
      </c>
      <c r="E153" s="1606" t="s">
        <v>2794</v>
      </c>
      <c r="F153" s="1606" t="s">
        <v>2795</v>
      </c>
      <c r="G153" s="1606" t="s">
        <v>9</v>
      </c>
      <c r="H153" s="1606" t="s">
        <v>9</v>
      </c>
      <c r="I153" s="1606" t="s">
        <v>939</v>
      </c>
    </row>
    <row r="154" spans="1:9" ht="11.25" customHeight="1">
      <c r="A154" s="1606" t="s">
        <v>2296</v>
      </c>
      <c r="B154" s="1606" t="s">
        <v>3</v>
      </c>
      <c r="C154" s="1606" t="s">
        <v>2796</v>
      </c>
      <c r="D154" s="1606" t="s">
        <v>2797</v>
      </c>
      <c r="E154" s="1606" t="s">
        <v>2764</v>
      </c>
      <c r="F154" s="1606" t="s">
        <v>2798</v>
      </c>
      <c r="G154" s="1606" t="s">
        <v>9</v>
      </c>
      <c r="H154" s="1606" t="s">
        <v>9</v>
      </c>
      <c r="I154" s="1606" t="s">
        <v>939</v>
      </c>
    </row>
    <row r="155" spans="1:9" ht="11.25" customHeight="1">
      <c r="A155" s="1606" t="s">
        <v>2296</v>
      </c>
      <c r="B155" s="1606" t="s">
        <v>3</v>
      </c>
      <c r="C155" s="1606" t="s">
        <v>2799</v>
      </c>
      <c r="D155" s="1606" t="s">
        <v>2800</v>
      </c>
      <c r="E155" s="1606" t="s">
        <v>2764</v>
      </c>
      <c r="F155" s="1606" t="s">
        <v>2801</v>
      </c>
      <c r="G155" s="1606" t="s">
        <v>9</v>
      </c>
      <c r="H155" s="1606" t="s">
        <v>9</v>
      </c>
      <c r="I155" s="1606" t="s">
        <v>939</v>
      </c>
    </row>
    <row r="156" spans="1:9" ht="11.25" customHeight="1">
      <c r="A156" s="1606" t="s">
        <v>2296</v>
      </c>
      <c r="B156" s="1606" t="s">
        <v>3</v>
      </c>
      <c r="C156" s="1606" t="s">
        <v>2297</v>
      </c>
      <c r="D156" s="1606" t="s">
        <v>2298</v>
      </c>
      <c r="E156" s="1606" t="s">
        <v>2299</v>
      </c>
      <c r="F156" s="1606" t="s">
        <v>2300</v>
      </c>
      <c r="G156" s="1606" t="s">
        <v>9</v>
      </c>
      <c r="H156" s="1606" t="s">
        <v>9</v>
      </c>
      <c r="I156" s="1606" t="s">
        <v>959</v>
      </c>
    </row>
    <row r="157" spans="1:9" ht="11.25" customHeight="1">
      <c r="A157" s="1606" t="s">
        <v>2296</v>
      </c>
      <c r="B157" s="1606" t="s">
        <v>3</v>
      </c>
      <c r="C157" s="1606" t="s">
        <v>2301</v>
      </c>
      <c r="D157" s="1606" t="s">
        <v>2298</v>
      </c>
      <c r="E157" s="1606" t="s">
        <v>2299</v>
      </c>
      <c r="F157" s="1606" t="s">
        <v>2302</v>
      </c>
      <c r="G157" s="1606" t="s">
        <v>9</v>
      </c>
      <c r="H157" s="1606" t="s">
        <v>9</v>
      </c>
      <c r="I157" s="1606" t="s">
        <v>959</v>
      </c>
    </row>
    <row r="158" spans="1:9" ht="11.25" customHeight="1">
      <c r="A158" s="1606" t="s">
        <v>2296</v>
      </c>
      <c r="B158" s="1606" t="s">
        <v>3</v>
      </c>
      <c r="C158" s="1606" t="s">
        <v>2322</v>
      </c>
      <c r="D158" s="1606" t="s">
        <v>2323</v>
      </c>
      <c r="E158" s="1606" t="s">
        <v>2324</v>
      </c>
      <c r="F158" s="1606" t="s">
        <v>2302</v>
      </c>
      <c r="G158" s="1606" t="s">
        <v>9</v>
      </c>
      <c r="H158" s="1606" t="s">
        <v>9</v>
      </c>
      <c r="I158" s="1606" t="s">
        <v>959</v>
      </c>
    </row>
    <row r="159" spans="1:9" ht="11.25" customHeight="1">
      <c r="A159" s="1606" t="s">
        <v>2296</v>
      </c>
      <c r="B159" s="1606" t="s">
        <v>3</v>
      </c>
      <c r="C159" s="1606" t="s">
        <v>2325</v>
      </c>
      <c r="D159" s="1606" t="s">
        <v>2326</v>
      </c>
      <c r="E159" s="1606" t="s">
        <v>2327</v>
      </c>
      <c r="F159" s="1606" t="s">
        <v>2328</v>
      </c>
      <c r="G159" s="1606" t="s">
        <v>9</v>
      </c>
      <c r="H159" s="1606" t="s">
        <v>9</v>
      </c>
      <c r="I159" s="1606" t="s">
        <v>959</v>
      </c>
    </row>
    <row r="160" spans="1:9" ht="11.25" customHeight="1">
      <c r="A160" s="1606" t="s">
        <v>2296</v>
      </c>
      <c r="B160" s="1606" t="s">
        <v>3</v>
      </c>
      <c r="C160" s="1606" t="s">
        <v>2329</v>
      </c>
      <c r="D160" s="1606" t="s">
        <v>2330</v>
      </c>
      <c r="E160" s="1606" t="s">
        <v>2331</v>
      </c>
      <c r="F160" s="1606" t="s">
        <v>2332</v>
      </c>
      <c r="G160" s="1606" t="s">
        <v>9</v>
      </c>
      <c r="H160" s="1606" t="s">
        <v>9</v>
      </c>
      <c r="I160" s="1606" t="s">
        <v>959</v>
      </c>
    </row>
    <row r="161" spans="1:9" ht="11.25" customHeight="1">
      <c r="A161" s="1606" t="s">
        <v>2296</v>
      </c>
      <c r="B161" s="1606" t="s">
        <v>3</v>
      </c>
      <c r="C161" s="1606" t="s">
        <v>2340</v>
      </c>
      <c r="D161" s="1606" t="s">
        <v>2341</v>
      </c>
      <c r="E161" s="1606" t="s">
        <v>2342</v>
      </c>
      <c r="F161" s="1606" t="s">
        <v>2343</v>
      </c>
      <c r="G161" s="1606" t="s">
        <v>2344</v>
      </c>
      <c r="H161" s="1606" t="s">
        <v>9</v>
      </c>
      <c r="I161" s="1606" t="s">
        <v>959</v>
      </c>
    </row>
    <row r="162" spans="1:9" ht="11.25" customHeight="1">
      <c r="A162" s="1606" t="s">
        <v>2296</v>
      </c>
      <c r="B162" s="1606" t="s">
        <v>3</v>
      </c>
      <c r="C162" s="1606" t="s">
        <v>2345</v>
      </c>
      <c r="D162" s="1606" t="s">
        <v>2346</v>
      </c>
      <c r="E162" s="1606" t="s">
        <v>2347</v>
      </c>
      <c r="F162" s="1606" t="s">
        <v>2348</v>
      </c>
      <c r="G162" s="1606" t="s">
        <v>9</v>
      </c>
      <c r="H162" s="1606" t="s">
        <v>9</v>
      </c>
      <c r="I162" s="1606" t="s">
        <v>959</v>
      </c>
    </row>
    <row r="163" spans="1:9" ht="11.25" customHeight="1">
      <c r="A163" s="1606" t="s">
        <v>2296</v>
      </c>
      <c r="B163" s="1606" t="s">
        <v>3</v>
      </c>
      <c r="C163" s="1606" t="s">
        <v>2353</v>
      </c>
      <c r="D163" s="1606" t="s">
        <v>2354</v>
      </c>
      <c r="E163" s="1606" t="s">
        <v>2355</v>
      </c>
      <c r="F163" s="1606" t="s">
        <v>2356</v>
      </c>
      <c r="G163" s="1606" t="s">
        <v>9</v>
      </c>
      <c r="H163" s="1606" t="s">
        <v>9</v>
      </c>
      <c r="I163" s="1606" t="s">
        <v>959</v>
      </c>
    </row>
    <row r="164" spans="1:9" ht="11.25" customHeight="1">
      <c r="A164" s="1606" t="s">
        <v>2296</v>
      </c>
      <c r="B164" s="1606" t="s">
        <v>3</v>
      </c>
      <c r="C164" s="1606" t="s">
        <v>2361</v>
      </c>
      <c r="D164" s="1606" t="s">
        <v>2362</v>
      </c>
      <c r="E164" s="1606" t="s">
        <v>2363</v>
      </c>
      <c r="F164" s="1606" t="s">
        <v>37</v>
      </c>
      <c r="G164" s="1606" t="s">
        <v>9</v>
      </c>
      <c r="H164" s="1606" t="s">
        <v>9</v>
      </c>
      <c r="I164" s="1606" t="s">
        <v>959</v>
      </c>
    </row>
    <row r="165" spans="1:9" ht="11.25" customHeight="1">
      <c r="A165" s="1606" t="s">
        <v>2296</v>
      </c>
      <c r="B165" s="1606" t="s">
        <v>3</v>
      </c>
      <c r="C165" s="1606" t="s">
        <v>9</v>
      </c>
      <c r="D165" s="1606" t="s">
        <v>2398</v>
      </c>
      <c r="E165" s="1606" t="s">
        <v>2399</v>
      </c>
      <c r="F165" s="1606" t="s">
        <v>2343</v>
      </c>
      <c r="G165" s="1606" t="s">
        <v>9</v>
      </c>
      <c r="H165" s="1606" t="s">
        <v>9</v>
      </c>
      <c r="I165" s="1606" t="s">
        <v>959</v>
      </c>
    </row>
    <row r="166" spans="1:9" ht="11.25" customHeight="1">
      <c r="A166" s="1606" t="s">
        <v>2296</v>
      </c>
      <c r="B166" s="1606" t="s">
        <v>3</v>
      </c>
      <c r="C166" s="1606" t="s">
        <v>2426</v>
      </c>
      <c r="D166" s="1606" t="s">
        <v>2427</v>
      </c>
      <c r="E166" s="1606" t="s">
        <v>2428</v>
      </c>
      <c r="F166" s="1606" t="s">
        <v>2318</v>
      </c>
      <c r="G166" s="1606" t="s">
        <v>9</v>
      </c>
      <c r="H166" s="1606" t="s">
        <v>9</v>
      </c>
      <c r="I166" s="1606" t="s">
        <v>959</v>
      </c>
    </row>
    <row r="167" spans="1:9" ht="11.25" customHeight="1">
      <c r="A167" s="1606" t="s">
        <v>2296</v>
      </c>
      <c r="B167" s="1606" t="s">
        <v>3</v>
      </c>
      <c r="C167" s="1606" t="s">
        <v>2429</v>
      </c>
      <c r="D167" s="1606" t="s">
        <v>2430</v>
      </c>
      <c r="E167" s="1606" t="s">
        <v>2431</v>
      </c>
      <c r="F167" s="1606" t="s">
        <v>2432</v>
      </c>
      <c r="G167" s="1606" t="s">
        <v>2433</v>
      </c>
      <c r="H167" s="1606" t="s">
        <v>9</v>
      </c>
      <c r="I167" s="1606" t="s">
        <v>959</v>
      </c>
    </row>
    <row r="168" spans="1:9" ht="11.25" customHeight="1">
      <c r="A168" s="1606" t="s">
        <v>2296</v>
      </c>
      <c r="B168" s="1606" t="s">
        <v>3</v>
      </c>
      <c r="C168" s="1606" t="s">
        <v>2439</v>
      </c>
      <c r="D168" s="1606" t="s">
        <v>2440</v>
      </c>
      <c r="E168" s="1606" t="s">
        <v>2441</v>
      </c>
      <c r="F168" s="1606" t="s">
        <v>2407</v>
      </c>
      <c r="G168" s="1606" t="s">
        <v>9</v>
      </c>
      <c r="H168" s="1606" t="s">
        <v>2442</v>
      </c>
      <c r="I168" s="1606" t="s">
        <v>959</v>
      </c>
    </row>
    <row r="169" spans="1:9" ht="11.25" customHeight="1">
      <c r="A169" s="1606" t="s">
        <v>2296</v>
      </c>
      <c r="B169" s="1606" t="s">
        <v>3</v>
      </c>
      <c r="C169" s="1606" t="s">
        <v>2446</v>
      </c>
      <c r="D169" s="1606" t="s">
        <v>2440</v>
      </c>
      <c r="E169" s="1606" t="s">
        <v>2447</v>
      </c>
      <c r="F169" s="1606" t="s">
        <v>2448</v>
      </c>
      <c r="G169" s="1606" t="s">
        <v>9</v>
      </c>
      <c r="H169" s="1606" t="s">
        <v>9</v>
      </c>
      <c r="I169" s="1606" t="s">
        <v>959</v>
      </c>
    </row>
    <row r="170" spans="1:9" ht="11.25" customHeight="1">
      <c r="A170" s="1606" t="s">
        <v>2296</v>
      </c>
      <c r="B170" s="1606" t="s">
        <v>3</v>
      </c>
      <c r="C170" s="1606" t="s">
        <v>2454</v>
      </c>
      <c r="D170" s="1606" t="s">
        <v>2455</v>
      </c>
      <c r="E170" s="1606" t="s">
        <v>2456</v>
      </c>
      <c r="F170" s="1606" t="s">
        <v>2352</v>
      </c>
      <c r="G170" s="1606" t="s">
        <v>9</v>
      </c>
      <c r="H170" s="1606" t="s">
        <v>9</v>
      </c>
      <c r="I170" s="1606" t="s">
        <v>959</v>
      </c>
    </row>
    <row r="171" spans="1:9" ht="11.25" customHeight="1">
      <c r="A171" s="1606" t="s">
        <v>2296</v>
      </c>
      <c r="B171" s="1606" t="s">
        <v>3</v>
      </c>
      <c r="C171" s="1606" t="s">
        <v>2457</v>
      </c>
      <c r="D171" s="1606" t="s">
        <v>2458</v>
      </c>
      <c r="E171" s="1606" t="s">
        <v>2459</v>
      </c>
      <c r="F171" s="1606" t="s">
        <v>2318</v>
      </c>
      <c r="G171" s="1606" t="s">
        <v>9</v>
      </c>
      <c r="H171" s="1606" t="s">
        <v>9</v>
      </c>
      <c r="I171" s="1606" t="s">
        <v>959</v>
      </c>
    </row>
    <row r="172" spans="1:9" ht="11.25" customHeight="1">
      <c r="A172" s="1606" t="s">
        <v>2296</v>
      </c>
      <c r="B172" s="1606" t="s">
        <v>3</v>
      </c>
      <c r="C172" s="1606" t="s">
        <v>2463</v>
      </c>
      <c r="D172" s="1606" t="s">
        <v>2464</v>
      </c>
      <c r="E172" s="1606" t="s">
        <v>2465</v>
      </c>
      <c r="F172" s="1606" t="s">
        <v>2318</v>
      </c>
      <c r="G172" s="1606" t="s">
        <v>2466</v>
      </c>
      <c r="H172" s="1606" t="s">
        <v>9</v>
      </c>
      <c r="I172" s="1606" t="s">
        <v>959</v>
      </c>
    </row>
    <row r="173" spans="1:9" ht="11.25" customHeight="1">
      <c r="A173" s="1606" t="s">
        <v>2296</v>
      </c>
      <c r="B173" s="1606" t="s">
        <v>3</v>
      </c>
      <c r="C173" s="1606" t="s">
        <v>2470</v>
      </c>
      <c r="D173" s="1606" t="s">
        <v>2471</v>
      </c>
      <c r="E173" s="1606" t="s">
        <v>2472</v>
      </c>
      <c r="F173" s="1606" t="s">
        <v>2343</v>
      </c>
      <c r="G173" s="1606" t="s">
        <v>9</v>
      </c>
      <c r="H173" s="1606" t="s">
        <v>9</v>
      </c>
      <c r="I173" s="1606" t="s">
        <v>959</v>
      </c>
    </row>
    <row r="174" spans="1:9" ht="11.25" customHeight="1">
      <c r="A174" s="1606" t="s">
        <v>2296</v>
      </c>
      <c r="B174" s="1606" t="s">
        <v>3</v>
      </c>
      <c r="C174" s="1606" t="s">
        <v>2473</v>
      </c>
      <c r="D174" s="1606" t="s">
        <v>2474</v>
      </c>
      <c r="E174" s="1606" t="s">
        <v>2475</v>
      </c>
      <c r="F174" s="1606" t="s">
        <v>2476</v>
      </c>
      <c r="G174" s="1606" t="s">
        <v>9</v>
      </c>
      <c r="H174" s="1606" t="s">
        <v>9</v>
      </c>
      <c r="I174" s="1606" t="s">
        <v>959</v>
      </c>
    </row>
    <row r="175" spans="1:9" ht="11.25" customHeight="1">
      <c r="A175" s="1606" t="s">
        <v>2296</v>
      </c>
      <c r="B175" s="1606" t="s">
        <v>3</v>
      </c>
      <c r="C175" s="1606" t="s">
        <v>2477</v>
      </c>
      <c r="D175" s="1606" t="s">
        <v>2478</v>
      </c>
      <c r="E175" s="1606" t="s">
        <v>2479</v>
      </c>
      <c r="F175" s="1606" t="s">
        <v>2414</v>
      </c>
      <c r="G175" s="1606" t="s">
        <v>2480</v>
      </c>
      <c r="H175" s="1606" t="s">
        <v>9</v>
      </c>
      <c r="I175" s="1606" t="s">
        <v>959</v>
      </c>
    </row>
    <row r="176" spans="1:9" ht="11.25" customHeight="1">
      <c r="A176" s="1606" t="s">
        <v>2296</v>
      </c>
      <c r="B176" s="1606" t="s">
        <v>3</v>
      </c>
      <c r="C176" s="1606" t="s">
        <v>2484</v>
      </c>
      <c r="D176" s="1606" t="s">
        <v>2485</v>
      </c>
      <c r="E176" s="1606" t="s">
        <v>2486</v>
      </c>
      <c r="F176" s="1606" t="s">
        <v>2487</v>
      </c>
      <c r="G176" s="1606" t="s">
        <v>2488</v>
      </c>
      <c r="H176" s="1606" t="s">
        <v>9</v>
      </c>
      <c r="I176" s="1606" t="s">
        <v>959</v>
      </c>
    </row>
    <row r="177" spans="1:9" ht="11.25" customHeight="1">
      <c r="A177" s="1606" t="s">
        <v>2296</v>
      </c>
      <c r="B177" s="1606" t="s">
        <v>3</v>
      </c>
      <c r="C177" s="1606" t="s">
        <v>2493</v>
      </c>
      <c r="D177" s="1606" t="s">
        <v>2494</v>
      </c>
      <c r="E177" s="1606" t="s">
        <v>2495</v>
      </c>
      <c r="F177" s="1606" t="s">
        <v>2407</v>
      </c>
      <c r="G177" s="1606" t="s">
        <v>9</v>
      </c>
      <c r="H177" s="1606" t="s">
        <v>9</v>
      </c>
      <c r="I177" s="1606" t="s">
        <v>959</v>
      </c>
    </row>
    <row r="178" spans="1:9" ht="11.25" customHeight="1">
      <c r="A178" s="1606" t="s">
        <v>2296</v>
      </c>
      <c r="B178" s="1606" t="s">
        <v>3</v>
      </c>
      <c r="C178" s="1606" t="s">
        <v>2499</v>
      </c>
      <c r="D178" s="1606" t="s">
        <v>2500</v>
      </c>
      <c r="E178" s="1606" t="s">
        <v>2501</v>
      </c>
      <c r="F178" s="1606" t="s">
        <v>2318</v>
      </c>
      <c r="G178" s="1606" t="s">
        <v>9</v>
      </c>
      <c r="H178" s="1606" t="s">
        <v>9</v>
      </c>
      <c r="I178" s="1606" t="s">
        <v>959</v>
      </c>
    </row>
    <row r="179" spans="1:9" ht="11.25" customHeight="1">
      <c r="A179" s="1606" t="s">
        <v>2296</v>
      </c>
      <c r="B179" s="1606" t="s">
        <v>3</v>
      </c>
      <c r="C179" s="1606" t="s">
        <v>2521</v>
      </c>
      <c r="D179" s="1606" t="s">
        <v>2522</v>
      </c>
      <c r="E179" s="1606" t="s">
        <v>2523</v>
      </c>
      <c r="F179" s="1606" t="s">
        <v>2524</v>
      </c>
      <c r="G179" s="1606" t="s">
        <v>9</v>
      </c>
      <c r="H179" s="1606" t="s">
        <v>9</v>
      </c>
      <c r="I179" s="1606" t="s">
        <v>959</v>
      </c>
    </row>
    <row r="180" spans="1:9" ht="11.25" customHeight="1">
      <c r="A180" s="1606" t="s">
        <v>2296</v>
      </c>
      <c r="B180" s="1606" t="s">
        <v>3</v>
      </c>
      <c r="C180" s="1606" t="s">
        <v>2525</v>
      </c>
      <c r="D180" s="1606" t="s">
        <v>2526</v>
      </c>
      <c r="E180" s="1606" t="s">
        <v>2527</v>
      </c>
      <c r="F180" s="1606" t="s">
        <v>2528</v>
      </c>
      <c r="G180" s="1606" t="s">
        <v>9</v>
      </c>
      <c r="H180" s="1606" t="s">
        <v>9</v>
      </c>
      <c r="I180" s="1606" t="s">
        <v>959</v>
      </c>
    </row>
    <row r="181" spans="1:9" ht="11.25" customHeight="1">
      <c r="A181" s="1606" t="s">
        <v>2296</v>
      </c>
      <c r="B181" s="1606" t="s">
        <v>3</v>
      </c>
      <c r="C181" s="1606" t="s">
        <v>2529</v>
      </c>
      <c r="D181" s="1606" t="s">
        <v>2530</v>
      </c>
      <c r="E181" s="1606" t="s">
        <v>2531</v>
      </c>
      <c r="F181" s="1606" t="s">
        <v>2476</v>
      </c>
      <c r="G181" s="1606" t="s">
        <v>9</v>
      </c>
      <c r="H181" s="1606" t="s">
        <v>9</v>
      </c>
      <c r="I181" s="1606" t="s">
        <v>959</v>
      </c>
    </row>
    <row r="182" spans="1:9" ht="11.25" customHeight="1">
      <c r="A182" s="1606" t="s">
        <v>2296</v>
      </c>
      <c r="B182" s="1606" t="s">
        <v>3</v>
      </c>
      <c r="C182" s="1606" t="s">
        <v>2548</v>
      </c>
      <c r="D182" s="1606" t="s">
        <v>2549</v>
      </c>
      <c r="E182" s="1606" t="s">
        <v>2550</v>
      </c>
      <c r="F182" s="1606" t="s">
        <v>2343</v>
      </c>
      <c r="G182" s="1606" t="s">
        <v>9</v>
      </c>
      <c r="H182" s="1606" t="s">
        <v>9</v>
      </c>
      <c r="I182" s="1606" t="s">
        <v>959</v>
      </c>
    </row>
    <row r="183" spans="1:9" ht="11.25" customHeight="1">
      <c r="A183" s="1606" t="s">
        <v>2296</v>
      </c>
      <c r="B183" s="1606" t="s">
        <v>3</v>
      </c>
      <c r="C183" s="1606" t="s">
        <v>2554</v>
      </c>
      <c r="D183" s="1606" t="s">
        <v>2555</v>
      </c>
      <c r="E183" s="1606" t="s">
        <v>2556</v>
      </c>
      <c r="F183" s="1606" t="s">
        <v>37</v>
      </c>
      <c r="G183" s="1606" t="s">
        <v>9</v>
      </c>
      <c r="H183" s="1606" t="s">
        <v>9</v>
      </c>
      <c r="I183" s="1606" t="s">
        <v>959</v>
      </c>
    </row>
    <row r="184" spans="1:9" ht="11.25" customHeight="1">
      <c r="A184" s="1606" t="s">
        <v>2296</v>
      </c>
      <c r="B184" s="1606" t="s">
        <v>3</v>
      </c>
      <c r="C184" s="1606" t="s">
        <v>2557</v>
      </c>
      <c r="D184" s="1606" t="s">
        <v>2558</v>
      </c>
      <c r="E184" s="1606" t="s">
        <v>2559</v>
      </c>
      <c r="F184" s="1606" t="s">
        <v>2560</v>
      </c>
      <c r="G184" s="1606" t="s">
        <v>9</v>
      </c>
      <c r="H184" s="1606" t="s">
        <v>9</v>
      </c>
      <c r="I184" s="1606" t="s">
        <v>959</v>
      </c>
    </row>
    <row r="185" spans="1:9" ht="11.25" customHeight="1">
      <c r="A185" s="1606" t="s">
        <v>2296</v>
      </c>
      <c r="B185" s="1606" t="s">
        <v>3</v>
      </c>
      <c r="C185" s="1606" t="s">
        <v>2564</v>
      </c>
      <c r="D185" s="1606" t="s">
        <v>2565</v>
      </c>
      <c r="E185" s="1606" t="s">
        <v>2566</v>
      </c>
      <c r="F185" s="1606" t="s">
        <v>2487</v>
      </c>
      <c r="G185" s="1606" t="s">
        <v>9</v>
      </c>
      <c r="H185" s="1606" t="s">
        <v>9</v>
      </c>
      <c r="I185" s="1606" t="s">
        <v>959</v>
      </c>
    </row>
    <row r="186" spans="1:9" ht="11.25" customHeight="1">
      <c r="A186" s="1606" t="s">
        <v>2296</v>
      </c>
      <c r="B186" s="1606" t="s">
        <v>3</v>
      </c>
      <c r="C186" s="1606" t="s">
        <v>2573</v>
      </c>
      <c r="D186" s="1606" t="s">
        <v>2574</v>
      </c>
      <c r="E186" s="1606" t="s">
        <v>2575</v>
      </c>
      <c r="F186" s="1606" t="s">
        <v>2487</v>
      </c>
      <c r="G186" s="1606" t="s">
        <v>9</v>
      </c>
      <c r="H186" s="1606" t="s">
        <v>9</v>
      </c>
      <c r="I186" s="1606" t="s">
        <v>959</v>
      </c>
    </row>
    <row r="187" spans="1:9" ht="11.25" customHeight="1">
      <c r="A187" s="1606" t="s">
        <v>2296</v>
      </c>
      <c r="B187" s="1606" t="s">
        <v>3</v>
      </c>
      <c r="C187" s="1606" t="s">
        <v>2576</v>
      </c>
      <c r="D187" s="1606" t="s">
        <v>2577</v>
      </c>
      <c r="E187" s="1606" t="s">
        <v>2578</v>
      </c>
      <c r="F187" s="1606" t="s">
        <v>2343</v>
      </c>
      <c r="G187" s="1606" t="s">
        <v>9</v>
      </c>
      <c r="H187" s="1606" t="s">
        <v>9</v>
      </c>
      <c r="I187" s="1606" t="s">
        <v>959</v>
      </c>
    </row>
    <row r="188" spans="1:9" ht="11.25" customHeight="1">
      <c r="A188" s="1606" t="s">
        <v>2296</v>
      </c>
      <c r="B188" s="1606" t="s">
        <v>3</v>
      </c>
      <c r="C188" s="1606" t="s">
        <v>2588</v>
      </c>
      <c r="D188" s="1606" t="s">
        <v>2589</v>
      </c>
      <c r="E188" s="1606" t="s">
        <v>2590</v>
      </c>
      <c r="F188" s="1606" t="s">
        <v>2528</v>
      </c>
      <c r="G188" s="1606" t="s">
        <v>9</v>
      </c>
      <c r="H188" s="1606" t="s">
        <v>9</v>
      </c>
      <c r="I188" s="1606" t="s">
        <v>959</v>
      </c>
    </row>
    <row r="189" spans="1:9" ht="11.25" customHeight="1">
      <c r="A189" s="1606" t="s">
        <v>2296</v>
      </c>
      <c r="B189" s="1606" t="s">
        <v>3</v>
      </c>
      <c r="C189" s="1606" t="s">
        <v>2591</v>
      </c>
      <c r="D189" s="1606" t="s">
        <v>2592</v>
      </c>
      <c r="E189" s="1606" t="s">
        <v>2593</v>
      </c>
      <c r="F189" s="1606" t="s">
        <v>2356</v>
      </c>
      <c r="G189" s="1606" t="s">
        <v>9</v>
      </c>
      <c r="H189" s="1606" t="s">
        <v>9</v>
      </c>
      <c r="I189" s="1606" t="s">
        <v>959</v>
      </c>
    </row>
    <row r="190" spans="1:9" ht="11.25" customHeight="1">
      <c r="A190" s="1606" t="s">
        <v>2296</v>
      </c>
      <c r="B190" s="1606" t="s">
        <v>3</v>
      </c>
      <c r="C190" s="1606" t="s">
        <v>2601</v>
      </c>
      <c r="D190" s="1606" t="s">
        <v>2602</v>
      </c>
      <c r="E190" s="1606" t="s">
        <v>2603</v>
      </c>
      <c r="F190" s="1606" t="s">
        <v>2318</v>
      </c>
      <c r="G190" s="1606" t="s">
        <v>2600</v>
      </c>
      <c r="H190" s="1606" t="s">
        <v>9</v>
      </c>
      <c r="I190" s="1606" t="s">
        <v>959</v>
      </c>
    </row>
    <row r="191" spans="1:9" ht="11.25" customHeight="1">
      <c r="A191" s="1606" t="s">
        <v>2296</v>
      </c>
      <c r="B191" s="1606" t="s">
        <v>3</v>
      </c>
      <c r="C191" s="1606" t="s">
        <v>2604</v>
      </c>
      <c r="D191" s="1606" t="s">
        <v>2605</v>
      </c>
      <c r="E191" s="1606" t="s">
        <v>2606</v>
      </c>
      <c r="F191" s="1606" t="s">
        <v>2414</v>
      </c>
      <c r="G191" s="1606" t="s">
        <v>9</v>
      </c>
      <c r="H191" s="1606" t="s">
        <v>9</v>
      </c>
      <c r="I191" s="1606" t="s">
        <v>959</v>
      </c>
    </row>
    <row r="192" spans="1:9" ht="11.25" customHeight="1">
      <c r="A192" s="1606" t="s">
        <v>2296</v>
      </c>
      <c r="B192" s="1606" t="s">
        <v>3</v>
      </c>
      <c r="C192" s="1606" t="s">
        <v>2611</v>
      </c>
      <c r="D192" s="1606" t="s">
        <v>2612</v>
      </c>
      <c r="E192" s="1606" t="s">
        <v>2613</v>
      </c>
      <c r="F192" s="1606" t="s">
        <v>2318</v>
      </c>
      <c r="G192" s="1606" t="s">
        <v>9</v>
      </c>
      <c r="H192" s="1606" t="s">
        <v>9</v>
      </c>
      <c r="I192" s="1606" t="s">
        <v>959</v>
      </c>
    </row>
    <row r="193" spans="1:9" ht="11.25" customHeight="1">
      <c r="A193" s="1606" t="s">
        <v>2296</v>
      </c>
      <c r="B193" s="1606" t="s">
        <v>3</v>
      </c>
      <c r="C193" s="1606" t="s">
        <v>2614</v>
      </c>
      <c r="D193" s="1606" t="s">
        <v>2615</v>
      </c>
      <c r="E193" s="1606" t="s">
        <v>2616</v>
      </c>
      <c r="F193" s="1606" t="s">
        <v>2318</v>
      </c>
      <c r="G193" s="1606" t="s">
        <v>9</v>
      </c>
      <c r="H193" s="1606" t="s">
        <v>9</v>
      </c>
      <c r="I193" s="1606" t="s">
        <v>959</v>
      </c>
    </row>
    <row r="194" spans="1:9" ht="11.25" customHeight="1">
      <c r="A194" s="1606" t="s">
        <v>2296</v>
      </c>
      <c r="B194" s="1606" t="s">
        <v>3</v>
      </c>
      <c r="C194" s="1606" t="s">
        <v>2617</v>
      </c>
      <c r="D194" s="1606" t="s">
        <v>2618</v>
      </c>
      <c r="E194" s="1606" t="s">
        <v>2619</v>
      </c>
      <c r="F194" s="1606" t="s">
        <v>2318</v>
      </c>
      <c r="G194" s="1606" t="s">
        <v>9</v>
      </c>
      <c r="H194" s="1606" t="s">
        <v>9</v>
      </c>
      <c r="I194" s="1606" t="s">
        <v>959</v>
      </c>
    </row>
    <row r="195" spans="1:9" ht="11.25" customHeight="1">
      <c r="A195" s="1606" t="s">
        <v>2296</v>
      </c>
      <c r="B195" s="1606" t="s">
        <v>3</v>
      </c>
      <c r="C195" s="1606" t="s">
        <v>2623</v>
      </c>
      <c r="D195" s="1606" t="s">
        <v>2624</v>
      </c>
      <c r="E195" s="1606" t="s">
        <v>2625</v>
      </c>
      <c r="F195" s="1606" t="s">
        <v>2318</v>
      </c>
      <c r="G195" s="1606" t="s">
        <v>9</v>
      </c>
      <c r="H195" s="1606" t="s">
        <v>9</v>
      </c>
      <c r="I195" s="1606" t="s">
        <v>959</v>
      </c>
    </row>
    <row r="196" spans="1:9" ht="11.25" customHeight="1">
      <c r="A196" s="1606" t="s">
        <v>2296</v>
      </c>
      <c r="B196" s="1606" t="s">
        <v>3</v>
      </c>
      <c r="C196" s="1606" t="s">
        <v>2631</v>
      </c>
      <c r="D196" s="1606" t="s">
        <v>2632</v>
      </c>
      <c r="E196" s="1606" t="s">
        <v>2633</v>
      </c>
      <c r="F196" s="1606" t="s">
        <v>2318</v>
      </c>
      <c r="G196" s="1606" t="s">
        <v>9</v>
      </c>
      <c r="H196" s="1606" t="s">
        <v>9</v>
      </c>
      <c r="I196" s="1606" t="s">
        <v>959</v>
      </c>
    </row>
    <row r="197" spans="1:9" ht="11.25" customHeight="1">
      <c r="A197" s="1606" t="s">
        <v>2296</v>
      </c>
      <c r="B197" s="1606" t="s">
        <v>3</v>
      </c>
      <c r="C197" s="1606" t="s">
        <v>2637</v>
      </c>
      <c r="D197" s="1606" t="s">
        <v>2638</v>
      </c>
      <c r="E197" s="1606" t="s">
        <v>2639</v>
      </c>
      <c r="F197" s="1606" t="s">
        <v>37</v>
      </c>
      <c r="G197" s="1606" t="s">
        <v>9</v>
      </c>
      <c r="H197" s="1606" t="s">
        <v>9</v>
      </c>
      <c r="I197" s="1606" t="s">
        <v>959</v>
      </c>
    </row>
    <row r="198" spans="1:9" ht="11.25" customHeight="1">
      <c r="A198" s="1606" t="s">
        <v>2296</v>
      </c>
      <c r="B198" s="1606" t="s">
        <v>3</v>
      </c>
      <c r="C198" s="1606" t="s">
        <v>2643</v>
      </c>
      <c r="D198" s="1606" t="s">
        <v>2644</v>
      </c>
      <c r="E198" s="1606" t="s">
        <v>2645</v>
      </c>
      <c r="F198" s="1606" t="s">
        <v>2487</v>
      </c>
      <c r="G198" s="1606" t="s">
        <v>9</v>
      </c>
      <c r="H198" s="1606" t="s">
        <v>9</v>
      </c>
      <c r="I198" s="1606" t="s">
        <v>959</v>
      </c>
    </row>
    <row r="199" spans="1:9" ht="11.25" customHeight="1">
      <c r="A199" s="1606" t="s">
        <v>2296</v>
      </c>
      <c r="B199" s="1606" t="s">
        <v>3</v>
      </c>
      <c r="C199" s="1606" t="s">
        <v>2649</v>
      </c>
      <c r="D199" s="1606" t="s">
        <v>2650</v>
      </c>
      <c r="E199" s="1606" t="s">
        <v>2651</v>
      </c>
      <c r="F199" s="1606" t="s">
        <v>2487</v>
      </c>
      <c r="G199" s="1606" t="s">
        <v>2517</v>
      </c>
      <c r="H199" s="1606" t="s">
        <v>9</v>
      </c>
      <c r="I199" s="1606" t="s">
        <v>959</v>
      </c>
    </row>
    <row r="200" spans="1:9" ht="11.25" customHeight="1">
      <c r="A200" s="1606" t="s">
        <v>2296</v>
      </c>
      <c r="B200" s="1606" t="s">
        <v>3</v>
      </c>
      <c r="C200" s="1606" t="s">
        <v>2661</v>
      </c>
      <c r="D200" s="1606" t="s">
        <v>2662</v>
      </c>
      <c r="E200" s="1606" t="s">
        <v>2663</v>
      </c>
      <c r="F200" s="1606" t="s">
        <v>2403</v>
      </c>
      <c r="G200" s="1606" t="s">
        <v>9</v>
      </c>
      <c r="H200" s="1606" t="s">
        <v>9</v>
      </c>
      <c r="I200" s="1606" t="s">
        <v>959</v>
      </c>
    </row>
    <row r="201" spans="1:9" ht="11.25" customHeight="1">
      <c r="A201" s="1606" t="s">
        <v>2296</v>
      </c>
      <c r="B201" s="1606" t="s">
        <v>3</v>
      </c>
      <c r="C201" s="1606" t="s">
        <v>2664</v>
      </c>
      <c r="D201" s="1606" t="s">
        <v>2665</v>
      </c>
      <c r="E201" s="1606" t="s">
        <v>2666</v>
      </c>
      <c r="F201" s="1606" t="s">
        <v>2318</v>
      </c>
      <c r="G201" s="1606" t="s">
        <v>9</v>
      </c>
      <c r="H201" s="1606" t="s">
        <v>9</v>
      </c>
      <c r="I201" s="1606" t="s">
        <v>959</v>
      </c>
    </row>
    <row r="202" spans="1:9" ht="11.25" customHeight="1">
      <c r="A202" s="1606" t="s">
        <v>2296</v>
      </c>
      <c r="B202" s="1606" t="s">
        <v>3</v>
      </c>
      <c r="C202" s="1606" t="s">
        <v>2670</v>
      </c>
      <c r="D202" s="1606" t="s">
        <v>2671</v>
      </c>
      <c r="E202" s="1606" t="s">
        <v>2672</v>
      </c>
      <c r="F202" s="1606" t="s">
        <v>2487</v>
      </c>
      <c r="G202" s="1606" t="s">
        <v>9</v>
      </c>
      <c r="H202" s="1606" t="s">
        <v>9</v>
      </c>
      <c r="I202" s="1606" t="s">
        <v>959</v>
      </c>
    </row>
    <row r="203" spans="1:9" ht="11.25" customHeight="1">
      <c r="A203" s="1606" t="s">
        <v>2296</v>
      </c>
      <c r="B203" s="1606" t="s">
        <v>3</v>
      </c>
      <c r="C203" s="1606" t="s">
        <v>0</v>
      </c>
      <c r="D203" s="1606" t="s">
        <v>32</v>
      </c>
      <c r="E203" s="1606" t="s">
        <v>35</v>
      </c>
      <c r="F203" s="1606" t="s">
        <v>37</v>
      </c>
      <c r="G203" s="1606" t="s">
        <v>9</v>
      </c>
      <c r="H203" s="1606" t="s">
        <v>9</v>
      </c>
      <c r="I203" s="1606" t="s">
        <v>959</v>
      </c>
    </row>
    <row r="204" spans="1:9" ht="11.25" customHeight="1">
      <c r="A204" s="1606" t="s">
        <v>2296</v>
      </c>
      <c r="B204" s="1606" t="s">
        <v>3</v>
      </c>
      <c r="C204" s="1606" t="s">
        <v>2673</v>
      </c>
      <c r="D204" s="1606" t="s">
        <v>2674</v>
      </c>
      <c r="E204" s="1606" t="s">
        <v>2675</v>
      </c>
      <c r="F204" s="1606" t="s">
        <v>2476</v>
      </c>
      <c r="G204" s="1606" t="s">
        <v>9</v>
      </c>
      <c r="H204" s="1606" t="s">
        <v>9</v>
      </c>
      <c r="I204" s="1606" t="s">
        <v>959</v>
      </c>
    </row>
    <row r="205" spans="1:9" ht="11.25" customHeight="1">
      <c r="A205" s="1606" t="s">
        <v>2296</v>
      </c>
      <c r="B205" s="1606" t="s">
        <v>3</v>
      </c>
      <c r="C205" s="1606" t="s">
        <v>2679</v>
      </c>
      <c r="D205" s="1606" t="s">
        <v>2680</v>
      </c>
      <c r="E205" s="1606" t="s">
        <v>2681</v>
      </c>
      <c r="F205" s="1606" t="s">
        <v>2682</v>
      </c>
      <c r="G205" s="1606" t="s">
        <v>9</v>
      </c>
      <c r="H205" s="1606" t="s">
        <v>9</v>
      </c>
      <c r="I205" s="1606" t="s">
        <v>959</v>
      </c>
    </row>
    <row r="206" spans="1:9" ht="11.25" customHeight="1">
      <c r="A206" s="1606" t="s">
        <v>2296</v>
      </c>
      <c r="B206" s="1606" t="s">
        <v>3</v>
      </c>
      <c r="C206" s="1606" t="s">
        <v>2687</v>
      </c>
      <c r="D206" s="1606" t="s">
        <v>2688</v>
      </c>
      <c r="E206" s="1606" t="s">
        <v>2689</v>
      </c>
      <c r="F206" s="1606" t="s">
        <v>2487</v>
      </c>
      <c r="G206" s="1606" t="s">
        <v>2466</v>
      </c>
      <c r="H206" s="1606" t="s">
        <v>9</v>
      </c>
      <c r="I206" s="1606" t="s">
        <v>959</v>
      </c>
    </row>
    <row r="207" spans="1:9" ht="11.25" customHeight="1">
      <c r="A207" s="1606" t="s">
        <v>2296</v>
      </c>
      <c r="B207" s="1606" t="s">
        <v>3</v>
      </c>
      <c r="C207" s="1606" t="s">
        <v>2690</v>
      </c>
      <c r="D207" s="1606" t="s">
        <v>2691</v>
      </c>
      <c r="E207" s="1606" t="s">
        <v>2692</v>
      </c>
      <c r="F207" s="1606" t="s">
        <v>2476</v>
      </c>
      <c r="G207" s="1606" t="s">
        <v>9</v>
      </c>
      <c r="H207" s="1606" t="s">
        <v>9</v>
      </c>
      <c r="I207" s="1606" t="s">
        <v>959</v>
      </c>
    </row>
    <row r="208" spans="1:9" ht="11.25" customHeight="1">
      <c r="A208" s="1606" t="s">
        <v>2296</v>
      </c>
      <c r="B208" s="1606" t="s">
        <v>3</v>
      </c>
      <c r="C208" s="1606" t="s">
        <v>2696</v>
      </c>
      <c r="D208" s="1606" t="s">
        <v>2697</v>
      </c>
      <c r="E208" s="1606" t="s">
        <v>2698</v>
      </c>
      <c r="F208" s="1606" t="s">
        <v>2699</v>
      </c>
      <c r="G208" s="1606" t="s">
        <v>9</v>
      </c>
      <c r="H208" s="1606" t="s">
        <v>9</v>
      </c>
      <c r="I208" s="1606" t="s">
        <v>959</v>
      </c>
    </row>
    <row r="209" spans="1:9" ht="11.25" customHeight="1">
      <c r="A209" s="1606" t="s">
        <v>2296</v>
      </c>
      <c r="B209" s="1606" t="s">
        <v>3</v>
      </c>
      <c r="C209" s="1606" t="s">
        <v>2710</v>
      </c>
      <c r="D209" s="1606" t="s">
        <v>2711</v>
      </c>
      <c r="E209" s="1606" t="s">
        <v>2712</v>
      </c>
      <c r="F209" s="1606" t="s">
        <v>37</v>
      </c>
      <c r="G209" s="1606" t="s">
        <v>9</v>
      </c>
      <c r="H209" s="1606" t="s">
        <v>9</v>
      </c>
      <c r="I209" s="1606" t="s">
        <v>959</v>
      </c>
    </row>
    <row r="210" spans="1:9" ht="11.25" customHeight="1">
      <c r="A210" s="1606" t="s">
        <v>2296</v>
      </c>
      <c r="B210" s="1606" t="s">
        <v>3</v>
      </c>
      <c r="C210" s="1606" t="s">
        <v>2713</v>
      </c>
      <c r="D210" s="1606" t="s">
        <v>2714</v>
      </c>
      <c r="E210" s="1606" t="s">
        <v>2715</v>
      </c>
      <c r="F210" s="1606" t="s">
        <v>2343</v>
      </c>
      <c r="G210" s="1606" t="s">
        <v>9</v>
      </c>
      <c r="H210" s="1606" t="s">
        <v>9</v>
      </c>
      <c r="I210" s="1606" t="s">
        <v>959</v>
      </c>
    </row>
    <row r="211" spans="1:9" ht="11.25" customHeight="1">
      <c r="A211" s="1606" t="s">
        <v>2296</v>
      </c>
      <c r="B211" s="1606" t="s">
        <v>3</v>
      </c>
      <c r="C211" s="1606" t="s">
        <v>2732</v>
      </c>
      <c r="D211" s="1606" t="s">
        <v>2733</v>
      </c>
      <c r="E211" s="1606" t="s">
        <v>2734</v>
      </c>
      <c r="F211" s="1606" t="s">
        <v>2414</v>
      </c>
      <c r="G211" s="1606" t="s">
        <v>9</v>
      </c>
      <c r="H211" s="1606" t="s">
        <v>9</v>
      </c>
      <c r="I211" s="1606" t="s">
        <v>959</v>
      </c>
    </row>
    <row r="212" spans="1:9" ht="11.25" customHeight="1">
      <c r="A212" s="1606" t="s">
        <v>2296</v>
      </c>
      <c r="B212" s="1606" t="s">
        <v>3</v>
      </c>
      <c r="C212" s="1606" t="s">
        <v>2739</v>
      </c>
      <c r="D212" s="1606" t="s">
        <v>2740</v>
      </c>
      <c r="E212" s="1606" t="s">
        <v>2741</v>
      </c>
      <c r="F212" s="1606" t="s">
        <v>2742</v>
      </c>
      <c r="G212" s="1606" t="s">
        <v>9</v>
      </c>
      <c r="H212" s="1606" t="s">
        <v>9</v>
      </c>
      <c r="I212" s="1606" t="s">
        <v>959</v>
      </c>
    </row>
    <row r="213" spans="1:9" ht="11.25" customHeight="1">
      <c r="A213" s="1606" t="s">
        <v>2296</v>
      </c>
      <c r="B213" s="1606" t="s">
        <v>3</v>
      </c>
      <c r="C213" s="1606" t="s">
        <v>2743</v>
      </c>
      <c r="D213" s="1606" t="s">
        <v>2744</v>
      </c>
      <c r="E213" s="1606" t="s">
        <v>2745</v>
      </c>
      <c r="F213" s="1606" t="s">
        <v>2746</v>
      </c>
      <c r="G213" s="1606" t="s">
        <v>9</v>
      </c>
      <c r="H213" s="1606" t="s">
        <v>9</v>
      </c>
      <c r="I213" s="1606" t="s">
        <v>959</v>
      </c>
    </row>
    <row r="214" spans="1:9" ht="11.25" customHeight="1">
      <c r="A214" s="1606" t="s">
        <v>2296</v>
      </c>
      <c r="B214" s="1606" t="s">
        <v>3</v>
      </c>
      <c r="C214" s="1606" t="s">
        <v>2802</v>
      </c>
      <c r="D214" s="1606" t="s">
        <v>2744</v>
      </c>
      <c r="E214" s="1606" t="s">
        <v>2745</v>
      </c>
      <c r="F214" s="1606" t="s">
        <v>2803</v>
      </c>
      <c r="G214" s="1606" t="s">
        <v>9</v>
      </c>
      <c r="H214" s="1606" t="s">
        <v>9</v>
      </c>
      <c r="I214" s="1606" t="s">
        <v>959</v>
      </c>
    </row>
    <row r="215" spans="1:9" ht="11.25" customHeight="1">
      <c r="A215" s="1606" t="s">
        <v>2296</v>
      </c>
      <c r="B215" s="1606" t="s">
        <v>3</v>
      </c>
      <c r="C215" s="1606" t="s">
        <v>2747</v>
      </c>
      <c r="D215" s="1606" t="s">
        <v>2748</v>
      </c>
      <c r="E215" s="1606" t="s">
        <v>2523</v>
      </c>
      <c r="F215" s="1606" t="s">
        <v>2749</v>
      </c>
      <c r="G215" s="1606" t="s">
        <v>9</v>
      </c>
      <c r="H215" s="1606" t="s">
        <v>9</v>
      </c>
      <c r="I215" s="1606" t="s">
        <v>959</v>
      </c>
    </row>
    <row r="216" spans="1:9" ht="11.25" customHeight="1">
      <c r="A216" s="1606" t="s">
        <v>2296</v>
      </c>
      <c r="B216" s="1606" t="s">
        <v>3</v>
      </c>
      <c r="C216" s="1606" t="s">
        <v>2750</v>
      </c>
      <c r="D216" s="1606" t="s">
        <v>2751</v>
      </c>
      <c r="E216" s="1606" t="s">
        <v>2752</v>
      </c>
      <c r="F216" s="1606" t="s">
        <v>2318</v>
      </c>
      <c r="G216" s="1606" t="s">
        <v>9</v>
      </c>
      <c r="H216" s="1606" t="s">
        <v>9</v>
      </c>
      <c r="I216" s="1606" t="s">
        <v>959</v>
      </c>
    </row>
    <row r="217" spans="1:9" ht="11.25" customHeight="1">
      <c r="A217" s="1606" t="s">
        <v>2296</v>
      </c>
      <c r="B217" s="1606" t="s">
        <v>3</v>
      </c>
      <c r="C217" s="1606" t="s">
        <v>2759</v>
      </c>
      <c r="D217" s="1606" t="s">
        <v>2760</v>
      </c>
      <c r="E217" s="1606" t="s">
        <v>2523</v>
      </c>
      <c r="F217" s="1606" t="s">
        <v>2761</v>
      </c>
      <c r="G217" s="1606" t="s">
        <v>9</v>
      </c>
      <c r="H217" s="1606" t="s">
        <v>9</v>
      </c>
      <c r="I217" s="1606" t="s">
        <v>959</v>
      </c>
    </row>
    <row r="218" spans="1:9" ht="11.25" customHeight="1">
      <c r="A218" s="1606" t="s">
        <v>2296</v>
      </c>
      <c r="B218" s="1606" t="s">
        <v>3</v>
      </c>
      <c r="C218" s="1606" t="s">
        <v>2765</v>
      </c>
      <c r="D218" s="1606" t="s">
        <v>2766</v>
      </c>
      <c r="E218" s="1606" t="s">
        <v>2767</v>
      </c>
      <c r="F218" s="1606" t="s">
        <v>2332</v>
      </c>
      <c r="G218" s="1606" t="s">
        <v>9</v>
      </c>
      <c r="H218" s="1606" t="s">
        <v>9</v>
      </c>
      <c r="I218" s="1606" t="s">
        <v>959</v>
      </c>
    </row>
    <row r="219" spans="1:9" ht="11.25" customHeight="1">
      <c r="A219" s="1606" t="s">
        <v>2296</v>
      </c>
      <c r="B219" s="1606" t="s">
        <v>3</v>
      </c>
      <c r="C219" s="1606" t="s">
        <v>2768</v>
      </c>
      <c r="D219" s="1606" t="s">
        <v>2769</v>
      </c>
      <c r="E219" s="1606" t="s">
        <v>2770</v>
      </c>
      <c r="F219" s="1606" t="s">
        <v>2771</v>
      </c>
      <c r="G219" s="1606" t="s">
        <v>9</v>
      </c>
      <c r="H219" s="1606" t="s">
        <v>9</v>
      </c>
      <c r="I219" s="1606" t="s">
        <v>959</v>
      </c>
    </row>
    <row r="220" spans="1:9" ht="11.25" customHeight="1">
      <c r="A220" s="1606" t="s">
        <v>2296</v>
      </c>
      <c r="B220" s="1606" t="s">
        <v>3</v>
      </c>
      <c r="C220" s="1606" t="s">
        <v>2776</v>
      </c>
      <c r="D220" s="1606" t="s">
        <v>2777</v>
      </c>
      <c r="E220" s="1606" t="s">
        <v>2778</v>
      </c>
      <c r="F220" s="1606" t="s">
        <v>2528</v>
      </c>
      <c r="G220" s="1606" t="s">
        <v>9</v>
      </c>
      <c r="H220" s="1606" t="s">
        <v>9</v>
      </c>
      <c r="I220" s="1606" t="s">
        <v>959</v>
      </c>
    </row>
    <row r="221" spans="1:9" ht="11.25" customHeight="1">
      <c r="A221" s="1606" t="s">
        <v>2296</v>
      </c>
      <c r="B221" s="1606" t="s">
        <v>3</v>
      </c>
      <c r="C221" s="1606" t="s">
        <v>2779</v>
      </c>
      <c r="D221" s="1606" t="s">
        <v>2780</v>
      </c>
      <c r="E221" s="1606" t="s">
        <v>2781</v>
      </c>
      <c r="F221" s="1606" t="s">
        <v>2528</v>
      </c>
      <c r="G221" s="1606" t="s">
        <v>9</v>
      </c>
      <c r="H221" s="1606" t="s">
        <v>9</v>
      </c>
      <c r="I221" s="1606" t="s">
        <v>959</v>
      </c>
    </row>
    <row r="222" spans="1:9" ht="11.25" customHeight="1">
      <c r="A222" s="1606" t="s">
        <v>2296</v>
      </c>
      <c r="B222" s="1606" t="s">
        <v>3</v>
      </c>
      <c r="C222" s="1606" t="s">
        <v>2782</v>
      </c>
      <c r="D222" s="1606" t="s">
        <v>2783</v>
      </c>
      <c r="E222" s="1606" t="s">
        <v>2784</v>
      </c>
      <c r="F222" s="1606" t="s">
        <v>2318</v>
      </c>
      <c r="G222" s="1606" t="s">
        <v>9</v>
      </c>
      <c r="H222" s="1606" t="s">
        <v>9</v>
      </c>
      <c r="I222" s="1606" t="s">
        <v>959</v>
      </c>
    </row>
    <row r="223" spans="1:9" ht="11.25" customHeight="1">
      <c r="A223" s="1606" t="s">
        <v>2296</v>
      </c>
      <c r="B223" s="1606" t="s">
        <v>3</v>
      </c>
      <c r="C223" s="1606" t="s">
        <v>2785</v>
      </c>
      <c r="D223" s="1606" t="s">
        <v>2786</v>
      </c>
      <c r="E223" s="1606" t="s">
        <v>2787</v>
      </c>
      <c r="F223" s="1606" t="s">
        <v>2788</v>
      </c>
      <c r="G223" s="1606" t="s">
        <v>9</v>
      </c>
      <c r="H223" s="1606" t="s">
        <v>9</v>
      </c>
      <c r="I223" s="1606" t="s">
        <v>959</v>
      </c>
    </row>
    <row r="224" spans="1:9" ht="11.25" customHeight="1">
      <c r="A224" s="1606" t="s">
        <v>2296</v>
      </c>
      <c r="B224" s="1606" t="s">
        <v>3</v>
      </c>
      <c r="C224" s="1606" t="s">
        <v>2789</v>
      </c>
      <c r="D224" s="1606" t="s">
        <v>2790</v>
      </c>
      <c r="E224" s="1606" t="s">
        <v>2791</v>
      </c>
      <c r="F224" s="1606" t="s">
        <v>2746</v>
      </c>
      <c r="G224" s="1606" t="s">
        <v>9</v>
      </c>
      <c r="H224" s="1606" t="s">
        <v>9</v>
      </c>
      <c r="I224" s="1606" t="s">
        <v>959</v>
      </c>
    </row>
    <row r="225" spans="1:9" ht="11.25" customHeight="1">
      <c r="A225" s="1606" t="s">
        <v>2296</v>
      </c>
      <c r="B225" s="1606" t="s">
        <v>3</v>
      </c>
      <c r="C225" s="1606" t="s">
        <v>2799</v>
      </c>
      <c r="D225" s="1606" t="s">
        <v>2800</v>
      </c>
      <c r="E225" s="1606" t="s">
        <v>2764</v>
      </c>
      <c r="F225" s="1606" t="s">
        <v>2801</v>
      </c>
      <c r="G225" s="1606" t="s">
        <v>9</v>
      </c>
      <c r="H225" s="1606" t="s">
        <v>9</v>
      </c>
      <c r="I225" s="1606" t="s">
        <v>959</v>
      </c>
    </row>
    <row r="226" spans="1:9" ht="11.25" customHeight="1">
      <c r="A226" s="1606" t="s">
        <v>2296</v>
      </c>
      <c r="B226" s="1606" t="s">
        <v>3</v>
      </c>
      <c r="C226" s="1606" t="s">
        <v>2804</v>
      </c>
      <c r="D226" s="1606" t="s">
        <v>2805</v>
      </c>
      <c r="E226" s="1606" t="s">
        <v>2806</v>
      </c>
      <c r="F226" s="1606" t="s">
        <v>2476</v>
      </c>
      <c r="G226" s="1606" t="s">
        <v>9</v>
      </c>
      <c r="H226" s="1606" t="s">
        <v>9</v>
      </c>
      <c r="I226" s="1606" t="s">
        <v>952</v>
      </c>
    </row>
    <row r="227" spans="1:9" ht="11.25" customHeight="1">
      <c r="A227" s="1606" t="s">
        <v>2296</v>
      </c>
      <c r="B227" s="1606" t="s">
        <v>3</v>
      </c>
      <c r="C227" s="1606" t="s">
        <v>2297</v>
      </c>
      <c r="D227" s="1606" t="s">
        <v>2298</v>
      </c>
      <c r="E227" s="1606" t="s">
        <v>2299</v>
      </c>
      <c r="F227" s="1606" t="s">
        <v>2300</v>
      </c>
      <c r="G227" s="1606" t="s">
        <v>9</v>
      </c>
      <c r="H227" s="1606" t="s">
        <v>9</v>
      </c>
      <c r="I227" s="1606" t="s">
        <v>952</v>
      </c>
    </row>
    <row r="228" spans="1:9" ht="11.25" customHeight="1">
      <c r="A228" s="1606" t="s">
        <v>2296</v>
      </c>
      <c r="B228" s="1606" t="s">
        <v>3</v>
      </c>
      <c r="C228" s="1606" t="s">
        <v>2301</v>
      </c>
      <c r="D228" s="1606" t="s">
        <v>2298</v>
      </c>
      <c r="E228" s="1606" t="s">
        <v>2299</v>
      </c>
      <c r="F228" s="1606" t="s">
        <v>2302</v>
      </c>
      <c r="G228" s="1606" t="s">
        <v>9</v>
      </c>
      <c r="H228" s="1606" t="s">
        <v>9</v>
      </c>
      <c r="I228" s="1606" t="s">
        <v>952</v>
      </c>
    </row>
    <row r="229" spans="1:9" ht="11.25" customHeight="1">
      <c r="A229" s="1606" t="s">
        <v>2296</v>
      </c>
      <c r="B229" s="1606" t="s">
        <v>3</v>
      </c>
      <c r="C229" s="1606" t="s">
        <v>2303</v>
      </c>
      <c r="D229" s="1606" t="s">
        <v>2304</v>
      </c>
      <c r="E229" s="1606" t="s">
        <v>2305</v>
      </c>
      <c r="F229" s="1606" t="s">
        <v>2306</v>
      </c>
      <c r="G229" s="1606" t="s">
        <v>9</v>
      </c>
      <c r="H229" s="1606" t="s">
        <v>9</v>
      </c>
      <c r="I229" s="1606" t="s">
        <v>952</v>
      </c>
    </row>
    <row r="230" spans="1:9" ht="11.25" customHeight="1">
      <c r="A230" s="1606" t="s">
        <v>2296</v>
      </c>
      <c r="B230" s="1606" t="s">
        <v>3</v>
      </c>
      <c r="C230" s="1606" t="s">
        <v>2315</v>
      </c>
      <c r="D230" s="1606" t="s">
        <v>2316</v>
      </c>
      <c r="E230" s="1606" t="s">
        <v>2317</v>
      </c>
      <c r="F230" s="1606" t="s">
        <v>2318</v>
      </c>
      <c r="G230" s="1606" t="s">
        <v>9</v>
      </c>
      <c r="H230" s="1606" t="s">
        <v>9</v>
      </c>
      <c r="I230" s="1606" t="s">
        <v>952</v>
      </c>
    </row>
    <row r="231" spans="1:9" ht="11.25" customHeight="1">
      <c r="A231" s="1606" t="s">
        <v>2296</v>
      </c>
      <c r="B231" s="1606" t="s">
        <v>3</v>
      </c>
      <c r="C231" s="1606" t="s">
        <v>2329</v>
      </c>
      <c r="D231" s="1606" t="s">
        <v>2330</v>
      </c>
      <c r="E231" s="1606" t="s">
        <v>2331</v>
      </c>
      <c r="F231" s="1606" t="s">
        <v>2332</v>
      </c>
      <c r="G231" s="1606" t="s">
        <v>9</v>
      </c>
      <c r="H231" s="1606" t="s">
        <v>9</v>
      </c>
      <c r="I231" s="1606" t="s">
        <v>952</v>
      </c>
    </row>
    <row r="232" spans="1:9" ht="11.25" customHeight="1">
      <c r="A232" s="1606" t="s">
        <v>2296</v>
      </c>
      <c r="B232" s="1606" t="s">
        <v>3</v>
      </c>
      <c r="C232" s="1606" t="s">
        <v>2333</v>
      </c>
      <c r="D232" s="1606" t="s">
        <v>2334</v>
      </c>
      <c r="E232" s="1606" t="s">
        <v>2335</v>
      </c>
      <c r="F232" s="1606" t="s">
        <v>2336</v>
      </c>
      <c r="G232" s="1606" t="s">
        <v>9</v>
      </c>
      <c r="H232" s="1606" t="s">
        <v>9</v>
      </c>
      <c r="I232" s="1606" t="s">
        <v>952</v>
      </c>
    </row>
    <row r="233" spans="1:9" ht="11.25" customHeight="1">
      <c r="A233" s="1606" t="s">
        <v>2296</v>
      </c>
      <c r="B233" s="1606" t="s">
        <v>3</v>
      </c>
      <c r="C233" s="1606" t="s">
        <v>2807</v>
      </c>
      <c r="D233" s="1606" t="s">
        <v>2808</v>
      </c>
      <c r="E233" s="1606" t="s">
        <v>2809</v>
      </c>
      <c r="F233" s="1606" t="s">
        <v>664</v>
      </c>
      <c r="G233" s="1606" t="s">
        <v>9</v>
      </c>
      <c r="H233" s="1606" t="s">
        <v>9</v>
      </c>
      <c r="I233" s="1606" t="s">
        <v>952</v>
      </c>
    </row>
    <row r="234" spans="1:9" ht="11.25" customHeight="1">
      <c r="A234" s="1606" t="s">
        <v>2296</v>
      </c>
      <c r="B234" s="1606" t="s">
        <v>3</v>
      </c>
      <c r="C234" s="1606" t="s">
        <v>9</v>
      </c>
      <c r="D234" s="1606" t="s">
        <v>2398</v>
      </c>
      <c r="E234" s="1606" t="s">
        <v>2399</v>
      </c>
      <c r="F234" s="1606" t="s">
        <v>2343</v>
      </c>
      <c r="G234" s="1606" t="s">
        <v>9</v>
      </c>
      <c r="H234" s="1606" t="s">
        <v>9</v>
      </c>
      <c r="I234" s="1606" t="s">
        <v>952</v>
      </c>
    </row>
    <row r="235" spans="1:9" ht="11.25" customHeight="1">
      <c r="A235" s="1606" t="s">
        <v>2296</v>
      </c>
      <c r="B235" s="1606" t="s">
        <v>3</v>
      </c>
      <c r="C235" s="1606" t="s">
        <v>2810</v>
      </c>
      <c r="D235" s="1606" t="s">
        <v>2811</v>
      </c>
      <c r="E235" s="1606" t="s">
        <v>2812</v>
      </c>
      <c r="F235" s="1606" t="s">
        <v>2396</v>
      </c>
      <c r="G235" s="1606" t="s">
        <v>9</v>
      </c>
      <c r="H235" s="1606" t="s">
        <v>9</v>
      </c>
      <c r="I235" s="1606" t="s">
        <v>952</v>
      </c>
    </row>
    <row r="236" spans="1:9" ht="11.25" customHeight="1">
      <c r="A236" s="1606" t="s">
        <v>2296</v>
      </c>
      <c r="B236" s="1606" t="s">
        <v>3</v>
      </c>
      <c r="C236" s="1606" t="s">
        <v>2813</v>
      </c>
      <c r="D236" s="1606" t="s">
        <v>2814</v>
      </c>
      <c r="E236" s="1606" t="s">
        <v>2815</v>
      </c>
      <c r="F236" s="1606" t="s">
        <v>2528</v>
      </c>
      <c r="G236" s="1606" t="s">
        <v>2816</v>
      </c>
      <c r="H236" s="1606" t="s">
        <v>9</v>
      </c>
      <c r="I236" s="1606" t="s">
        <v>952</v>
      </c>
    </row>
    <row r="237" spans="1:9" ht="11.25" customHeight="1">
      <c r="A237" s="1606" t="s">
        <v>2296</v>
      </c>
      <c r="B237" s="1606" t="s">
        <v>3</v>
      </c>
      <c r="C237" s="1606" t="s">
        <v>2400</v>
      </c>
      <c r="D237" s="1606" t="s">
        <v>2401</v>
      </c>
      <c r="E237" s="1606" t="s">
        <v>2402</v>
      </c>
      <c r="F237" s="1606" t="s">
        <v>2403</v>
      </c>
      <c r="G237" s="1606" t="s">
        <v>9</v>
      </c>
      <c r="H237" s="1606" t="s">
        <v>9</v>
      </c>
      <c r="I237" s="1606" t="s">
        <v>952</v>
      </c>
    </row>
    <row r="238" spans="1:9" ht="11.25" customHeight="1">
      <c r="A238" s="1606" t="s">
        <v>2296</v>
      </c>
      <c r="B238" s="1606" t="s">
        <v>3</v>
      </c>
      <c r="C238" s="1606" t="s">
        <v>2817</v>
      </c>
      <c r="D238" s="1606" t="s">
        <v>2818</v>
      </c>
      <c r="E238" s="1606" t="s">
        <v>2819</v>
      </c>
      <c r="F238" s="1606" t="s">
        <v>2476</v>
      </c>
      <c r="G238" s="1606" t="s">
        <v>9</v>
      </c>
      <c r="H238" s="1606" t="s">
        <v>9</v>
      </c>
      <c r="I238" s="1606" t="s">
        <v>952</v>
      </c>
    </row>
    <row r="239" spans="1:9" ht="11.25" customHeight="1">
      <c r="A239" s="1606" t="s">
        <v>2296</v>
      </c>
      <c r="B239" s="1606" t="s">
        <v>3</v>
      </c>
      <c r="C239" s="1606" t="s">
        <v>2820</v>
      </c>
      <c r="D239" s="1606" t="s">
        <v>2409</v>
      </c>
      <c r="E239" s="1606" t="s">
        <v>2821</v>
      </c>
      <c r="F239" s="1606" t="s">
        <v>2742</v>
      </c>
      <c r="G239" s="1606" t="s">
        <v>9</v>
      </c>
      <c r="H239" s="1606" t="s">
        <v>9</v>
      </c>
      <c r="I239" s="1606" t="s">
        <v>952</v>
      </c>
    </row>
    <row r="240" spans="1:9" ht="11.25" customHeight="1">
      <c r="A240" s="1606" t="s">
        <v>2296</v>
      </c>
      <c r="B240" s="1606" t="s">
        <v>3</v>
      </c>
      <c r="C240" s="1606" t="s">
        <v>2408</v>
      </c>
      <c r="D240" s="1606" t="s">
        <v>2409</v>
      </c>
      <c r="E240" s="1606" t="s">
        <v>2410</v>
      </c>
      <c r="F240" s="1606" t="s">
        <v>2328</v>
      </c>
      <c r="G240" s="1606" t="s">
        <v>9</v>
      </c>
      <c r="H240" s="1606" t="s">
        <v>9</v>
      </c>
      <c r="I240" s="1606" t="s">
        <v>952</v>
      </c>
    </row>
    <row r="241" spans="1:9" ht="11.25" customHeight="1">
      <c r="A241" s="1606" t="s">
        <v>2296</v>
      </c>
      <c r="B241" s="1606" t="s">
        <v>3</v>
      </c>
      <c r="C241" s="1606" t="s">
        <v>2822</v>
      </c>
      <c r="D241" s="1606" t="s">
        <v>2409</v>
      </c>
      <c r="E241" s="1606" t="s">
        <v>2823</v>
      </c>
      <c r="F241" s="1606" t="s">
        <v>2328</v>
      </c>
      <c r="G241" s="1606" t="s">
        <v>9</v>
      </c>
      <c r="H241" s="1606" t="s">
        <v>9</v>
      </c>
      <c r="I241" s="1606" t="s">
        <v>952</v>
      </c>
    </row>
    <row r="242" spans="1:9" ht="11.25" customHeight="1">
      <c r="A242" s="1606" t="s">
        <v>2296</v>
      </c>
      <c r="B242" s="1606" t="s">
        <v>3</v>
      </c>
      <c r="C242" s="1606" t="s">
        <v>2824</v>
      </c>
      <c r="D242" s="1606" t="s">
        <v>2409</v>
      </c>
      <c r="E242" s="1606" t="s">
        <v>2825</v>
      </c>
      <c r="F242" s="1606" t="s">
        <v>2528</v>
      </c>
      <c r="G242" s="1606" t="s">
        <v>9</v>
      </c>
      <c r="H242" s="1606" t="s">
        <v>9</v>
      </c>
      <c r="I242" s="1606" t="s">
        <v>952</v>
      </c>
    </row>
    <row r="243" spans="1:9" ht="11.25" customHeight="1">
      <c r="A243" s="1606" t="s">
        <v>2296</v>
      </c>
      <c r="B243" s="1606" t="s">
        <v>3</v>
      </c>
      <c r="C243" s="1606" t="s">
        <v>2826</v>
      </c>
      <c r="D243" s="1606" t="s">
        <v>2409</v>
      </c>
      <c r="E243" s="1606" t="s">
        <v>2827</v>
      </c>
      <c r="F243" s="1606" t="s">
        <v>2414</v>
      </c>
      <c r="G243" s="1606" t="s">
        <v>9</v>
      </c>
      <c r="H243" s="1606" t="s">
        <v>9</v>
      </c>
      <c r="I243" s="1606" t="s">
        <v>952</v>
      </c>
    </row>
    <row r="244" spans="1:9" ht="11.25" customHeight="1">
      <c r="A244" s="1606" t="s">
        <v>2296</v>
      </c>
      <c r="B244" s="1606" t="s">
        <v>3</v>
      </c>
      <c r="C244" s="1606" t="s">
        <v>2828</v>
      </c>
      <c r="D244" s="1606" t="s">
        <v>2829</v>
      </c>
      <c r="E244" s="1606" t="s">
        <v>2830</v>
      </c>
      <c r="F244" s="1606" t="s">
        <v>2414</v>
      </c>
      <c r="G244" s="1606" t="s">
        <v>9</v>
      </c>
      <c r="H244" s="1606" t="s">
        <v>9</v>
      </c>
      <c r="I244" s="1606" t="s">
        <v>952</v>
      </c>
    </row>
    <row r="245" spans="1:9" ht="11.25" customHeight="1">
      <c r="A245" s="1606" t="s">
        <v>2296</v>
      </c>
      <c r="B245" s="1606" t="s">
        <v>3</v>
      </c>
      <c r="C245" s="1606" t="s">
        <v>2831</v>
      </c>
      <c r="D245" s="1606" t="s">
        <v>2832</v>
      </c>
      <c r="E245" s="1606" t="s">
        <v>2833</v>
      </c>
      <c r="F245" s="1606" t="s">
        <v>2834</v>
      </c>
      <c r="G245" s="1606" t="s">
        <v>9</v>
      </c>
      <c r="H245" s="1606" t="s">
        <v>9</v>
      </c>
      <c r="I245" s="1606" t="s">
        <v>952</v>
      </c>
    </row>
    <row r="246" spans="1:9" ht="11.25" customHeight="1">
      <c r="A246" s="1606" t="s">
        <v>2296</v>
      </c>
      <c r="B246" s="1606" t="s">
        <v>3</v>
      </c>
      <c r="C246" s="1606" t="s">
        <v>2835</v>
      </c>
      <c r="D246" s="1606" t="s">
        <v>2836</v>
      </c>
      <c r="E246" s="1606" t="s">
        <v>2837</v>
      </c>
      <c r="F246" s="1606" t="s">
        <v>2476</v>
      </c>
      <c r="G246" s="1606" t="s">
        <v>9</v>
      </c>
      <c r="H246" s="1606" t="s">
        <v>9</v>
      </c>
      <c r="I246" s="1606" t="s">
        <v>952</v>
      </c>
    </row>
    <row r="247" spans="1:9" ht="11.25" customHeight="1">
      <c r="A247" s="1606" t="s">
        <v>2296</v>
      </c>
      <c r="B247" s="1606" t="s">
        <v>3</v>
      </c>
      <c r="C247" s="1606" t="s">
        <v>2838</v>
      </c>
      <c r="D247" s="1606" t="s">
        <v>2839</v>
      </c>
      <c r="E247" s="1606" t="s">
        <v>2840</v>
      </c>
      <c r="F247" s="1606" t="s">
        <v>2476</v>
      </c>
      <c r="G247" s="1606" t="s">
        <v>9</v>
      </c>
      <c r="H247" s="1606" t="s">
        <v>9</v>
      </c>
      <c r="I247" s="1606" t="s">
        <v>952</v>
      </c>
    </row>
    <row r="248" spans="1:9" ht="11.25" customHeight="1">
      <c r="A248" s="1606" t="s">
        <v>2296</v>
      </c>
      <c r="B248" s="1606" t="s">
        <v>3</v>
      </c>
      <c r="C248" s="1606" t="s">
        <v>2841</v>
      </c>
      <c r="D248" s="1606" t="s">
        <v>2842</v>
      </c>
      <c r="E248" s="1606" t="s">
        <v>2843</v>
      </c>
      <c r="F248" s="1606" t="s">
        <v>2328</v>
      </c>
      <c r="G248" s="1606" t="s">
        <v>9</v>
      </c>
      <c r="H248" s="1606" t="s">
        <v>9</v>
      </c>
      <c r="I248" s="1606" t="s">
        <v>952</v>
      </c>
    </row>
    <row r="249" spans="1:9" ht="11.25" customHeight="1">
      <c r="A249" s="1606" t="s">
        <v>2296</v>
      </c>
      <c r="B249" s="1606" t="s">
        <v>3</v>
      </c>
      <c r="C249" s="1606" t="s">
        <v>2844</v>
      </c>
      <c r="D249" s="1606" t="s">
        <v>2845</v>
      </c>
      <c r="E249" s="1606" t="s">
        <v>2846</v>
      </c>
      <c r="F249" s="1606" t="s">
        <v>2476</v>
      </c>
      <c r="G249" s="1606" t="s">
        <v>9</v>
      </c>
      <c r="H249" s="1606" t="s">
        <v>9</v>
      </c>
      <c r="I249" s="1606" t="s">
        <v>952</v>
      </c>
    </row>
    <row r="250" spans="1:9" ht="11.25" customHeight="1">
      <c r="A250" s="1606" t="s">
        <v>2296</v>
      </c>
      <c r="B250" s="1606" t="s">
        <v>3</v>
      </c>
      <c r="C250" s="1606" t="s">
        <v>2847</v>
      </c>
      <c r="D250" s="1606" t="s">
        <v>2412</v>
      </c>
      <c r="E250" s="1606" t="s">
        <v>2848</v>
      </c>
      <c r="F250" s="1606" t="s">
        <v>2476</v>
      </c>
      <c r="G250" s="1606" t="s">
        <v>9</v>
      </c>
      <c r="H250" s="1606" t="s">
        <v>9</v>
      </c>
      <c r="I250" s="1606" t="s">
        <v>952</v>
      </c>
    </row>
    <row r="251" spans="1:9" ht="11.25" customHeight="1">
      <c r="A251" s="1606" t="s">
        <v>2296</v>
      </c>
      <c r="B251" s="1606" t="s">
        <v>3</v>
      </c>
      <c r="C251" s="1606" t="s">
        <v>2849</v>
      </c>
      <c r="D251" s="1606" t="s">
        <v>2412</v>
      </c>
      <c r="E251" s="1606" t="s">
        <v>2850</v>
      </c>
      <c r="F251" s="1606" t="s">
        <v>2528</v>
      </c>
      <c r="G251" s="1606" t="s">
        <v>9</v>
      </c>
      <c r="H251" s="1606" t="s">
        <v>9</v>
      </c>
      <c r="I251" s="1606" t="s">
        <v>952</v>
      </c>
    </row>
    <row r="252" spans="1:9" ht="11.25" customHeight="1">
      <c r="A252" s="1606" t="s">
        <v>2296</v>
      </c>
      <c r="B252" s="1606" t="s">
        <v>3</v>
      </c>
      <c r="C252" s="1606" t="s">
        <v>2411</v>
      </c>
      <c r="D252" s="1606" t="s">
        <v>2412</v>
      </c>
      <c r="E252" s="1606" t="s">
        <v>2413</v>
      </c>
      <c r="F252" s="1606" t="s">
        <v>2414</v>
      </c>
      <c r="G252" s="1606" t="s">
        <v>9</v>
      </c>
      <c r="H252" s="1606" t="s">
        <v>9</v>
      </c>
      <c r="I252" s="1606" t="s">
        <v>952</v>
      </c>
    </row>
    <row r="253" spans="1:9" ht="11.25" customHeight="1">
      <c r="A253" s="1606" t="s">
        <v>2296</v>
      </c>
      <c r="B253" s="1606" t="s">
        <v>3</v>
      </c>
      <c r="C253" s="1606" t="s">
        <v>2851</v>
      </c>
      <c r="D253" s="1606" t="s">
        <v>2852</v>
      </c>
      <c r="E253" s="1606" t="s">
        <v>2853</v>
      </c>
      <c r="F253" s="1606" t="s">
        <v>2318</v>
      </c>
      <c r="G253" s="1606" t="s">
        <v>2854</v>
      </c>
      <c r="H253" s="1606" t="s">
        <v>9</v>
      </c>
      <c r="I253" s="1606" t="s">
        <v>952</v>
      </c>
    </row>
    <row r="254" spans="1:9" ht="11.25" customHeight="1">
      <c r="A254" s="1606" t="s">
        <v>2296</v>
      </c>
      <c r="B254" s="1606" t="s">
        <v>3</v>
      </c>
      <c r="C254" s="1606" t="s">
        <v>2855</v>
      </c>
      <c r="D254" s="1606" t="s">
        <v>2856</v>
      </c>
      <c r="E254" s="1606" t="s">
        <v>2857</v>
      </c>
      <c r="F254" s="1606" t="s">
        <v>2476</v>
      </c>
      <c r="G254" s="1606" t="s">
        <v>9</v>
      </c>
      <c r="H254" s="1606" t="s">
        <v>9</v>
      </c>
      <c r="I254" s="1606" t="s">
        <v>952</v>
      </c>
    </row>
    <row r="255" spans="1:9" ht="11.25" customHeight="1">
      <c r="A255" s="1606" t="s">
        <v>2296</v>
      </c>
      <c r="B255" s="1606" t="s">
        <v>3</v>
      </c>
      <c r="C255" s="1606" t="s">
        <v>2858</v>
      </c>
      <c r="D255" s="1606" t="s">
        <v>2859</v>
      </c>
      <c r="E255" s="1606" t="s">
        <v>2860</v>
      </c>
      <c r="F255" s="1606" t="s">
        <v>2318</v>
      </c>
      <c r="G255" s="1606" t="s">
        <v>9</v>
      </c>
      <c r="H255" s="1606" t="s">
        <v>9</v>
      </c>
      <c r="I255" s="1606" t="s">
        <v>952</v>
      </c>
    </row>
    <row r="256" spans="1:9" ht="11.25" customHeight="1">
      <c r="A256" s="1606" t="s">
        <v>2296</v>
      </c>
      <c r="B256" s="1606" t="s">
        <v>3</v>
      </c>
      <c r="C256" s="1606" t="s">
        <v>2861</v>
      </c>
      <c r="D256" s="1606" t="s">
        <v>2862</v>
      </c>
      <c r="E256" s="1606" t="s">
        <v>2863</v>
      </c>
      <c r="F256" s="1606" t="s">
        <v>2864</v>
      </c>
      <c r="G256" s="1606" t="s">
        <v>9</v>
      </c>
      <c r="H256" s="1606" t="s">
        <v>2865</v>
      </c>
      <c r="I256" s="1606" t="s">
        <v>952</v>
      </c>
    </row>
    <row r="257" spans="1:9" ht="11.25" customHeight="1">
      <c r="A257" s="1606" t="s">
        <v>2296</v>
      </c>
      <c r="B257" s="1606" t="s">
        <v>3</v>
      </c>
      <c r="C257" s="1606" t="s">
        <v>2866</v>
      </c>
      <c r="D257" s="1606" t="s">
        <v>2867</v>
      </c>
      <c r="E257" s="1606" t="s">
        <v>2868</v>
      </c>
      <c r="F257" s="1606" t="s">
        <v>2869</v>
      </c>
      <c r="G257" s="1606" t="s">
        <v>9</v>
      </c>
      <c r="H257" s="1606" t="s">
        <v>9</v>
      </c>
      <c r="I257" s="1606" t="s">
        <v>952</v>
      </c>
    </row>
    <row r="258" spans="1:9" ht="11.25" customHeight="1">
      <c r="A258" s="1606" t="s">
        <v>2296</v>
      </c>
      <c r="B258" s="1606" t="s">
        <v>3</v>
      </c>
      <c r="C258" s="1606" t="s">
        <v>2415</v>
      </c>
      <c r="D258" s="1606" t="s">
        <v>2416</v>
      </c>
      <c r="E258" s="1606" t="s">
        <v>2417</v>
      </c>
      <c r="F258" s="1606" t="s">
        <v>2418</v>
      </c>
      <c r="G258" s="1606" t="s">
        <v>9</v>
      </c>
      <c r="H258" s="1606" t="s">
        <v>9</v>
      </c>
      <c r="I258" s="1606" t="s">
        <v>952</v>
      </c>
    </row>
    <row r="259" spans="1:9" ht="11.25" customHeight="1">
      <c r="A259" s="1606" t="s">
        <v>2296</v>
      </c>
      <c r="B259" s="1606" t="s">
        <v>3</v>
      </c>
      <c r="C259" s="1606" t="s">
        <v>2870</v>
      </c>
      <c r="D259" s="1606" t="s">
        <v>2871</v>
      </c>
      <c r="E259" s="1606" t="s">
        <v>2872</v>
      </c>
      <c r="F259" s="1606" t="s">
        <v>2528</v>
      </c>
      <c r="G259" s="1606" t="s">
        <v>2873</v>
      </c>
      <c r="H259" s="1606" t="s">
        <v>9</v>
      </c>
      <c r="I259" s="1606" t="s">
        <v>952</v>
      </c>
    </row>
    <row r="260" spans="1:9" ht="11.25" customHeight="1">
      <c r="A260" s="1606" t="s">
        <v>2296</v>
      </c>
      <c r="B260" s="1606" t="s">
        <v>3</v>
      </c>
      <c r="C260" s="1606" t="s">
        <v>2419</v>
      </c>
      <c r="D260" s="1606" t="s">
        <v>2420</v>
      </c>
      <c r="E260" s="1606" t="s">
        <v>2421</v>
      </c>
      <c r="F260" s="1606" t="s">
        <v>2422</v>
      </c>
      <c r="G260" s="1606" t="s">
        <v>9</v>
      </c>
      <c r="H260" s="1606" t="s">
        <v>9</v>
      </c>
      <c r="I260" s="1606" t="s">
        <v>952</v>
      </c>
    </row>
    <row r="261" spans="1:9" ht="11.25" customHeight="1">
      <c r="A261" s="1606" t="s">
        <v>2296</v>
      </c>
      <c r="B261" s="1606" t="s">
        <v>3</v>
      </c>
      <c r="C261" s="1606" t="s">
        <v>2874</v>
      </c>
      <c r="D261" s="1606" t="s">
        <v>2875</v>
      </c>
      <c r="E261" s="1606" t="s">
        <v>2876</v>
      </c>
      <c r="F261" s="1606" t="s">
        <v>2834</v>
      </c>
      <c r="G261" s="1606" t="s">
        <v>9</v>
      </c>
      <c r="H261" s="1606" t="s">
        <v>9</v>
      </c>
      <c r="I261" s="1606" t="s">
        <v>952</v>
      </c>
    </row>
    <row r="262" spans="1:9" ht="11.25" customHeight="1">
      <c r="A262" s="1606" t="s">
        <v>2296</v>
      </c>
      <c r="B262" s="1606" t="s">
        <v>3</v>
      </c>
      <c r="C262" s="1606" t="s">
        <v>2423</v>
      </c>
      <c r="D262" s="1606" t="s">
        <v>2424</v>
      </c>
      <c r="E262" s="1606" t="s">
        <v>2425</v>
      </c>
      <c r="F262" s="1606" t="s">
        <v>2418</v>
      </c>
      <c r="G262" s="1606" t="s">
        <v>9</v>
      </c>
      <c r="H262" s="1606" t="s">
        <v>9</v>
      </c>
      <c r="I262" s="1606" t="s">
        <v>952</v>
      </c>
    </row>
    <row r="263" spans="1:9" ht="11.25" customHeight="1">
      <c r="A263" s="1606" t="s">
        <v>2296</v>
      </c>
      <c r="B263" s="1606" t="s">
        <v>3</v>
      </c>
      <c r="C263" s="1606" t="s">
        <v>2877</v>
      </c>
      <c r="D263" s="1606" t="s">
        <v>2878</v>
      </c>
      <c r="E263" s="1606" t="s">
        <v>2879</v>
      </c>
      <c r="F263" s="1606" t="s">
        <v>2414</v>
      </c>
      <c r="G263" s="1606" t="s">
        <v>9</v>
      </c>
      <c r="H263" s="1606" t="s">
        <v>9</v>
      </c>
      <c r="I263" s="1606" t="s">
        <v>952</v>
      </c>
    </row>
    <row r="264" spans="1:9" ht="11.25" customHeight="1">
      <c r="A264" s="1606" t="s">
        <v>2296</v>
      </c>
      <c r="B264" s="1606" t="s">
        <v>3</v>
      </c>
      <c r="C264" s="1606" t="s">
        <v>2426</v>
      </c>
      <c r="D264" s="1606" t="s">
        <v>2427</v>
      </c>
      <c r="E264" s="1606" t="s">
        <v>2428</v>
      </c>
      <c r="F264" s="1606" t="s">
        <v>2318</v>
      </c>
      <c r="G264" s="1606" t="s">
        <v>9</v>
      </c>
      <c r="H264" s="1606" t="s">
        <v>9</v>
      </c>
      <c r="I264" s="1606" t="s">
        <v>952</v>
      </c>
    </row>
    <row r="265" spans="1:9" ht="11.25" customHeight="1">
      <c r="A265" s="1606" t="s">
        <v>2296</v>
      </c>
      <c r="B265" s="1606" t="s">
        <v>3</v>
      </c>
      <c r="C265" s="1606" t="s">
        <v>2429</v>
      </c>
      <c r="D265" s="1606" t="s">
        <v>2430</v>
      </c>
      <c r="E265" s="1606" t="s">
        <v>2431</v>
      </c>
      <c r="F265" s="1606" t="s">
        <v>2432</v>
      </c>
      <c r="G265" s="1606" t="s">
        <v>2433</v>
      </c>
      <c r="H265" s="1606" t="s">
        <v>9</v>
      </c>
      <c r="I265" s="1606" t="s">
        <v>952</v>
      </c>
    </row>
    <row r="266" spans="1:9" ht="11.25" customHeight="1">
      <c r="A266" s="1606" t="s">
        <v>2296</v>
      </c>
      <c r="B266" s="1606" t="s">
        <v>3</v>
      </c>
      <c r="C266" s="1606" t="s">
        <v>2434</v>
      </c>
      <c r="D266" s="1606" t="s">
        <v>2435</v>
      </c>
      <c r="E266" s="1606" t="s">
        <v>2436</v>
      </c>
      <c r="F266" s="1606" t="s">
        <v>2352</v>
      </c>
      <c r="G266" s="1606" t="s">
        <v>9</v>
      </c>
      <c r="H266" s="1606" t="s">
        <v>9</v>
      </c>
      <c r="I266" s="1606" t="s">
        <v>952</v>
      </c>
    </row>
    <row r="267" spans="1:9" ht="11.25" customHeight="1">
      <c r="A267" s="1606" t="s">
        <v>2296</v>
      </c>
      <c r="B267" s="1606" t="s">
        <v>3</v>
      </c>
      <c r="C267" s="1606" t="s">
        <v>2437</v>
      </c>
      <c r="D267" s="1606" t="s">
        <v>2435</v>
      </c>
      <c r="E267" s="1606" t="s">
        <v>2438</v>
      </c>
      <c r="F267" s="1606" t="s">
        <v>2352</v>
      </c>
      <c r="G267" s="1606" t="s">
        <v>9</v>
      </c>
      <c r="H267" s="1606" t="s">
        <v>9</v>
      </c>
      <c r="I267" s="1606" t="s">
        <v>952</v>
      </c>
    </row>
    <row r="268" spans="1:9" ht="11.25" customHeight="1">
      <c r="A268" s="1606" t="s">
        <v>2296</v>
      </c>
      <c r="B268" s="1606" t="s">
        <v>3</v>
      </c>
      <c r="C268" s="1606" t="s">
        <v>2880</v>
      </c>
      <c r="D268" s="1606" t="s">
        <v>2435</v>
      </c>
      <c r="E268" s="1606" t="s">
        <v>2881</v>
      </c>
      <c r="F268" s="1606" t="s">
        <v>2834</v>
      </c>
      <c r="G268" s="1606" t="s">
        <v>9</v>
      </c>
      <c r="H268" s="1606" t="s">
        <v>9</v>
      </c>
      <c r="I268" s="1606" t="s">
        <v>952</v>
      </c>
    </row>
    <row r="269" spans="1:9" ht="11.25" customHeight="1">
      <c r="A269" s="1606" t="s">
        <v>2296</v>
      </c>
      <c r="B269" s="1606" t="s">
        <v>3</v>
      </c>
      <c r="C269" s="1606" t="s">
        <v>2439</v>
      </c>
      <c r="D269" s="1606" t="s">
        <v>2440</v>
      </c>
      <c r="E269" s="1606" t="s">
        <v>2441</v>
      </c>
      <c r="F269" s="1606" t="s">
        <v>2407</v>
      </c>
      <c r="G269" s="1606" t="s">
        <v>9</v>
      </c>
      <c r="H269" s="1606" t="s">
        <v>2442</v>
      </c>
      <c r="I269" s="1606" t="s">
        <v>952</v>
      </c>
    </row>
    <row r="270" spans="1:9" ht="11.25" customHeight="1">
      <c r="A270" s="1606" t="s">
        <v>2296</v>
      </c>
      <c r="B270" s="1606" t="s">
        <v>3</v>
      </c>
      <c r="C270" s="1606" t="s">
        <v>2443</v>
      </c>
      <c r="D270" s="1606" t="s">
        <v>2440</v>
      </c>
      <c r="E270" s="1606" t="s">
        <v>2444</v>
      </c>
      <c r="F270" s="1606" t="s">
        <v>2445</v>
      </c>
      <c r="G270" s="1606" t="s">
        <v>9</v>
      </c>
      <c r="H270" s="1606" t="s">
        <v>9</v>
      </c>
      <c r="I270" s="1606" t="s">
        <v>952</v>
      </c>
    </row>
    <row r="271" spans="1:9" ht="11.25" customHeight="1">
      <c r="A271" s="1606" t="s">
        <v>2296</v>
      </c>
      <c r="B271" s="1606" t="s">
        <v>3</v>
      </c>
      <c r="C271" s="1606" t="s">
        <v>2446</v>
      </c>
      <c r="D271" s="1606" t="s">
        <v>2440</v>
      </c>
      <c r="E271" s="1606" t="s">
        <v>2447</v>
      </c>
      <c r="F271" s="1606" t="s">
        <v>2448</v>
      </c>
      <c r="G271" s="1606" t="s">
        <v>9</v>
      </c>
      <c r="H271" s="1606" t="s">
        <v>9</v>
      </c>
      <c r="I271" s="1606" t="s">
        <v>952</v>
      </c>
    </row>
    <row r="272" spans="1:9" ht="11.25" customHeight="1">
      <c r="A272" s="1606" t="s">
        <v>2296</v>
      </c>
      <c r="B272" s="1606" t="s">
        <v>3</v>
      </c>
      <c r="C272" s="1606" t="s">
        <v>2449</v>
      </c>
      <c r="D272" s="1606" t="s">
        <v>2440</v>
      </c>
      <c r="E272" s="1606" t="s">
        <v>2450</v>
      </c>
      <c r="F272" s="1606" t="s">
        <v>2451</v>
      </c>
      <c r="G272" s="1606" t="s">
        <v>9</v>
      </c>
      <c r="H272" s="1606" t="s">
        <v>9</v>
      </c>
      <c r="I272" s="1606" t="s">
        <v>952</v>
      </c>
    </row>
    <row r="273" spans="1:9" ht="11.25" customHeight="1">
      <c r="A273" s="1606" t="s">
        <v>2296</v>
      </c>
      <c r="B273" s="1606" t="s">
        <v>3</v>
      </c>
      <c r="C273" s="1606" t="s">
        <v>2452</v>
      </c>
      <c r="D273" s="1606" t="s">
        <v>2440</v>
      </c>
      <c r="E273" s="1606" t="s">
        <v>2453</v>
      </c>
      <c r="F273" s="1606" t="s">
        <v>2422</v>
      </c>
      <c r="G273" s="1606" t="s">
        <v>9</v>
      </c>
      <c r="H273" s="1606" t="s">
        <v>9</v>
      </c>
      <c r="I273" s="1606" t="s">
        <v>952</v>
      </c>
    </row>
    <row r="274" spans="1:9" ht="11.25" customHeight="1">
      <c r="A274" s="1606" t="s">
        <v>2296</v>
      </c>
      <c r="B274" s="1606" t="s">
        <v>3</v>
      </c>
      <c r="C274" s="1606" t="s">
        <v>2454</v>
      </c>
      <c r="D274" s="1606" t="s">
        <v>2455</v>
      </c>
      <c r="E274" s="1606" t="s">
        <v>2456</v>
      </c>
      <c r="F274" s="1606" t="s">
        <v>2352</v>
      </c>
      <c r="G274" s="1606" t="s">
        <v>9</v>
      </c>
      <c r="H274" s="1606" t="s">
        <v>9</v>
      </c>
      <c r="I274" s="1606" t="s">
        <v>952</v>
      </c>
    </row>
    <row r="275" spans="1:9" ht="11.25" customHeight="1">
      <c r="A275" s="1606" t="s">
        <v>2296</v>
      </c>
      <c r="B275" s="1606" t="s">
        <v>3</v>
      </c>
      <c r="C275" s="1606" t="s">
        <v>2882</v>
      </c>
      <c r="D275" s="1606" t="s">
        <v>2883</v>
      </c>
      <c r="E275" s="1606" t="s">
        <v>2884</v>
      </c>
      <c r="F275" s="1606" t="s">
        <v>2414</v>
      </c>
      <c r="G275" s="1606" t="s">
        <v>9</v>
      </c>
      <c r="H275" s="1606" t="s">
        <v>9</v>
      </c>
      <c r="I275" s="1606" t="s">
        <v>952</v>
      </c>
    </row>
    <row r="276" spans="1:9" ht="11.25" customHeight="1">
      <c r="A276" s="1606" t="s">
        <v>2296</v>
      </c>
      <c r="B276" s="1606" t="s">
        <v>3</v>
      </c>
      <c r="C276" s="1606" t="s">
        <v>2457</v>
      </c>
      <c r="D276" s="1606" t="s">
        <v>2458</v>
      </c>
      <c r="E276" s="1606" t="s">
        <v>2459</v>
      </c>
      <c r="F276" s="1606" t="s">
        <v>2318</v>
      </c>
      <c r="G276" s="1606" t="s">
        <v>9</v>
      </c>
      <c r="H276" s="1606" t="s">
        <v>9</v>
      </c>
      <c r="I276" s="1606" t="s">
        <v>952</v>
      </c>
    </row>
    <row r="277" spans="1:9" ht="11.25" customHeight="1">
      <c r="A277" s="1606" t="s">
        <v>2296</v>
      </c>
      <c r="B277" s="1606" t="s">
        <v>3</v>
      </c>
      <c r="C277" s="1606" t="s">
        <v>2885</v>
      </c>
      <c r="D277" s="1606" t="s">
        <v>2886</v>
      </c>
      <c r="E277" s="1606" t="s">
        <v>2887</v>
      </c>
      <c r="F277" s="1606" t="s">
        <v>2328</v>
      </c>
      <c r="G277" s="1606" t="s">
        <v>9</v>
      </c>
      <c r="H277" s="1606" t="s">
        <v>9</v>
      </c>
      <c r="I277" s="1606" t="s">
        <v>952</v>
      </c>
    </row>
    <row r="278" spans="1:9" ht="11.25" customHeight="1">
      <c r="A278" s="1606" t="s">
        <v>2296</v>
      </c>
      <c r="B278" s="1606" t="s">
        <v>3</v>
      </c>
      <c r="C278" s="1606" t="s">
        <v>2460</v>
      </c>
      <c r="D278" s="1606" t="s">
        <v>2461</v>
      </c>
      <c r="E278" s="1606" t="s">
        <v>2462</v>
      </c>
      <c r="F278" s="1606" t="s">
        <v>2328</v>
      </c>
      <c r="G278" s="1606" t="s">
        <v>9</v>
      </c>
      <c r="H278" s="1606" t="s">
        <v>9</v>
      </c>
      <c r="I278" s="1606" t="s">
        <v>952</v>
      </c>
    </row>
    <row r="279" spans="1:9" ht="11.25" customHeight="1">
      <c r="A279" s="1606" t="s">
        <v>2296</v>
      </c>
      <c r="B279" s="1606" t="s">
        <v>3</v>
      </c>
      <c r="C279" s="1606" t="s">
        <v>2888</v>
      </c>
      <c r="D279" s="1606" t="s">
        <v>2889</v>
      </c>
      <c r="E279" s="1606" t="s">
        <v>2890</v>
      </c>
      <c r="F279" s="1606" t="s">
        <v>2414</v>
      </c>
      <c r="G279" s="1606" t="s">
        <v>2891</v>
      </c>
      <c r="H279" s="1606" t="s">
        <v>9</v>
      </c>
      <c r="I279" s="1606" t="s">
        <v>952</v>
      </c>
    </row>
    <row r="280" spans="1:9" ht="11.25" customHeight="1">
      <c r="A280" s="1606" t="s">
        <v>2296</v>
      </c>
      <c r="B280" s="1606" t="s">
        <v>3</v>
      </c>
      <c r="C280" s="1606" t="s">
        <v>2892</v>
      </c>
      <c r="D280" s="1606" t="s">
        <v>2893</v>
      </c>
      <c r="E280" s="1606" t="s">
        <v>2894</v>
      </c>
      <c r="F280" s="1606" t="s">
        <v>2328</v>
      </c>
      <c r="G280" s="1606" t="s">
        <v>9</v>
      </c>
      <c r="H280" s="1606" t="s">
        <v>9</v>
      </c>
      <c r="I280" s="1606" t="s">
        <v>952</v>
      </c>
    </row>
    <row r="281" spans="1:9" ht="11.25" customHeight="1">
      <c r="A281" s="1606" t="s">
        <v>2296</v>
      </c>
      <c r="B281" s="1606" t="s">
        <v>3</v>
      </c>
      <c r="C281" s="1606" t="s">
        <v>2895</v>
      </c>
      <c r="D281" s="1606" t="s">
        <v>2896</v>
      </c>
      <c r="E281" s="1606" t="s">
        <v>2897</v>
      </c>
      <c r="F281" s="1606" t="s">
        <v>2328</v>
      </c>
      <c r="G281" s="1606" t="s">
        <v>9</v>
      </c>
      <c r="H281" s="1606" t="s">
        <v>9</v>
      </c>
      <c r="I281" s="1606" t="s">
        <v>952</v>
      </c>
    </row>
    <row r="282" spans="1:9" ht="11.25" customHeight="1">
      <c r="A282" s="1606" t="s">
        <v>2296</v>
      </c>
      <c r="B282" s="1606" t="s">
        <v>3</v>
      </c>
      <c r="C282" s="1606" t="s">
        <v>2463</v>
      </c>
      <c r="D282" s="1606" t="s">
        <v>2464</v>
      </c>
      <c r="E282" s="1606" t="s">
        <v>2465</v>
      </c>
      <c r="F282" s="1606" t="s">
        <v>2318</v>
      </c>
      <c r="G282" s="1606" t="s">
        <v>2466</v>
      </c>
      <c r="H282" s="1606" t="s">
        <v>9</v>
      </c>
      <c r="I282" s="1606" t="s">
        <v>952</v>
      </c>
    </row>
    <row r="283" spans="1:9" ht="11.25" customHeight="1">
      <c r="A283" s="1606" t="s">
        <v>2296</v>
      </c>
      <c r="B283" s="1606" t="s">
        <v>3</v>
      </c>
      <c r="C283" s="1606" t="s">
        <v>2898</v>
      </c>
      <c r="D283" s="1606" t="s">
        <v>2899</v>
      </c>
      <c r="E283" s="1606" t="s">
        <v>2900</v>
      </c>
      <c r="F283" s="1606" t="s">
        <v>2834</v>
      </c>
      <c r="G283" s="1606" t="s">
        <v>9</v>
      </c>
      <c r="H283" s="1606" t="s">
        <v>9</v>
      </c>
      <c r="I283" s="1606" t="s">
        <v>952</v>
      </c>
    </row>
    <row r="284" spans="1:9" ht="11.25" customHeight="1">
      <c r="A284" s="1606" t="s">
        <v>2296</v>
      </c>
      <c r="B284" s="1606" t="s">
        <v>3</v>
      </c>
      <c r="C284" s="1606" t="s">
        <v>2901</v>
      </c>
      <c r="D284" s="1606" t="s">
        <v>2902</v>
      </c>
      <c r="E284" s="1606" t="s">
        <v>2903</v>
      </c>
      <c r="F284" s="1606" t="s">
        <v>2396</v>
      </c>
      <c r="G284" s="1606" t="s">
        <v>2904</v>
      </c>
      <c r="H284" s="1606" t="s">
        <v>9</v>
      </c>
      <c r="I284" s="1606" t="s">
        <v>952</v>
      </c>
    </row>
    <row r="285" spans="1:9" ht="11.25" customHeight="1">
      <c r="A285" s="1606" t="s">
        <v>2296</v>
      </c>
      <c r="B285" s="1606" t="s">
        <v>3</v>
      </c>
      <c r="C285" s="1606" t="s">
        <v>2905</v>
      </c>
      <c r="D285" s="1606" t="s">
        <v>2906</v>
      </c>
      <c r="E285" s="1606" t="s">
        <v>2907</v>
      </c>
      <c r="F285" s="1606" t="s">
        <v>2392</v>
      </c>
      <c r="G285" s="1606" t="s">
        <v>9</v>
      </c>
      <c r="H285" s="1606" t="s">
        <v>9</v>
      </c>
      <c r="I285" s="1606" t="s">
        <v>952</v>
      </c>
    </row>
    <row r="286" spans="1:9" ht="11.25" customHeight="1">
      <c r="A286" s="1606" t="s">
        <v>2296</v>
      </c>
      <c r="B286" s="1606" t="s">
        <v>3</v>
      </c>
      <c r="C286" s="1606" t="s">
        <v>2467</v>
      </c>
      <c r="D286" s="1606" t="s">
        <v>2468</v>
      </c>
      <c r="E286" s="1606" t="s">
        <v>2469</v>
      </c>
      <c r="F286" s="1606" t="s">
        <v>2403</v>
      </c>
      <c r="G286" s="1606" t="s">
        <v>9</v>
      </c>
      <c r="H286" s="1606" t="s">
        <v>9</v>
      </c>
      <c r="I286" s="1606" t="s">
        <v>952</v>
      </c>
    </row>
    <row r="287" spans="1:9" ht="11.25" customHeight="1">
      <c r="A287" s="1606" t="s">
        <v>2296</v>
      </c>
      <c r="B287" s="1606" t="s">
        <v>3</v>
      </c>
      <c r="C287" s="1606" t="s">
        <v>2908</v>
      </c>
      <c r="D287" s="1606" t="s">
        <v>2909</v>
      </c>
      <c r="E287" s="1606" t="s">
        <v>2910</v>
      </c>
      <c r="F287" s="1606" t="s">
        <v>2318</v>
      </c>
      <c r="G287" s="1606" t="s">
        <v>9</v>
      </c>
      <c r="H287" s="1606" t="s">
        <v>9</v>
      </c>
      <c r="I287" s="1606" t="s">
        <v>952</v>
      </c>
    </row>
    <row r="288" spans="1:9" ht="11.25" customHeight="1">
      <c r="A288" s="1606" t="s">
        <v>2296</v>
      </c>
      <c r="B288" s="1606" t="s">
        <v>3</v>
      </c>
      <c r="C288" s="1606" t="s">
        <v>2911</v>
      </c>
      <c r="D288" s="1606" t="s">
        <v>2912</v>
      </c>
      <c r="E288" s="1606" t="s">
        <v>2913</v>
      </c>
      <c r="F288" s="1606" t="s">
        <v>2318</v>
      </c>
      <c r="G288" s="1606" t="s">
        <v>9</v>
      </c>
      <c r="H288" s="1606" t="s">
        <v>9</v>
      </c>
      <c r="I288" s="1606" t="s">
        <v>952</v>
      </c>
    </row>
    <row r="289" spans="1:9" ht="11.25" customHeight="1">
      <c r="A289" s="1606" t="s">
        <v>2296</v>
      </c>
      <c r="B289" s="1606" t="s">
        <v>3</v>
      </c>
      <c r="C289" s="1606" t="s">
        <v>2914</v>
      </c>
      <c r="D289" s="1606" t="s">
        <v>2915</v>
      </c>
      <c r="E289" s="1606" t="s">
        <v>2916</v>
      </c>
      <c r="F289" s="1606" t="s">
        <v>2414</v>
      </c>
      <c r="G289" s="1606" t="s">
        <v>9</v>
      </c>
      <c r="H289" s="1606" t="s">
        <v>9</v>
      </c>
      <c r="I289" s="1606" t="s">
        <v>952</v>
      </c>
    </row>
    <row r="290" spans="1:9" ht="11.25" customHeight="1">
      <c r="A290" s="1606" t="s">
        <v>2296</v>
      </c>
      <c r="B290" s="1606" t="s">
        <v>3</v>
      </c>
      <c r="C290" s="1606" t="s">
        <v>2473</v>
      </c>
      <c r="D290" s="1606" t="s">
        <v>2474</v>
      </c>
      <c r="E290" s="1606" t="s">
        <v>2475</v>
      </c>
      <c r="F290" s="1606" t="s">
        <v>2476</v>
      </c>
      <c r="G290" s="1606" t="s">
        <v>9</v>
      </c>
      <c r="H290" s="1606" t="s">
        <v>9</v>
      </c>
      <c r="I290" s="1606" t="s">
        <v>952</v>
      </c>
    </row>
    <row r="291" spans="1:9" ht="11.25" customHeight="1">
      <c r="A291" s="1606" t="s">
        <v>2296</v>
      </c>
      <c r="B291" s="1606" t="s">
        <v>3</v>
      </c>
      <c r="C291" s="1606" t="s">
        <v>2477</v>
      </c>
      <c r="D291" s="1606" t="s">
        <v>2478</v>
      </c>
      <c r="E291" s="1606" t="s">
        <v>2479</v>
      </c>
      <c r="F291" s="1606" t="s">
        <v>2414</v>
      </c>
      <c r="G291" s="1606" t="s">
        <v>2480</v>
      </c>
      <c r="H291" s="1606" t="s">
        <v>9</v>
      </c>
      <c r="I291" s="1606" t="s">
        <v>952</v>
      </c>
    </row>
    <row r="292" spans="1:9" ht="11.25" customHeight="1">
      <c r="A292" s="1606" t="s">
        <v>2296</v>
      </c>
      <c r="B292" s="1606" t="s">
        <v>3</v>
      </c>
      <c r="C292" s="1606" t="s">
        <v>2481</v>
      </c>
      <c r="D292" s="1606" t="s">
        <v>2482</v>
      </c>
      <c r="E292" s="1606" t="s">
        <v>2483</v>
      </c>
      <c r="F292" s="1606" t="s">
        <v>2318</v>
      </c>
      <c r="G292" s="1606" t="s">
        <v>9</v>
      </c>
      <c r="H292" s="1606" t="s">
        <v>9</v>
      </c>
      <c r="I292" s="1606" t="s">
        <v>952</v>
      </c>
    </row>
    <row r="293" spans="1:9" ht="11.25" customHeight="1">
      <c r="A293" s="1606" t="s">
        <v>2296</v>
      </c>
      <c r="B293" s="1606" t="s">
        <v>3</v>
      </c>
      <c r="C293" s="1606" t="s">
        <v>2917</v>
      </c>
      <c r="D293" s="1606" t="s">
        <v>2918</v>
      </c>
      <c r="E293" s="1606" t="s">
        <v>2919</v>
      </c>
      <c r="F293" s="1606" t="s">
        <v>2396</v>
      </c>
      <c r="G293" s="1606" t="s">
        <v>2920</v>
      </c>
      <c r="H293" s="1606" t="s">
        <v>9</v>
      </c>
      <c r="I293" s="1606" t="s">
        <v>952</v>
      </c>
    </row>
    <row r="294" spans="1:9" ht="11.25" customHeight="1">
      <c r="A294" s="1606" t="s">
        <v>2296</v>
      </c>
      <c r="B294" s="1606" t="s">
        <v>3</v>
      </c>
      <c r="C294" s="1606" t="s">
        <v>2921</v>
      </c>
      <c r="D294" s="1606" t="s">
        <v>2922</v>
      </c>
      <c r="E294" s="1606" t="s">
        <v>2923</v>
      </c>
      <c r="F294" s="1606" t="s">
        <v>2476</v>
      </c>
      <c r="G294" s="1606" t="s">
        <v>9</v>
      </c>
      <c r="H294" s="1606" t="s">
        <v>9</v>
      </c>
      <c r="I294" s="1606" t="s">
        <v>952</v>
      </c>
    </row>
    <row r="295" spans="1:9" ht="11.25" customHeight="1">
      <c r="A295" s="1606" t="s">
        <v>2296</v>
      </c>
      <c r="B295" s="1606" t="s">
        <v>3</v>
      </c>
      <c r="C295" s="1606" t="s">
        <v>2489</v>
      </c>
      <c r="D295" s="1606" t="s">
        <v>2490</v>
      </c>
      <c r="E295" s="1606" t="s">
        <v>2491</v>
      </c>
      <c r="F295" s="1606" t="s">
        <v>2492</v>
      </c>
      <c r="G295" s="1606" t="s">
        <v>9</v>
      </c>
      <c r="H295" s="1606" t="s">
        <v>9</v>
      </c>
      <c r="I295" s="1606" t="s">
        <v>952</v>
      </c>
    </row>
    <row r="296" spans="1:9" ht="11.25" customHeight="1">
      <c r="A296" s="1606" t="s">
        <v>2296</v>
      </c>
      <c r="B296" s="1606" t="s">
        <v>3</v>
      </c>
      <c r="C296" s="1606" t="s">
        <v>2924</v>
      </c>
      <c r="D296" s="1606" t="s">
        <v>2925</v>
      </c>
      <c r="E296" s="1606" t="s">
        <v>2926</v>
      </c>
      <c r="F296" s="1606" t="s">
        <v>2407</v>
      </c>
      <c r="G296" s="1606" t="s">
        <v>9</v>
      </c>
      <c r="H296" s="1606" t="s">
        <v>9</v>
      </c>
      <c r="I296" s="1606" t="s">
        <v>952</v>
      </c>
    </row>
    <row r="297" spans="1:9" ht="11.25" customHeight="1">
      <c r="A297" s="1606" t="s">
        <v>2296</v>
      </c>
      <c r="B297" s="1606" t="s">
        <v>3</v>
      </c>
      <c r="C297" s="1606" t="s">
        <v>2493</v>
      </c>
      <c r="D297" s="1606" t="s">
        <v>2494</v>
      </c>
      <c r="E297" s="1606" t="s">
        <v>2495</v>
      </c>
      <c r="F297" s="1606" t="s">
        <v>2407</v>
      </c>
      <c r="G297" s="1606" t="s">
        <v>9</v>
      </c>
      <c r="H297" s="1606" t="s">
        <v>9</v>
      </c>
      <c r="I297" s="1606" t="s">
        <v>952</v>
      </c>
    </row>
    <row r="298" spans="1:9" ht="11.25" customHeight="1">
      <c r="A298" s="1606" t="s">
        <v>2296</v>
      </c>
      <c r="B298" s="1606" t="s">
        <v>3</v>
      </c>
      <c r="C298" s="1606" t="s">
        <v>2496</v>
      </c>
      <c r="D298" s="1606" t="s">
        <v>2497</v>
      </c>
      <c r="E298" s="1606" t="s">
        <v>2498</v>
      </c>
      <c r="F298" s="1606" t="s">
        <v>2392</v>
      </c>
      <c r="G298" s="1606" t="s">
        <v>9</v>
      </c>
      <c r="H298" s="1606" t="s">
        <v>9</v>
      </c>
      <c r="I298" s="1606" t="s">
        <v>952</v>
      </c>
    </row>
    <row r="299" spans="1:9" ht="11.25" customHeight="1">
      <c r="A299" s="1606" t="s">
        <v>2296</v>
      </c>
      <c r="B299" s="1606" t="s">
        <v>3</v>
      </c>
      <c r="C299" s="1606" t="s">
        <v>2499</v>
      </c>
      <c r="D299" s="1606" t="s">
        <v>2500</v>
      </c>
      <c r="E299" s="1606" t="s">
        <v>2501</v>
      </c>
      <c r="F299" s="1606" t="s">
        <v>2318</v>
      </c>
      <c r="G299" s="1606" t="s">
        <v>9</v>
      </c>
      <c r="H299" s="1606" t="s">
        <v>9</v>
      </c>
      <c r="I299" s="1606" t="s">
        <v>952</v>
      </c>
    </row>
    <row r="300" spans="1:9" ht="11.25" customHeight="1">
      <c r="A300" s="1606" t="s">
        <v>2296</v>
      </c>
      <c r="B300" s="1606" t="s">
        <v>3</v>
      </c>
      <c r="C300" s="1606" t="s">
        <v>2502</v>
      </c>
      <c r="D300" s="1606" t="s">
        <v>2503</v>
      </c>
      <c r="E300" s="1606" t="s">
        <v>2504</v>
      </c>
      <c r="F300" s="1606" t="s">
        <v>2403</v>
      </c>
      <c r="G300" s="1606" t="s">
        <v>9</v>
      </c>
      <c r="H300" s="1606" t="s">
        <v>9</v>
      </c>
      <c r="I300" s="1606" t="s">
        <v>952</v>
      </c>
    </row>
    <row r="301" spans="1:9" ht="11.25" customHeight="1">
      <c r="A301" s="1606" t="s">
        <v>2296</v>
      </c>
      <c r="B301" s="1606" t="s">
        <v>3</v>
      </c>
      <c r="C301" s="1606" t="s">
        <v>2505</v>
      </c>
      <c r="D301" s="1606" t="s">
        <v>2506</v>
      </c>
      <c r="E301" s="1606" t="s">
        <v>2507</v>
      </c>
      <c r="F301" s="1606" t="s">
        <v>2403</v>
      </c>
      <c r="G301" s="1606" t="s">
        <v>9</v>
      </c>
      <c r="H301" s="1606" t="s">
        <v>9</v>
      </c>
      <c r="I301" s="1606" t="s">
        <v>952</v>
      </c>
    </row>
    <row r="302" spans="1:9" ht="11.25" customHeight="1">
      <c r="A302" s="1606" t="s">
        <v>2296</v>
      </c>
      <c r="B302" s="1606" t="s">
        <v>3</v>
      </c>
      <c r="C302" s="1606" t="s">
        <v>2508</v>
      </c>
      <c r="D302" s="1606" t="s">
        <v>2509</v>
      </c>
      <c r="E302" s="1606" t="s">
        <v>2510</v>
      </c>
      <c r="F302" s="1606" t="s">
        <v>2403</v>
      </c>
      <c r="G302" s="1606" t="s">
        <v>9</v>
      </c>
      <c r="H302" s="1606" t="s">
        <v>9</v>
      </c>
      <c r="I302" s="1606" t="s">
        <v>952</v>
      </c>
    </row>
    <row r="303" spans="1:9" ht="11.25" customHeight="1">
      <c r="A303" s="1606" t="s">
        <v>2296</v>
      </c>
      <c r="B303" s="1606" t="s">
        <v>3</v>
      </c>
      <c r="C303" s="1606" t="s">
        <v>2514</v>
      </c>
      <c r="D303" s="1606" t="s">
        <v>2515</v>
      </c>
      <c r="E303" s="1606" t="s">
        <v>2516</v>
      </c>
      <c r="F303" s="1606" t="s">
        <v>2418</v>
      </c>
      <c r="G303" s="1606" t="s">
        <v>2517</v>
      </c>
      <c r="H303" s="1606" t="s">
        <v>9</v>
      </c>
      <c r="I303" s="1606" t="s">
        <v>952</v>
      </c>
    </row>
    <row r="304" spans="1:9" ht="11.25" customHeight="1">
      <c r="A304" s="1606" t="s">
        <v>2296</v>
      </c>
      <c r="B304" s="1606" t="s">
        <v>3</v>
      </c>
      <c r="C304" s="1606" t="s">
        <v>2518</v>
      </c>
      <c r="D304" s="1606" t="s">
        <v>2519</v>
      </c>
      <c r="E304" s="1606" t="s">
        <v>2520</v>
      </c>
      <c r="F304" s="1606" t="s">
        <v>2318</v>
      </c>
      <c r="G304" s="1606" t="s">
        <v>9</v>
      </c>
      <c r="H304" s="1606" t="s">
        <v>9</v>
      </c>
      <c r="I304" s="1606" t="s">
        <v>952</v>
      </c>
    </row>
    <row r="305" spans="1:9" ht="11.25" customHeight="1">
      <c r="A305" s="1606" t="s">
        <v>2296</v>
      </c>
      <c r="B305" s="1606" t="s">
        <v>3</v>
      </c>
      <c r="C305" s="1606" t="s">
        <v>2927</v>
      </c>
      <c r="D305" s="1606" t="s">
        <v>2928</v>
      </c>
      <c r="E305" s="1606" t="s">
        <v>2929</v>
      </c>
      <c r="F305" s="1606" t="s">
        <v>2318</v>
      </c>
      <c r="G305" s="1606" t="s">
        <v>9</v>
      </c>
      <c r="H305" s="1606" t="s">
        <v>9</v>
      </c>
      <c r="I305" s="1606" t="s">
        <v>952</v>
      </c>
    </row>
    <row r="306" spans="1:9" ht="11.25" customHeight="1">
      <c r="A306" s="1606" t="s">
        <v>2296</v>
      </c>
      <c r="B306" s="1606" t="s">
        <v>3</v>
      </c>
      <c r="C306" s="1606" t="s">
        <v>2521</v>
      </c>
      <c r="D306" s="1606" t="s">
        <v>2522</v>
      </c>
      <c r="E306" s="1606" t="s">
        <v>2523</v>
      </c>
      <c r="F306" s="1606" t="s">
        <v>2524</v>
      </c>
      <c r="G306" s="1606" t="s">
        <v>9</v>
      </c>
      <c r="H306" s="1606" t="s">
        <v>9</v>
      </c>
      <c r="I306" s="1606" t="s">
        <v>952</v>
      </c>
    </row>
    <row r="307" spans="1:9" ht="11.25" customHeight="1">
      <c r="A307" s="1606" t="s">
        <v>2296</v>
      </c>
      <c r="B307" s="1606" t="s">
        <v>3</v>
      </c>
      <c r="C307" s="1606" t="s">
        <v>2930</v>
      </c>
      <c r="D307" s="1606" t="s">
        <v>2931</v>
      </c>
      <c r="E307" s="1606" t="s">
        <v>2932</v>
      </c>
      <c r="F307" s="1606" t="s">
        <v>2332</v>
      </c>
      <c r="G307" s="1606" t="s">
        <v>2933</v>
      </c>
      <c r="H307" s="1606" t="s">
        <v>9</v>
      </c>
      <c r="I307" s="1606" t="s">
        <v>952</v>
      </c>
    </row>
    <row r="308" spans="1:9" ht="11.25" customHeight="1">
      <c r="A308" s="1606" t="s">
        <v>2296</v>
      </c>
      <c r="B308" s="1606" t="s">
        <v>3</v>
      </c>
      <c r="C308" s="1606" t="s">
        <v>2934</v>
      </c>
      <c r="D308" s="1606" t="s">
        <v>2935</v>
      </c>
      <c r="E308" s="1606" t="s">
        <v>2936</v>
      </c>
      <c r="F308" s="1606" t="s">
        <v>2476</v>
      </c>
      <c r="G308" s="1606" t="s">
        <v>9</v>
      </c>
      <c r="H308" s="1606" t="s">
        <v>9</v>
      </c>
      <c r="I308" s="1606" t="s">
        <v>952</v>
      </c>
    </row>
    <row r="309" spans="1:9" ht="11.25" customHeight="1">
      <c r="A309" s="1606" t="s">
        <v>2296</v>
      </c>
      <c r="B309" s="1606" t="s">
        <v>3</v>
      </c>
      <c r="C309" s="1606" t="s">
        <v>2937</v>
      </c>
      <c r="D309" s="1606" t="s">
        <v>2938</v>
      </c>
      <c r="E309" s="1606" t="s">
        <v>2939</v>
      </c>
      <c r="F309" s="1606" t="s">
        <v>2940</v>
      </c>
      <c r="G309" s="1606" t="s">
        <v>9</v>
      </c>
      <c r="H309" s="1606" t="s">
        <v>9</v>
      </c>
      <c r="I309" s="1606" t="s">
        <v>952</v>
      </c>
    </row>
    <row r="310" spans="1:9" ht="11.25" customHeight="1">
      <c r="A310" s="1606" t="s">
        <v>2296</v>
      </c>
      <c r="B310" s="1606" t="s">
        <v>3</v>
      </c>
      <c r="C310" s="1606" t="s">
        <v>2941</v>
      </c>
      <c r="D310" s="1606" t="s">
        <v>2942</v>
      </c>
      <c r="E310" s="1606" t="s">
        <v>2943</v>
      </c>
      <c r="F310" s="1606" t="s">
        <v>2318</v>
      </c>
      <c r="G310" s="1606" t="s">
        <v>9</v>
      </c>
      <c r="H310" s="1606" t="s">
        <v>9</v>
      </c>
      <c r="I310" s="1606" t="s">
        <v>952</v>
      </c>
    </row>
    <row r="311" spans="1:9" ht="11.25" customHeight="1">
      <c r="A311" s="1606" t="s">
        <v>2296</v>
      </c>
      <c r="B311" s="1606" t="s">
        <v>3</v>
      </c>
      <c r="C311" s="1606" t="s">
        <v>2944</v>
      </c>
      <c r="D311" s="1606" t="s">
        <v>2945</v>
      </c>
      <c r="E311" s="1606" t="s">
        <v>2946</v>
      </c>
      <c r="F311" s="1606" t="s">
        <v>2487</v>
      </c>
      <c r="G311" s="1606" t="s">
        <v>9</v>
      </c>
      <c r="H311" s="1606" t="s">
        <v>9</v>
      </c>
      <c r="I311" s="1606" t="s">
        <v>952</v>
      </c>
    </row>
    <row r="312" spans="1:9" ht="11.25" customHeight="1">
      <c r="A312" s="1606" t="s">
        <v>2296</v>
      </c>
      <c r="B312" s="1606" t="s">
        <v>3</v>
      </c>
      <c r="C312" s="1606" t="s">
        <v>2557</v>
      </c>
      <c r="D312" s="1606" t="s">
        <v>2558</v>
      </c>
      <c r="E312" s="1606" t="s">
        <v>2559</v>
      </c>
      <c r="F312" s="1606" t="s">
        <v>2560</v>
      </c>
      <c r="G312" s="1606" t="s">
        <v>9</v>
      </c>
      <c r="H312" s="1606" t="s">
        <v>9</v>
      </c>
      <c r="I312" s="1606" t="s">
        <v>952</v>
      </c>
    </row>
    <row r="313" spans="1:9" ht="11.25" customHeight="1">
      <c r="A313" s="1606" t="s">
        <v>2296</v>
      </c>
      <c r="B313" s="1606" t="s">
        <v>3</v>
      </c>
      <c r="C313" s="1606" t="s">
        <v>2947</v>
      </c>
      <c r="D313" s="1606" t="s">
        <v>2948</v>
      </c>
      <c r="E313" s="1606" t="s">
        <v>2949</v>
      </c>
      <c r="F313" s="1606" t="s">
        <v>2476</v>
      </c>
      <c r="G313" s="1606" t="s">
        <v>9</v>
      </c>
      <c r="H313" s="1606" t="s">
        <v>9</v>
      </c>
      <c r="I313" s="1606" t="s">
        <v>952</v>
      </c>
    </row>
    <row r="314" spans="1:9" ht="11.25" customHeight="1">
      <c r="A314" s="1606" t="s">
        <v>2296</v>
      </c>
      <c r="B314" s="1606" t="s">
        <v>3</v>
      </c>
      <c r="C314" s="1606" t="s">
        <v>2567</v>
      </c>
      <c r="D314" s="1606" t="s">
        <v>2568</v>
      </c>
      <c r="E314" s="1606" t="s">
        <v>2569</v>
      </c>
      <c r="F314" s="1606" t="s">
        <v>37</v>
      </c>
      <c r="G314" s="1606" t="s">
        <v>9</v>
      </c>
      <c r="H314" s="1606" t="s">
        <v>9</v>
      </c>
      <c r="I314" s="1606" t="s">
        <v>952</v>
      </c>
    </row>
    <row r="315" spans="1:9" ht="11.25" customHeight="1">
      <c r="A315" s="1606" t="s">
        <v>2296</v>
      </c>
      <c r="B315" s="1606" t="s">
        <v>3</v>
      </c>
      <c r="C315" s="1606" t="s">
        <v>2950</v>
      </c>
      <c r="D315" s="1606" t="s">
        <v>2951</v>
      </c>
      <c r="E315" s="1606" t="s">
        <v>2952</v>
      </c>
      <c r="F315" s="1606" t="s">
        <v>2418</v>
      </c>
      <c r="G315" s="1606" t="s">
        <v>9</v>
      </c>
      <c r="H315" s="1606" t="s">
        <v>9</v>
      </c>
      <c r="I315" s="1606" t="s">
        <v>952</v>
      </c>
    </row>
    <row r="316" spans="1:9" ht="11.25" customHeight="1">
      <c r="A316" s="1606" t="s">
        <v>2296</v>
      </c>
      <c r="B316" s="1606" t="s">
        <v>3</v>
      </c>
      <c r="C316" s="1606" t="s">
        <v>2573</v>
      </c>
      <c r="D316" s="1606" t="s">
        <v>2574</v>
      </c>
      <c r="E316" s="1606" t="s">
        <v>2575</v>
      </c>
      <c r="F316" s="1606" t="s">
        <v>2487</v>
      </c>
      <c r="G316" s="1606" t="s">
        <v>9</v>
      </c>
      <c r="H316" s="1606" t="s">
        <v>9</v>
      </c>
      <c r="I316" s="1606" t="s">
        <v>952</v>
      </c>
    </row>
    <row r="317" spans="1:9" ht="11.25" customHeight="1">
      <c r="A317" s="1606" t="s">
        <v>2296</v>
      </c>
      <c r="B317" s="1606" t="s">
        <v>3</v>
      </c>
      <c r="C317" s="1606" t="s">
        <v>2953</v>
      </c>
      <c r="D317" s="1606" t="s">
        <v>2954</v>
      </c>
      <c r="E317" s="1606" t="s">
        <v>2955</v>
      </c>
      <c r="F317" s="1606" t="s">
        <v>2487</v>
      </c>
      <c r="G317" s="1606" t="s">
        <v>9</v>
      </c>
      <c r="H317" s="1606" t="s">
        <v>9</v>
      </c>
      <c r="I317" s="1606" t="s">
        <v>952</v>
      </c>
    </row>
    <row r="318" spans="1:9" ht="11.25" customHeight="1">
      <c r="A318" s="1606" t="s">
        <v>2296</v>
      </c>
      <c r="B318" s="1606" t="s">
        <v>3</v>
      </c>
      <c r="C318" s="1606" t="s">
        <v>2576</v>
      </c>
      <c r="D318" s="1606" t="s">
        <v>2577</v>
      </c>
      <c r="E318" s="1606" t="s">
        <v>2578</v>
      </c>
      <c r="F318" s="1606" t="s">
        <v>2343</v>
      </c>
      <c r="G318" s="1606" t="s">
        <v>9</v>
      </c>
      <c r="H318" s="1606" t="s">
        <v>9</v>
      </c>
      <c r="I318" s="1606" t="s">
        <v>952</v>
      </c>
    </row>
    <row r="319" spans="1:9" ht="11.25" customHeight="1">
      <c r="A319" s="1606" t="s">
        <v>2296</v>
      </c>
      <c r="B319" s="1606" t="s">
        <v>3</v>
      </c>
      <c r="C319" s="1606" t="s">
        <v>2579</v>
      </c>
      <c r="D319" s="1606" t="s">
        <v>2580</v>
      </c>
      <c r="E319" s="1606" t="s">
        <v>2581</v>
      </c>
      <c r="F319" s="1606" t="s">
        <v>2418</v>
      </c>
      <c r="G319" s="1606" t="s">
        <v>9</v>
      </c>
      <c r="H319" s="1606" t="s">
        <v>9</v>
      </c>
      <c r="I319" s="1606" t="s">
        <v>952</v>
      </c>
    </row>
    <row r="320" spans="1:9" ht="11.25" customHeight="1">
      <c r="A320" s="1606" t="s">
        <v>2296</v>
      </c>
      <c r="B320" s="1606" t="s">
        <v>3</v>
      </c>
      <c r="C320" s="1606" t="s">
        <v>2588</v>
      </c>
      <c r="D320" s="1606" t="s">
        <v>2589</v>
      </c>
      <c r="E320" s="1606" t="s">
        <v>2590</v>
      </c>
      <c r="F320" s="1606" t="s">
        <v>2528</v>
      </c>
      <c r="G320" s="1606" t="s">
        <v>9</v>
      </c>
      <c r="H320" s="1606" t="s">
        <v>9</v>
      </c>
      <c r="I320" s="1606" t="s">
        <v>952</v>
      </c>
    </row>
    <row r="321" spans="1:9" ht="11.25" customHeight="1">
      <c r="A321" s="1606" t="s">
        <v>2296</v>
      </c>
      <c r="B321" s="1606" t="s">
        <v>3</v>
      </c>
      <c r="C321" s="1606" t="s">
        <v>2956</v>
      </c>
      <c r="D321" s="1606" t="s">
        <v>2957</v>
      </c>
      <c r="E321" s="1606" t="s">
        <v>2958</v>
      </c>
      <c r="F321" s="1606" t="s">
        <v>2528</v>
      </c>
      <c r="G321" s="1606" t="s">
        <v>9</v>
      </c>
      <c r="H321" s="1606" t="s">
        <v>9</v>
      </c>
      <c r="I321" s="1606" t="s">
        <v>952</v>
      </c>
    </row>
    <row r="322" spans="1:9" ht="11.25" customHeight="1">
      <c r="A322" s="1606" t="s">
        <v>2296</v>
      </c>
      <c r="B322" s="1606" t="s">
        <v>3</v>
      </c>
      <c r="C322" s="1606" t="s">
        <v>2959</v>
      </c>
      <c r="D322" s="1606" t="s">
        <v>2960</v>
      </c>
      <c r="E322" s="1606" t="s">
        <v>2961</v>
      </c>
      <c r="F322" s="1606" t="s">
        <v>2487</v>
      </c>
      <c r="G322" s="1606" t="s">
        <v>2962</v>
      </c>
      <c r="H322" s="1606" t="s">
        <v>9</v>
      </c>
      <c r="I322" s="1606" t="s">
        <v>952</v>
      </c>
    </row>
    <row r="323" spans="1:9" ht="11.25" customHeight="1">
      <c r="A323" s="1606" t="s">
        <v>2296</v>
      </c>
      <c r="B323" s="1606" t="s">
        <v>3</v>
      </c>
      <c r="C323" s="1606" t="s">
        <v>2963</v>
      </c>
      <c r="D323" s="1606" t="s">
        <v>2964</v>
      </c>
      <c r="E323" s="1606" t="s">
        <v>2965</v>
      </c>
      <c r="F323" s="1606" t="s">
        <v>37</v>
      </c>
      <c r="G323" s="1606" t="s">
        <v>9</v>
      </c>
      <c r="H323" s="1606" t="s">
        <v>9</v>
      </c>
      <c r="I323" s="1606" t="s">
        <v>952</v>
      </c>
    </row>
    <row r="324" spans="1:9" ht="11.25" customHeight="1">
      <c r="A324" s="1606" t="s">
        <v>2296</v>
      </c>
      <c r="B324" s="1606" t="s">
        <v>3</v>
      </c>
      <c r="C324" s="1606" t="s">
        <v>2601</v>
      </c>
      <c r="D324" s="1606" t="s">
        <v>2602</v>
      </c>
      <c r="E324" s="1606" t="s">
        <v>2603</v>
      </c>
      <c r="F324" s="1606" t="s">
        <v>2318</v>
      </c>
      <c r="G324" s="1606" t="s">
        <v>2600</v>
      </c>
      <c r="H324" s="1606" t="s">
        <v>9</v>
      </c>
      <c r="I324" s="1606" t="s">
        <v>952</v>
      </c>
    </row>
    <row r="325" spans="1:9" ht="11.25" customHeight="1">
      <c r="A325" s="1606" t="s">
        <v>2296</v>
      </c>
      <c r="B325" s="1606" t="s">
        <v>3</v>
      </c>
      <c r="C325" s="1606" t="s">
        <v>2966</v>
      </c>
      <c r="D325" s="1606" t="s">
        <v>2967</v>
      </c>
      <c r="E325" s="1606" t="s">
        <v>2968</v>
      </c>
      <c r="F325" s="1606" t="s">
        <v>2414</v>
      </c>
      <c r="G325" s="1606" t="s">
        <v>9</v>
      </c>
      <c r="H325" s="1606" t="s">
        <v>9</v>
      </c>
      <c r="I325" s="1606" t="s">
        <v>952</v>
      </c>
    </row>
    <row r="326" spans="1:9" ht="11.25" customHeight="1">
      <c r="A326" s="1606" t="s">
        <v>2296</v>
      </c>
      <c r="B326" s="1606" t="s">
        <v>3</v>
      </c>
      <c r="C326" s="1606" t="s">
        <v>2969</v>
      </c>
      <c r="D326" s="1606" t="s">
        <v>2970</v>
      </c>
      <c r="E326" s="1606" t="s">
        <v>2971</v>
      </c>
      <c r="F326" s="1606" t="s">
        <v>2356</v>
      </c>
      <c r="G326" s="1606" t="s">
        <v>9</v>
      </c>
      <c r="H326" s="1606" t="s">
        <v>9</v>
      </c>
      <c r="I326" s="1606" t="s">
        <v>952</v>
      </c>
    </row>
    <row r="327" spans="1:9" ht="11.25" customHeight="1">
      <c r="A327" s="1606" t="s">
        <v>2296</v>
      </c>
      <c r="B327" s="1606" t="s">
        <v>3</v>
      </c>
      <c r="C327" s="1606" t="s">
        <v>2607</v>
      </c>
      <c r="D327" s="1606" t="s">
        <v>2608</v>
      </c>
      <c r="E327" s="1606" t="s">
        <v>2609</v>
      </c>
      <c r="F327" s="1606" t="s">
        <v>2610</v>
      </c>
      <c r="G327" s="1606" t="s">
        <v>9</v>
      </c>
      <c r="H327" s="1606" t="s">
        <v>9</v>
      </c>
      <c r="I327" s="1606" t="s">
        <v>952</v>
      </c>
    </row>
    <row r="328" spans="1:9" ht="11.25" customHeight="1">
      <c r="A328" s="1606" t="s">
        <v>2296</v>
      </c>
      <c r="B328" s="1606" t="s">
        <v>3</v>
      </c>
      <c r="C328" s="1606" t="s">
        <v>2611</v>
      </c>
      <c r="D328" s="1606" t="s">
        <v>2612</v>
      </c>
      <c r="E328" s="1606" t="s">
        <v>2613</v>
      </c>
      <c r="F328" s="1606" t="s">
        <v>2318</v>
      </c>
      <c r="G328" s="1606" t="s">
        <v>9</v>
      </c>
      <c r="H328" s="1606" t="s">
        <v>9</v>
      </c>
      <c r="I328" s="1606" t="s">
        <v>952</v>
      </c>
    </row>
    <row r="329" spans="1:9" ht="11.25" customHeight="1">
      <c r="A329" s="1606" t="s">
        <v>2296</v>
      </c>
      <c r="B329" s="1606" t="s">
        <v>3</v>
      </c>
      <c r="C329" s="1606" t="s">
        <v>2614</v>
      </c>
      <c r="D329" s="1606" t="s">
        <v>2615</v>
      </c>
      <c r="E329" s="1606" t="s">
        <v>2616</v>
      </c>
      <c r="F329" s="1606" t="s">
        <v>2318</v>
      </c>
      <c r="G329" s="1606" t="s">
        <v>9</v>
      </c>
      <c r="H329" s="1606" t="s">
        <v>9</v>
      </c>
      <c r="I329" s="1606" t="s">
        <v>952</v>
      </c>
    </row>
    <row r="330" spans="1:9" ht="11.25" customHeight="1">
      <c r="A330" s="1606" t="s">
        <v>2296</v>
      </c>
      <c r="B330" s="1606" t="s">
        <v>3</v>
      </c>
      <c r="C330" s="1606" t="s">
        <v>2617</v>
      </c>
      <c r="D330" s="1606" t="s">
        <v>2618</v>
      </c>
      <c r="E330" s="1606" t="s">
        <v>2619</v>
      </c>
      <c r="F330" s="1606" t="s">
        <v>2318</v>
      </c>
      <c r="G330" s="1606" t="s">
        <v>9</v>
      </c>
      <c r="H330" s="1606" t="s">
        <v>9</v>
      </c>
      <c r="I330" s="1606" t="s">
        <v>952</v>
      </c>
    </row>
    <row r="331" spans="1:9" ht="11.25" customHeight="1">
      <c r="A331" s="1606" t="s">
        <v>2296</v>
      </c>
      <c r="B331" s="1606" t="s">
        <v>3</v>
      </c>
      <c r="C331" s="1606" t="s">
        <v>2623</v>
      </c>
      <c r="D331" s="1606" t="s">
        <v>2624</v>
      </c>
      <c r="E331" s="1606" t="s">
        <v>2625</v>
      </c>
      <c r="F331" s="1606" t="s">
        <v>2318</v>
      </c>
      <c r="G331" s="1606" t="s">
        <v>9</v>
      </c>
      <c r="H331" s="1606" t="s">
        <v>9</v>
      </c>
      <c r="I331" s="1606" t="s">
        <v>952</v>
      </c>
    </row>
    <row r="332" spans="1:9" ht="11.25" customHeight="1">
      <c r="A332" s="1606" t="s">
        <v>2296</v>
      </c>
      <c r="B332" s="1606" t="s">
        <v>3</v>
      </c>
      <c r="C332" s="1606" t="s">
        <v>2629</v>
      </c>
      <c r="D332" s="1606" t="s">
        <v>2627</v>
      </c>
      <c r="E332" s="1606" t="s">
        <v>2630</v>
      </c>
      <c r="F332" s="1606" t="s">
        <v>2610</v>
      </c>
      <c r="G332" s="1606" t="s">
        <v>9</v>
      </c>
      <c r="H332" s="1606" t="s">
        <v>9</v>
      </c>
      <c r="I332" s="1606" t="s">
        <v>952</v>
      </c>
    </row>
    <row r="333" spans="1:9" ht="11.25" customHeight="1">
      <c r="A333" s="1606" t="s">
        <v>2296</v>
      </c>
      <c r="B333" s="1606" t="s">
        <v>3</v>
      </c>
      <c r="C333" s="1606" t="s">
        <v>2631</v>
      </c>
      <c r="D333" s="1606" t="s">
        <v>2632</v>
      </c>
      <c r="E333" s="1606" t="s">
        <v>2633</v>
      </c>
      <c r="F333" s="1606" t="s">
        <v>2318</v>
      </c>
      <c r="G333" s="1606" t="s">
        <v>9</v>
      </c>
      <c r="H333" s="1606" t="s">
        <v>9</v>
      </c>
      <c r="I333" s="1606" t="s">
        <v>952</v>
      </c>
    </row>
    <row r="334" spans="1:9" ht="11.25" customHeight="1">
      <c r="A334" s="1606" t="s">
        <v>2296</v>
      </c>
      <c r="B334" s="1606" t="s">
        <v>3</v>
      </c>
      <c r="C334" s="1606" t="s">
        <v>2972</v>
      </c>
      <c r="D334" s="1606" t="s">
        <v>2973</v>
      </c>
      <c r="E334" s="1606" t="s">
        <v>2974</v>
      </c>
      <c r="F334" s="1606" t="s">
        <v>2487</v>
      </c>
      <c r="G334" s="1606" t="s">
        <v>9</v>
      </c>
      <c r="H334" s="1606" t="s">
        <v>9</v>
      </c>
      <c r="I334" s="1606" t="s">
        <v>952</v>
      </c>
    </row>
    <row r="335" spans="1:9" ht="11.25" customHeight="1">
      <c r="A335" s="1606" t="s">
        <v>2296</v>
      </c>
      <c r="B335" s="1606" t="s">
        <v>3</v>
      </c>
      <c r="C335" s="1606" t="s">
        <v>2975</v>
      </c>
      <c r="D335" s="1606" t="s">
        <v>2976</v>
      </c>
      <c r="E335" s="1606" t="s">
        <v>2977</v>
      </c>
      <c r="F335" s="1606" t="s">
        <v>2328</v>
      </c>
      <c r="G335" s="1606" t="s">
        <v>9</v>
      </c>
      <c r="H335" s="1606" t="s">
        <v>9</v>
      </c>
      <c r="I335" s="1606" t="s">
        <v>952</v>
      </c>
    </row>
    <row r="336" spans="1:9" ht="11.25" customHeight="1">
      <c r="A336" s="1606" t="s">
        <v>2296</v>
      </c>
      <c r="B336" s="1606" t="s">
        <v>3</v>
      </c>
      <c r="C336" s="1606" t="s">
        <v>2634</v>
      </c>
      <c r="D336" s="1606" t="s">
        <v>2635</v>
      </c>
      <c r="E336" s="1606" t="s">
        <v>2636</v>
      </c>
      <c r="F336" s="1606" t="s">
        <v>2356</v>
      </c>
      <c r="G336" s="1606" t="s">
        <v>9</v>
      </c>
      <c r="H336" s="1606" t="s">
        <v>9</v>
      </c>
      <c r="I336" s="1606" t="s">
        <v>952</v>
      </c>
    </row>
    <row r="337" spans="1:9" ht="11.25" customHeight="1">
      <c r="A337" s="1606" t="s">
        <v>2296</v>
      </c>
      <c r="B337" s="1606" t="s">
        <v>3</v>
      </c>
      <c r="C337" s="1606" t="s">
        <v>2978</v>
      </c>
      <c r="D337" s="1606" t="s">
        <v>2979</v>
      </c>
      <c r="E337" s="1606" t="s">
        <v>2980</v>
      </c>
      <c r="F337" s="1606" t="s">
        <v>2328</v>
      </c>
      <c r="G337" s="1606" t="s">
        <v>2981</v>
      </c>
      <c r="H337" s="1606" t="s">
        <v>9</v>
      </c>
      <c r="I337" s="1606" t="s">
        <v>952</v>
      </c>
    </row>
    <row r="338" spans="1:9" ht="11.25" customHeight="1">
      <c r="A338" s="1606" t="s">
        <v>2296</v>
      </c>
      <c r="B338" s="1606" t="s">
        <v>3</v>
      </c>
      <c r="C338" s="1606" t="s">
        <v>2982</v>
      </c>
      <c r="D338" s="1606" t="s">
        <v>2983</v>
      </c>
      <c r="E338" s="1606" t="s">
        <v>2984</v>
      </c>
      <c r="F338" s="1606" t="s">
        <v>2487</v>
      </c>
      <c r="G338" s="1606" t="s">
        <v>9</v>
      </c>
      <c r="H338" s="1606" t="s">
        <v>9</v>
      </c>
      <c r="I338" s="1606" t="s">
        <v>952</v>
      </c>
    </row>
    <row r="339" spans="1:9" ht="11.25" customHeight="1">
      <c r="A339" s="1606" t="s">
        <v>2296</v>
      </c>
      <c r="B339" s="1606" t="s">
        <v>3</v>
      </c>
      <c r="C339" s="1606" t="s">
        <v>2643</v>
      </c>
      <c r="D339" s="1606" t="s">
        <v>2644</v>
      </c>
      <c r="E339" s="1606" t="s">
        <v>2645</v>
      </c>
      <c r="F339" s="1606" t="s">
        <v>2487</v>
      </c>
      <c r="G339" s="1606" t="s">
        <v>9</v>
      </c>
      <c r="H339" s="1606" t="s">
        <v>9</v>
      </c>
      <c r="I339" s="1606" t="s">
        <v>952</v>
      </c>
    </row>
    <row r="340" spans="1:9" ht="11.25" customHeight="1">
      <c r="A340" s="1606" t="s">
        <v>2296</v>
      </c>
      <c r="B340" s="1606" t="s">
        <v>3</v>
      </c>
      <c r="C340" s="1606" t="s">
        <v>2646</v>
      </c>
      <c r="D340" s="1606" t="s">
        <v>2647</v>
      </c>
      <c r="E340" s="1606" t="s">
        <v>2648</v>
      </c>
      <c r="F340" s="1606" t="s">
        <v>2418</v>
      </c>
      <c r="G340" s="1606" t="s">
        <v>9</v>
      </c>
      <c r="H340" s="1606" t="s">
        <v>9</v>
      </c>
      <c r="I340" s="1606" t="s">
        <v>952</v>
      </c>
    </row>
    <row r="341" spans="1:9" ht="11.25" customHeight="1">
      <c r="A341" s="1606" t="s">
        <v>2296</v>
      </c>
      <c r="B341" s="1606" t="s">
        <v>3</v>
      </c>
      <c r="C341" s="1606" t="s">
        <v>2985</v>
      </c>
      <c r="D341" s="1606" t="s">
        <v>2986</v>
      </c>
      <c r="E341" s="1606" t="s">
        <v>2987</v>
      </c>
      <c r="F341" s="1606" t="s">
        <v>2476</v>
      </c>
      <c r="G341" s="1606" t="s">
        <v>9</v>
      </c>
      <c r="H341" s="1606" t="s">
        <v>9</v>
      </c>
      <c r="I341" s="1606" t="s">
        <v>952</v>
      </c>
    </row>
    <row r="342" spans="1:9" ht="11.25" customHeight="1">
      <c r="A342" s="1606" t="s">
        <v>2296</v>
      </c>
      <c r="B342" s="1606" t="s">
        <v>3</v>
      </c>
      <c r="C342" s="1606" t="s">
        <v>2652</v>
      </c>
      <c r="D342" s="1606" t="s">
        <v>2653</v>
      </c>
      <c r="E342" s="1606" t="s">
        <v>2654</v>
      </c>
      <c r="F342" s="1606" t="s">
        <v>2528</v>
      </c>
      <c r="G342" s="1606" t="s">
        <v>9</v>
      </c>
      <c r="H342" s="1606" t="s">
        <v>9</v>
      </c>
      <c r="I342" s="1606" t="s">
        <v>952</v>
      </c>
    </row>
    <row r="343" spans="1:9" ht="11.25" customHeight="1">
      <c r="A343" s="1606" t="s">
        <v>2296</v>
      </c>
      <c r="B343" s="1606" t="s">
        <v>3</v>
      </c>
      <c r="C343" s="1606" t="s">
        <v>2988</v>
      </c>
      <c r="D343" s="1606" t="s">
        <v>2989</v>
      </c>
      <c r="E343" s="1606" t="s">
        <v>2990</v>
      </c>
      <c r="F343" s="1606" t="s">
        <v>2418</v>
      </c>
      <c r="G343" s="1606" t="s">
        <v>9</v>
      </c>
      <c r="H343" s="1606" t="s">
        <v>9</v>
      </c>
      <c r="I343" s="1606" t="s">
        <v>952</v>
      </c>
    </row>
    <row r="344" spans="1:9" ht="11.25" customHeight="1">
      <c r="A344" s="1606" t="s">
        <v>2296</v>
      </c>
      <c r="B344" s="1606" t="s">
        <v>3</v>
      </c>
      <c r="C344" s="1606" t="s">
        <v>2991</v>
      </c>
      <c r="D344" s="1606" t="s">
        <v>2992</v>
      </c>
      <c r="E344" s="1606" t="s">
        <v>2993</v>
      </c>
      <c r="F344" s="1606" t="s">
        <v>2328</v>
      </c>
      <c r="G344" s="1606" t="s">
        <v>9</v>
      </c>
      <c r="H344" s="1606" t="s">
        <v>9</v>
      </c>
      <c r="I344" s="1606" t="s">
        <v>952</v>
      </c>
    </row>
    <row r="345" spans="1:9" ht="11.25" customHeight="1">
      <c r="A345" s="1606" t="s">
        <v>2296</v>
      </c>
      <c r="B345" s="1606" t="s">
        <v>3</v>
      </c>
      <c r="C345" s="1606" t="s">
        <v>2661</v>
      </c>
      <c r="D345" s="1606" t="s">
        <v>2662</v>
      </c>
      <c r="E345" s="1606" t="s">
        <v>2663</v>
      </c>
      <c r="F345" s="1606" t="s">
        <v>2403</v>
      </c>
      <c r="G345" s="1606" t="s">
        <v>9</v>
      </c>
      <c r="H345" s="1606" t="s">
        <v>9</v>
      </c>
      <c r="I345" s="1606" t="s">
        <v>952</v>
      </c>
    </row>
    <row r="346" spans="1:9" ht="11.25" customHeight="1">
      <c r="A346" s="1606" t="s">
        <v>2296</v>
      </c>
      <c r="B346" s="1606" t="s">
        <v>3</v>
      </c>
      <c r="C346" s="1606" t="s">
        <v>2664</v>
      </c>
      <c r="D346" s="1606" t="s">
        <v>2665</v>
      </c>
      <c r="E346" s="1606" t="s">
        <v>2666</v>
      </c>
      <c r="F346" s="1606" t="s">
        <v>2318</v>
      </c>
      <c r="G346" s="1606" t="s">
        <v>9</v>
      </c>
      <c r="H346" s="1606" t="s">
        <v>9</v>
      </c>
      <c r="I346" s="1606" t="s">
        <v>952</v>
      </c>
    </row>
    <row r="347" spans="1:9" ht="11.25" customHeight="1">
      <c r="A347" s="1606" t="s">
        <v>2296</v>
      </c>
      <c r="B347" s="1606" t="s">
        <v>3</v>
      </c>
      <c r="C347" s="1606" t="s">
        <v>2994</v>
      </c>
      <c r="D347" s="1606" t="s">
        <v>2995</v>
      </c>
      <c r="E347" s="1606" t="s">
        <v>2996</v>
      </c>
      <c r="F347" s="1606" t="s">
        <v>2476</v>
      </c>
      <c r="G347" s="1606" t="s">
        <v>9</v>
      </c>
      <c r="H347" s="1606" t="s">
        <v>9</v>
      </c>
      <c r="I347" s="1606" t="s">
        <v>952</v>
      </c>
    </row>
    <row r="348" spans="1:9" ht="11.25" customHeight="1">
      <c r="A348" s="1606" t="s">
        <v>2296</v>
      </c>
      <c r="B348" s="1606" t="s">
        <v>3</v>
      </c>
      <c r="C348" s="1606" t="s">
        <v>2673</v>
      </c>
      <c r="D348" s="1606" t="s">
        <v>2674</v>
      </c>
      <c r="E348" s="1606" t="s">
        <v>2675</v>
      </c>
      <c r="F348" s="1606" t="s">
        <v>2476</v>
      </c>
      <c r="G348" s="1606" t="s">
        <v>9</v>
      </c>
      <c r="H348" s="1606" t="s">
        <v>9</v>
      </c>
      <c r="I348" s="1606" t="s">
        <v>952</v>
      </c>
    </row>
    <row r="349" spans="1:9" ht="11.25" customHeight="1">
      <c r="A349" s="1606" t="s">
        <v>2296</v>
      </c>
      <c r="B349" s="1606" t="s">
        <v>3</v>
      </c>
      <c r="C349" s="1606" t="s">
        <v>2676</v>
      </c>
      <c r="D349" s="1606" t="s">
        <v>2677</v>
      </c>
      <c r="E349" s="1606" t="s">
        <v>2678</v>
      </c>
      <c r="F349" s="1606" t="s">
        <v>2418</v>
      </c>
      <c r="G349" s="1606" t="s">
        <v>9</v>
      </c>
      <c r="H349" s="1606" t="s">
        <v>9</v>
      </c>
      <c r="I349" s="1606" t="s">
        <v>952</v>
      </c>
    </row>
    <row r="350" spans="1:9" ht="11.25" customHeight="1">
      <c r="A350" s="1606" t="s">
        <v>2296</v>
      </c>
      <c r="B350" s="1606" t="s">
        <v>3</v>
      </c>
      <c r="C350" s="1606" t="s">
        <v>2997</v>
      </c>
      <c r="D350" s="1606" t="s">
        <v>2998</v>
      </c>
      <c r="E350" s="1606" t="s">
        <v>2999</v>
      </c>
      <c r="F350" s="1606" t="s">
        <v>2414</v>
      </c>
      <c r="G350" s="1606" t="s">
        <v>9</v>
      </c>
      <c r="H350" s="1606" t="s">
        <v>9</v>
      </c>
      <c r="I350" s="1606" t="s">
        <v>952</v>
      </c>
    </row>
    <row r="351" spans="1:9" ht="11.25" customHeight="1">
      <c r="A351" s="1606" t="s">
        <v>2296</v>
      </c>
      <c r="B351" s="1606" t="s">
        <v>3</v>
      </c>
      <c r="C351" s="1606" t="s">
        <v>3000</v>
      </c>
      <c r="D351" s="1606" t="s">
        <v>3001</v>
      </c>
      <c r="E351" s="1606" t="s">
        <v>3002</v>
      </c>
      <c r="F351" s="1606" t="s">
        <v>2403</v>
      </c>
      <c r="G351" s="1606" t="s">
        <v>9</v>
      </c>
      <c r="H351" s="1606" t="s">
        <v>9</v>
      </c>
      <c r="I351" s="1606" t="s">
        <v>952</v>
      </c>
    </row>
    <row r="352" spans="1:9" ht="11.25" customHeight="1">
      <c r="A352" s="1606" t="s">
        <v>2296</v>
      </c>
      <c r="B352" s="1606" t="s">
        <v>3</v>
      </c>
      <c r="C352" s="1606" t="s">
        <v>3003</v>
      </c>
      <c r="D352" s="1606" t="s">
        <v>3004</v>
      </c>
      <c r="E352" s="1606" t="s">
        <v>3005</v>
      </c>
      <c r="F352" s="1606" t="s">
        <v>2385</v>
      </c>
      <c r="G352" s="1606" t="s">
        <v>9</v>
      </c>
      <c r="H352" s="1606" t="s">
        <v>9</v>
      </c>
      <c r="I352" s="1606" t="s">
        <v>952</v>
      </c>
    </row>
    <row r="353" spans="1:9" ht="11.25" customHeight="1">
      <c r="A353" s="1606" t="s">
        <v>2296</v>
      </c>
      <c r="B353" s="1606" t="s">
        <v>3</v>
      </c>
      <c r="C353" s="1606" t="s">
        <v>2713</v>
      </c>
      <c r="D353" s="1606" t="s">
        <v>2714</v>
      </c>
      <c r="E353" s="1606" t="s">
        <v>2715</v>
      </c>
      <c r="F353" s="1606" t="s">
        <v>2343</v>
      </c>
      <c r="G353" s="1606" t="s">
        <v>9</v>
      </c>
      <c r="H353" s="1606" t="s">
        <v>9</v>
      </c>
      <c r="I353" s="1606" t="s">
        <v>952</v>
      </c>
    </row>
    <row r="354" spans="1:9" ht="11.25" customHeight="1">
      <c r="A354" s="1606" t="s">
        <v>2296</v>
      </c>
      <c r="B354" s="1606" t="s">
        <v>3</v>
      </c>
      <c r="C354" s="1606" t="s">
        <v>3006</v>
      </c>
      <c r="D354" s="1606" t="s">
        <v>3007</v>
      </c>
      <c r="E354" s="1606" t="s">
        <v>3008</v>
      </c>
      <c r="F354" s="1606" t="s">
        <v>2528</v>
      </c>
      <c r="G354" s="1606" t="s">
        <v>9</v>
      </c>
      <c r="H354" s="1606" t="s">
        <v>9</v>
      </c>
      <c r="I354" s="1606" t="s">
        <v>952</v>
      </c>
    </row>
    <row r="355" spans="1:9" ht="11.25" customHeight="1">
      <c r="A355" s="1606" t="s">
        <v>2296</v>
      </c>
      <c r="B355" s="1606" t="s">
        <v>3</v>
      </c>
      <c r="C355" s="1606" t="s">
        <v>2729</v>
      </c>
      <c r="D355" s="1606" t="s">
        <v>2730</v>
      </c>
      <c r="E355" s="1606" t="s">
        <v>2731</v>
      </c>
      <c r="F355" s="1606" t="s">
        <v>2414</v>
      </c>
      <c r="G355" s="1606" t="s">
        <v>9</v>
      </c>
      <c r="H355" s="1606" t="s">
        <v>9</v>
      </c>
      <c r="I355" s="1606" t="s">
        <v>952</v>
      </c>
    </row>
    <row r="356" spans="1:9" ht="11.25" customHeight="1">
      <c r="A356" s="1606" t="s">
        <v>2296</v>
      </c>
      <c r="B356" s="1606" t="s">
        <v>3</v>
      </c>
      <c r="C356" s="1606" t="s">
        <v>2732</v>
      </c>
      <c r="D356" s="1606" t="s">
        <v>2733</v>
      </c>
      <c r="E356" s="1606" t="s">
        <v>2734</v>
      </c>
      <c r="F356" s="1606" t="s">
        <v>2414</v>
      </c>
      <c r="G356" s="1606" t="s">
        <v>9</v>
      </c>
      <c r="H356" s="1606" t="s">
        <v>9</v>
      </c>
      <c r="I356" s="1606" t="s">
        <v>952</v>
      </c>
    </row>
    <row r="357" spans="1:9" ht="11.25" customHeight="1">
      <c r="A357" s="1606" t="s">
        <v>2296</v>
      </c>
      <c r="B357" s="1606" t="s">
        <v>3</v>
      </c>
      <c r="C357" s="1606" t="s">
        <v>3009</v>
      </c>
      <c r="D357" s="1606" t="s">
        <v>3010</v>
      </c>
      <c r="E357" s="1606" t="s">
        <v>3011</v>
      </c>
      <c r="F357" s="1606" t="s">
        <v>2418</v>
      </c>
      <c r="G357" s="1606" t="s">
        <v>3012</v>
      </c>
      <c r="H357" s="1606" t="s">
        <v>9</v>
      </c>
      <c r="I357" s="1606" t="s">
        <v>952</v>
      </c>
    </row>
    <row r="358" spans="1:9" ht="11.25" customHeight="1">
      <c r="A358" s="1606" t="s">
        <v>2296</v>
      </c>
      <c r="B358" s="1606" t="s">
        <v>3</v>
      </c>
      <c r="C358" s="1606" t="s">
        <v>2739</v>
      </c>
      <c r="D358" s="1606" t="s">
        <v>2740</v>
      </c>
      <c r="E358" s="1606" t="s">
        <v>2741</v>
      </c>
      <c r="F358" s="1606" t="s">
        <v>2742</v>
      </c>
      <c r="G358" s="1606" t="s">
        <v>9</v>
      </c>
      <c r="H358" s="1606" t="s">
        <v>9</v>
      </c>
      <c r="I358" s="1606" t="s">
        <v>952</v>
      </c>
    </row>
    <row r="359" spans="1:9" ht="11.25" customHeight="1">
      <c r="A359" s="1606" t="s">
        <v>2296</v>
      </c>
      <c r="B359" s="1606" t="s">
        <v>3</v>
      </c>
      <c r="C359" s="1606" t="s">
        <v>3013</v>
      </c>
      <c r="D359" s="1606" t="s">
        <v>3014</v>
      </c>
      <c r="E359" s="1606" t="s">
        <v>3015</v>
      </c>
      <c r="F359" s="1606" t="s">
        <v>37</v>
      </c>
      <c r="G359" s="1606" t="s">
        <v>3016</v>
      </c>
      <c r="H359" s="1606" t="s">
        <v>9</v>
      </c>
      <c r="I359" s="1606" t="s">
        <v>952</v>
      </c>
    </row>
    <row r="360" spans="1:9" ht="11.25" customHeight="1">
      <c r="A360" s="1606" t="s">
        <v>2296</v>
      </c>
      <c r="B360" s="1606" t="s">
        <v>3</v>
      </c>
      <c r="C360" s="1606" t="s">
        <v>2743</v>
      </c>
      <c r="D360" s="1606" t="s">
        <v>2744</v>
      </c>
      <c r="E360" s="1606" t="s">
        <v>2745</v>
      </c>
      <c r="F360" s="1606" t="s">
        <v>2746</v>
      </c>
      <c r="G360" s="1606" t="s">
        <v>9</v>
      </c>
      <c r="H360" s="1606" t="s">
        <v>9</v>
      </c>
      <c r="I360" s="1606" t="s">
        <v>952</v>
      </c>
    </row>
    <row r="361" spans="1:9" ht="11.25" customHeight="1">
      <c r="A361" s="1606" t="s">
        <v>2296</v>
      </c>
      <c r="B361" s="1606" t="s">
        <v>3</v>
      </c>
      <c r="C361" s="1606" t="s">
        <v>2802</v>
      </c>
      <c r="D361" s="1606" t="s">
        <v>2744</v>
      </c>
      <c r="E361" s="1606" t="s">
        <v>2745</v>
      </c>
      <c r="F361" s="1606" t="s">
        <v>2803</v>
      </c>
      <c r="G361" s="1606" t="s">
        <v>9</v>
      </c>
      <c r="H361" s="1606" t="s">
        <v>9</v>
      </c>
      <c r="I361" s="1606" t="s">
        <v>952</v>
      </c>
    </row>
    <row r="362" spans="1:9" ht="11.25" customHeight="1">
      <c r="A362" s="1606" t="s">
        <v>2296</v>
      </c>
      <c r="B362" s="1606" t="s">
        <v>3</v>
      </c>
      <c r="C362" s="1606" t="s">
        <v>3017</v>
      </c>
      <c r="D362" s="1606" t="s">
        <v>3018</v>
      </c>
      <c r="E362" s="1606" t="s">
        <v>3019</v>
      </c>
      <c r="F362" s="1606" t="s">
        <v>2528</v>
      </c>
      <c r="G362" s="1606" t="s">
        <v>9</v>
      </c>
      <c r="H362" s="1606" t="s">
        <v>9</v>
      </c>
      <c r="I362" s="1606" t="s">
        <v>952</v>
      </c>
    </row>
    <row r="363" spans="1:9" ht="11.25" customHeight="1">
      <c r="A363" s="1606" t="s">
        <v>2296</v>
      </c>
      <c r="B363" s="1606" t="s">
        <v>3</v>
      </c>
      <c r="C363" s="1606" t="s">
        <v>3020</v>
      </c>
      <c r="D363" s="1606" t="s">
        <v>3021</v>
      </c>
      <c r="E363" s="1606" t="s">
        <v>3022</v>
      </c>
      <c r="F363" s="1606" t="s">
        <v>37</v>
      </c>
      <c r="G363" s="1606" t="s">
        <v>9</v>
      </c>
      <c r="H363" s="1606" t="s">
        <v>9</v>
      </c>
      <c r="I363" s="1606" t="s">
        <v>952</v>
      </c>
    </row>
    <row r="364" spans="1:9" ht="11.25" customHeight="1">
      <c r="A364" s="1606" t="s">
        <v>2296</v>
      </c>
      <c r="B364" s="1606" t="s">
        <v>3</v>
      </c>
      <c r="C364" s="1606" t="s">
        <v>3023</v>
      </c>
      <c r="D364" s="1606" t="s">
        <v>3024</v>
      </c>
      <c r="E364" s="1606" t="s">
        <v>3025</v>
      </c>
      <c r="F364" s="1606" t="s">
        <v>2448</v>
      </c>
      <c r="G364" s="1606" t="s">
        <v>9</v>
      </c>
      <c r="H364" s="1606" t="s">
        <v>9</v>
      </c>
      <c r="I364" s="1606" t="s">
        <v>952</v>
      </c>
    </row>
    <row r="365" spans="1:9" ht="11.25" customHeight="1">
      <c r="A365" s="1606" t="s">
        <v>2296</v>
      </c>
      <c r="B365" s="1606" t="s">
        <v>3</v>
      </c>
      <c r="C365" s="1606" t="s">
        <v>3026</v>
      </c>
      <c r="D365" s="1606" t="s">
        <v>3027</v>
      </c>
      <c r="E365" s="1606" t="s">
        <v>3028</v>
      </c>
      <c r="F365" s="1606" t="s">
        <v>2318</v>
      </c>
      <c r="G365" s="1606" t="s">
        <v>9</v>
      </c>
      <c r="H365" s="1606" t="s">
        <v>9</v>
      </c>
      <c r="I365" s="1606" t="s">
        <v>952</v>
      </c>
    </row>
    <row r="366" spans="1:9" ht="11.25" customHeight="1">
      <c r="A366" s="1606" t="s">
        <v>2296</v>
      </c>
      <c r="B366" s="1606" t="s">
        <v>3</v>
      </c>
      <c r="C366" s="1606" t="s">
        <v>2750</v>
      </c>
      <c r="D366" s="1606" t="s">
        <v>2751</v>
      </c>
      <c r="E366" s="1606" t="s">
        <v>2752</v>
      </c>
      <c r="F366" s="1606" t="s">
        <v>2318</v>
      </c>
      <c r="G366" s="1606" t="s">
        <v>9</v>
      </c>
      <c r="H366" s="1606" t="s">
        <v>9</v>
      </c>
      <c r="I366" s="1606" t="s">
        <v>952</v>
      </c>
    </row>
    <row r="367" spans="1:9" ht="11.25" customHeight="1">
      <c r="A367" s="1606" t="s">
        <v>2296</v>
      </c>
      <c r="B367" s="1606" t="s">
        <v>3</v>
      </c>
      <c r="C367" s="1606" t="s">
        <v>3029</v>
      </c>
      <c r="D367" s="1606" t="s">
        <v>3030</v>
      </c>
      <c r="E367" s="1606" t="s">
        <v>3031</v>
      </c>
      <c r="F367" s="1606" t="s">
        <v>2476</v>
      </c>
      <c r="G367" s="1606" t="s">
        <v>9</v>
      </c>
      <c r="H367" s="1606" t="s">
        <v>9</v>
      </c>
      <c r="I367" s="1606" t="s">
        <v>952</v>
      </c>
    </row>
    <row r="368" spans="1:9" ht="11.25" customHeight="1">
      <c r="A368" s="1606" t="s">
        <v>2296</v>
      </c>
      <c r="B368" s="1606" t="s">
        <v>3</v>
      </c>
      <c r="C368" s="1606" t="s">
        <v>2765</v>
      </c>
      <c r="D368" s="1606" t="s">
        <v>2766</v>
      </c>
      <c r="E368" s="1606" t="s">
        <v>2767</v>
      </c>
      <c r="F368" s="1606" t="s">
        <v>2332</v>
      </c>
      <c r="G368" s="1606" t="s">
        <v>9</v>
      </c>
      <c r="H368" s="1606" t="s">
        <v>9</v>
      </c>
      <c r="I368" s="1606" t="s">
        <v>952</v>
      </c>
    </row>
    <row r="369" spans="1:9" ht="11.25" customHeight="1">
      <c r="A369" s="1606" t="s">
        <v>2296</v>
      </c>
      <c r="B369" s="1606" t="s">
        <v>3</v>
      </c>
      <c r="C369" s="1606" t="s">
        <v>2768</v>
      </c>
      <c r="D369" s="1606" t="s">
        <v>2769</v>
      </c>
      <c r="E369" s="1606" t="s">
        <v>2770</v>
      </c>
      <c r="F369" s="1606" t="s">
        <v>2771</v>
      </c>
      <c r="G369" s="1606" t="s">
        <v>9</v>
      </c>
      <c r="H369" s="1606" t="s">
        <v>9</v>
      </c>
      <c r="I369" s="1606" t="s">
        <v>952</v>
      </c>
    </row>
    <row r="370" spans="1:9" ht="11.25" customHeight="1">
      <c r="A370" s="1606" t="s">
        <v>2296</v>
      </c>
      <c r="B370" s="1606" t="s">
        <v>3</v>
      </c>
      <c r="C370" s="1606" t="s">
        <v>2776</v>
      </c>
      <c r="D370" s="1606" t="s">
        <v>2777</v>
      </c>
      <c r="E370" s="1606" t="s">
        <v>2778</v>
      </c>
      <c r="F370" s="1606" t="s">
        <v>2528</v>
      </c>
      <c r="G370" s="1606" t="s">
        <v>9</v>
      </c>
      <c r="H370" s="1606" t="s">
        <v>9</v>
      </c>
      <c r="I370" s="1606" t="s">
        <v>952</v>
      </c>
    </row>
    <row r="371" spans="1:9" ht="11.25" customHeight="1">
      <c r="A371" s="1606" t="s">
        <v>2296</v>
      </c>
      <c r="B371" s="1606" t="s">
        <v>3</v>
      </c>
      <c r="C371" s="1606" t="s">
        <v>2779</v>
      </c>
      <c r="D371" s="1606" t="s">
        <v>2780</v>
      </c>
      <c r="E371" s="1606" t="s">
        <v>2781</v>
      </c>
      <c r="F371" s="1606" t="s">
        <v>2528</v>
      </c>
      <c r="G371" s="1606" t="s">
        <v>9</v>
      </c>
      <c r="H371" s="1606" t="s">
        <v>9</v>
      </c>
      <c r="I371" s="1606" t="s">
        <v>952</v>
      </c>
    </row>
    <row r="372" spans="1:9" ht="11.25" customHeight="1">
      <c r="A372" s="1606" t="s">
        <v>2296</v>
      </c>
      <c r="B372" s="1606" t="s">
        <v>3</v>
      </c>
      <c r="C372" s="1606" t="s">
        <v>2782</v>
      </c>
      <c r="D372" s="1606" t="s">
        <v>2783</v>
      </c>
      <c r="E372" s="1606" t="s">
        <v>2784</v>
      </c>
      <c r="F372" s="1606" t="s">
        <v>2318</v>
      </c>
      <c r="G372" s="1606" t="s">
        <v>9</v>
      </c>
      <c r="H372" s="1606" t="s">
        <v>9</v>
      </c>
      <c r="I372" s="1606" t="s">
        <v>952</v>
      </c>
    </row>
    <row r="373" spans="1:9" ht="11.25" customHeight="1">
      <c r="A373" s="1606" t="s">
        <v>2296</v>
      </c>
      <c r="B373" s="1606" t="s">
        <v>3</v>
      </c>
      <c r="C373" s="1606" t="s">
        <v>2789</v>
      </c>
      <c r="D373" s="1606" t="s">
        <v>2790</v>
      </c>
      <c r="E373" s="1606" t="s">
        <v>2791</v>
      </c>
      <c r="F373" s="1606" t="s">
        <v>2746</v>
      </c>
      <c r="G373" s="1606" t="s">
        <v>9</v>
      </c>
      <c r="H373" s="1606" t="s">
        <v>9</v>
      </c>
      <c r="I373" s="1606" t="s">
        <v>952</v>
      </c>
    </row>
    <row r="374" spans="1:9" ht="11.25" customHeight="1">
      <c r="A374" s="1606" t="s">
        <v>2296</v>
      </c>
      <c r="B374" s="1606" t="s">
        <v>3</v>
      </c>
      <c r="C374" s="1606" t="s">
        <v>2792</v>
      </c>
      <c r="D374" s="1606" t="s">
        <v>2793</v>
      </c>
      <c r="E374" s="1606" t="s">
        <v>2794</v>
      </c>
      <c r="F374" s="1606" t="s">
        <v>2795</v>
      </c>
      <c r="G374" s="1606" t="s">
        <v>9</v>
      </c>
      <c r="H374" s="1606" t="s">
        <v>9</v>
      </c>
      <c r="I374" s="1606" t="s">
        <v>952</v>
      </c>
    </row>
    <row r="375" spans="1:9" ht="11.25" customHeight="1">
      <c r="A375" s="1606" t="s">
        <v>2296</v>
      </c>
      <c r="B375" s="1606" t="s">
        <v>3</v>
      </c>
      <c r="C375" s="1606" t="s">
        <v>2799</v>
      </c>
      <c r="D375" s="1606" t="s">
        <v>2800</v>
      </c>
      <c r="E375" s="1606" t="s">
        <v>2764</v>
      </c>
      <c r="F375" s="1606" t="s">
        <v>2801</v>
      </c>
      <c r="G375" s="1606" t="s">
        <v>9</v>
      </c>
      <c r="H375" s="1606" t="s">
        <v>9</v>
      </c>
      <c r="I375" s="1606" t="s">
        <v>952</v>
      </c>
    </row>
    <row r="376" spans="1:9" ht="11.25" customHeight="1">
      <c r="A376" s="1606" t="s">
        <v>2296</v>
      </c>
      <c r="B376" s="1606" t="s">
        <v>3</v>
      </c>
      <c r="C376" s="1606" t="s">
        <v>3032</v>
      </c>
      <c r="D376" s="1606" t="s">
        <v>3033</v>
      </c>
      <c r="E376" s="1606" t="s">
        <v>3034</v>
      </c>
      <c r="F376" s="1606" t="s">
        <v>2328</v>
      </c>
      <c r="G376" s="1606" t="s">
        <v>9</v>
      </c>
      <c r="H376" s="1606" t="s">
        <v>9</v>
      </c>
      <c r="I376" s="1606" t="s">
        <v>960</v>
      </c>
    </row>
    <row r="377" spans="1:9" ht="11.25" customHeight="1">
      <c r="A377" s="1606" t="s">
        <v>2296</v>
      </c>
      <c r="B377" s="1606" t="s">
        <v>3</v>
      </c>
      <c r="C377" s="1606" t="s">
        <v>2297</v>
      </c>
      <c r="D377" s="1606" t="s">
        <v>2298</v>
      </c>
      <c r="E377" s="1606" t="s">
        <v>2299</v>
      </c>
      <c r="F377" s="1606" t="s">
        <v>2300</v>
      </c>
      <c r="G377" s="1606" t="s">
        <v>9</v>
      </c>
      <c r="H377" s="1606" t="s">
        <v>9</v>
      </c>
      <c r="I377" s="1606" t="s">
        <v>960</v>
      </c>
    </row>
    <row r="378" spans="1:9" ht="11.25" customHeight="1">
      <c r="A378" s="1606" t="s">
        <v>2296</v>
      </c>
      <c r="B378" s="1606" t="s">
        <v>3</v>
      </c>
      <c r="C378" s="1606" t="s">
        <v>2301</v>
      </c>
      <c r="D378" s="1606" t="s">
        <v>2298</v>
      </c>
      <c r="E378" s="1606" t="s">
        <v>2299</v>
      </c>
      <c r="F378" s="1606" t="s">
        <v>2302</v>
      </c>
      <c r="G378" s="1606" t="s">
        <v>9</v>
      </c>
      <c r="H378" s="1606" t="s">
        <v>9</v>
      </c>
      <c r="I378" s="1606" t="s">
        <v>960</v>
      </c>
    </row>
    <row r="379" spans="1:9" ht="11.25" customHeight="1">
      <c r="A379" s="1606" t="s">
        <v>2296</v>
      </c>
      <c r="B379" s="1606" t="s">
        <v>3</v>
      </c>
      <c r="C379" s="1606" t="s">
        <v>3035</v>
      </c>
      <c r="D379" s="1606" t="s">
        <v>3036</v>
      </c>
      <c r="E379" s="1606" t="s">
        <v>3037</v>
      </c>
      <c r="F379" s="1606" t="s">
        <v>3038</v>
      </c>
      <c r="G379" s="1606" t="s">
        <v>3039</v>
      </c>
      <c r="H379" s="1606" t="s">
        <v>9</v>
      </c>
      <c r="I379" s="1606" t="s">
        <v>960</v>
      </c>
    </row>
    <row r="380" spans="1:9" ht="11.25" customHeight="1">
      <c r="A380" s="1606" t="s">
        <v>2296</v>
      </c>
      <c r="B380" s="1606" t="s">
        <v>3</v>
      </c>
      <c r="C380" s="1606" t="s">
        <v>2303</v>
      </c>
      <c r="D380" s="1606" t="s">
        <v>2304</v>
      </c>
      <c r="E380" s="1606" t="s">
        <v>2305</v>
      </c>
      <c r="F380" s="1606" t="s">
        <v>2306</v>
      </c>
      <c r="G380" s="1606" t="s">
        <v>9</v>
      </c>
      <c r="H380" s="1606" t="s">
        <v>9</v>
      </c>
      <c r="I380" s="1606" t="s">
        <v>960</v>
      </c>
    </row>
    <row r="381" spans="1:9" ht="11.25" customHeight="1">
      <c r="A381" s="1606" t="s">
        <v>2296</v>
      </c>
      <c r="B381" s="1606" t="s">
        <v>3</v>
      </c>
      <c r="C381" s="1606" t="s">
        <v>2315</v>
      </c>
      <c r="D381" s="1606" t="s">
        <v>2316</v>
      </c>
      <c r="E381" s="1606" t="s">
        <v>2317</v>
      </c>
      <c r="F381" s="1606" t="s">
        <v>2318</v>
      </c>
      <c r="G381" s="1606" t="s">
        <v>9</v>
      </c>
      <c r="H381" s="1606" t="s">
        <v>9</v>
      </c>
      <c r="I381" s="1606" t="s">
        <v>960</v>
      </c>
    </row>
    <row r="382" spans="1:9" ht="11.25" customHeight="1">
      <c r="A382" s="1606" t="s">
        <v>2296</v>
      </c>
      <c r="B382" s="1606" t="s">
        <v>3</v>
      </c>
      <c r="C382" s="1606" t="s">
        <v>2325</v>
      </c>
      <c r="D382" s="1606" t="s">
        <v>2326</v>
      </c>
      <c r="E382" s="1606" t="s">
        <v>2327</v>
      </c>
      <c r="F382" s="1606" t="s">
        <v>2328</v>
      </c>
      <c r="G382" s="1606" t="s">
        <v>9</v>
      </c>
      <c r="H382" s="1606" t="s">
        <v>9</v>
      </c>
      <c r="I382" s="1606" t="s">
        <v>960</v>
      </c>
    </row>
    <row r="383" spans="1:9" ht="11.25" customHeight="1">
      <c r="A383" s="1606" t="s">
        <v>2296</v>
      </c>
      <c r="B383" s="1606" t="s">
        <v>3</v>
      </c>
      <c r="C383" s="1606" t="s">
        <v>3040</v>
      </c>
      <c r="D383" s="1606" t="s">
        <v>3041</v>
      </c>
      <c r="E383" s="1606" t="s">
        <v>3042</v>
      </c>
      <c r="F383" s="1606" t="s">
        <v>2328</v>
      </c>
      <c r="G383" s="1606" t="s">
        <v>9</v>
      </c>
      <c r="H383" s="1606" t="s">
        <v>9</v>
      </c>
      <c r="I383" s="1606" t="s">
        <v>960</v>
      </c>
    </row>
    <row r="384" spans="1:9" ht="11.25" customHeight="1">
      <c r="A384" s="1606" t="s">
        <v>2296</v>
      </c>
      <c r="B384" s="1606" t="s">
        <v>3</v>
      </c>
      <c r="C384" s="1606" t="s">
        <v>2329</v>
      </c>
      <c r="D384" s="1606" t="s">
        <v>2330</v>
      </c>
      <c r="E384" s="1606" t="s">
        <v>2331</v>
      </c>
      <c r="F384" s="1606" t="s">
        <v>2332</v>
      </c>
      <c r="G384" s="1606" t="s">
        <v>9</v>
      </c>
      <c r="H384" s="1606" t="s">
        <v>9</v>
      </c>
      <c r="I384" s="1606" t="s">
        <v>960</v>
      </c>
    </row>
    <row r="385" spans="1:9" ht="11.25" customHeight="1">
      <c r="A385" s="1606" t="s">
        <v>2296</v>
      </c>
      <c r="B385" s="1606" t="s">
        <v>3</v>
      </c>
      <c r="C385" s="1606" t="s">
        <v>9</v>
      </c>
      <c r="D385" s="1606" t="s">
        <v>2398</v>
      </c>
      <c r="E385" s="1606" t="s">
        <v>2399</v>
      </c>
      <c r="F385" s="1606" t="s">
        <v>2343</v>
      </c>
      <c r="G385" s="1606" t="s">
        <v>9</v>
      </c>
      <c r="H385" s="1606" t="s">
        <v>9</v>
      </c>
      <c r="I385" s="1606" t="s">
        <v>960</v>
      </c>
    </row>
    <row r="386" spans="1:9" ht="11.25" customHeight="1">
      <c r="A386" s="1606" t="s">
        <v>2296</v>
      </c>
      <c r="B386" s="1606" t="s">
        <v>3</v>
      </c>
      <c r="C386" s="1606" t="s">
        <v>2810</v>
      </c>
      <c r="D386" s="1606" t="s">
        <v>2811</v>
      </c>
      <c r="E386" s="1606" t="s">
        <v>2812</v>
      </c>
      <c r="F386" s="1606" t="s">
        <v>2396</v>
      </c>
      <c r="G386" s="1606" t="s">
        <v>9</v>
      </c>
      <c r="H386" s="1606" t="s">
        <v>9</v>
      </c>
      <c r="I386" s="1606" t="s">
        <v>960</v>
      </c>
    </row>
    <row r="387" spans="1:9" ht="11.25" customHeight="1">
      <c r="A387" s="1606" t="s">
        <v>2296</v>
      </c>
      <c r="B387" s="1606" t="s">
        <v>3</v>
      </c>
      <c r="C387" s="1606" t="s">
        <v>2813</v>
      </c>
      <c r="D387" s="1606" t="s">
        <v>2814</v>
      </c>
      <c r="E387" s="1606" t="s">
        <v>2815</v>
      </c>
      <c r="F387" s="1606" t="s">
        <v>2528</v>
      </c>
      <c r="G387" s="1606" t="s">
        <v>2816</v>
      </c>
      <c r="H387" s="1606" t="s">
        <v>9</v>
      </c>
      <c r="I387" s="1606" t="s">
        <v>960</v>
      </c>
    </row>
    <row r="388" spans="1:9" ht="11.25" customHeight="1">
      <c r="A388" s="1606" t="s">
        <v>2296</v>
      </c>
      <c r="B388" s="1606" t="s">
        <v>3</v>
      </c>
      <c r="C388" s="1606" t="s">
        <v>2817</v>
      </c>
      <c r="D388" s="1606" t="s">
        <v>2818</v>
      </c>
      <c r="E388" s="1606" t="s">
        <v>2819</v>
      </c>
      <c r="F388" s="1606" t="s">
        <v>2476</v>
      </c>
      <c r="G388" s="1606" t="s">
        <v>9</v>
      </c>
      <c r="H388" s="1606" t="s">
        <v>9</v>
      </c>
      <c r="I388" s="1606" t="s">
        <v>960</v>
      </c>
    </row>
    <row r="389" spans="1:9" ht="11.25" customHeight="1">
      <c r="A389" s="1606" t="s">
        <v>2296</v>
      </c>
      <c r="B389" s="1606" t="s">
        <v>3</v>
      </c>
      <c r="C389" s="1606" t="s">
        <v>2820</v>
      </c>
      <c r="D389" s="1606" t="s">
        <v>2409</v>
      </c>
      <c r="E389" s="1606" t="s">
        <v>2821</v>
      </c>
      <c r="F389" s="1606" t="s">
        <v>2742</v>
      </c>
      <c r="G389" s="1606" t="s">
        <v>9</v>
      </c>
      <c r="H389" s="1606" t="s">
        <v>9</v>
      </c>
      <c r="I389" s="1606" t="s">
        <v>960</v>
      </c>
    </row>
    <row r="390" spans="1:9" ht="11.25" customHeight="1">
      <c r="A390" s="1606" t="s">
        <v>2296</v>
      </c>
      <c r="B390" s="1606" t="s">
        <v>3</v>
      </c>
      <c r="C390" s="1606" t="s">
        <v>2408</v>
      </c>
      <c r="D390" s="1606" t="s">
        <v>2409</v>
      </c>
      <c r="E390" s="1606" t="s">
        <v>2410</v>
      </c>
      <c r="F390" s="1606" t="s">
        <v>2328</v>
      </c>
      <c r="G390" s="1606" t="s">
        <v>9</v>
      </c>
      <c r="H390" s="1606" t="s">
        <v>9</v>
      </c>
      <c r="I390" s="1606" t="s">
        <v>960</v>
      </c>
    </row>
    <row r="391" spans="1:9" ht="11.25" customHeight="1">
      <c r="A391" s="1606" t="s">
        <v>2296</v>
      </c>
      <c r="B391" s="1606" t="s">
        <v>3</v>
      </c>
      <c r="C391" s="1606" t="s">
        <v>2822</v>
      </c>
      <c r="D391" s="1606" t="s">
        <v>2409</v>
      </c>
      <c r="E391" s="1606" t="s">
        <v>2823</v>
      </c>
      <c r="F391" s="1606" t="s">
        <v>2328</v>
      </c>
      <c r="G391" s="1606" t="s">
        <v>9</v>
      </c>
      <c r="H391" s="1606" t="s">
        <v>9</v>
      </c>
      <c r="I391" s="1606" t="s">
        <v>960</v>
      </c>
    </row>
    <row r="392" spans="1:9" ht="11.25" customHeight="1">
      <c r="A392" s="1606" t="s">
        <v>2296</v>
      </c>
      <c r="B392" s="1606" t="s">
        <v>3</v>
      </c>
      <c r="C392" s="1606" t="s">
        <v>2824</v>
      </c>
      <c r="D392" s="1606" t="s">
        <v>2409</v>
      </c>
      <c r="E392" s="1606" t="s">
        <v>2825</v>
      </c>
      <c r="F392" s="1606" t="s">
        <v>2528</v>
      </c>
      <c r="G392" s="1606" t="s">
        <v>9</v>
      </c>
      <c r="H392" s="1606" t="s">
        <v>9</v>
      </c>
      <c r="I392" s="1606" t="s">
        <v>960</v>
      </c>
    </row>
    <row r="393" spans="1:9" ht="11.25" customHeight="1">
      <c r="A393" s="1606" t="s">
        <v>2296</v>
      </c>
      <c r="B393" s="1606" t="s">
        <v>3</v>
      </c>
      <c r="C393" s="1606" t="s">
        <v>2826</v>
      </c>
      <c r="D393" s="1606" t="s">
        <v>2409</v>
      </c>
      <c r="E393" s="1606" t="s">
        <v>2827</v>
      </c>
      <c r="F393" s="1606" t="s">
        <v>2414</v>
      </c>
      <c r="G393" s="1606" t="s">
        <v>9</v>
      </c>
      <c r="H393" s="1606" t="s">
        <v>9</v>
      </c>
      <c r="I393" s="1606" t="s">
        <v>960</v>
      </c>
    </row>
    <row r="394" spans="1:9" ht="11.25" customHeight="1">
      <c r="A394" s="1606" t="s">
        <v>2296</v>
      </c>
      <c r="B394" s="1606" t="s">
        <v>3</v>
      </c>
      <c r="C394" s="1606" t="s">
        <v>2828</v>
      </c>
      <c r="D394" s="1606" t="s">
        <v>2829</v>
      </c>
      <c r="E394" s="1606" t="s">
        <v>2830</v>
      </c>
      <c r="F394" s="1606" t="s">
        <v>2414</v>
      </c>
      <c r="G394" s="1606" t="s">
        <v>9</v>
      </c>
      <c r="H394" s="1606" t="s">
        <v>9</v>
      </c>
      <c r="I394" s="1606" t="s">
        <v>960</v>
      </c>
    </row>
    <row r="395" spans="1:9" ht="11.25" customHeight="1">
      <c r="A395" s="1606" t="s">
        <v>2296</v>
      </c>
      <c r="B395" s="1606" t="s">
        <v>3</v>
      </c>
      <c r="C395" s="1606" t="s">
        <v>2835</v>
      </c>
      <c r="D395" s="1606" t="s">
        <v>2836</v>
      </c>
      <c r="E395" s="1606" t="s">
        <v>2837</v>
      </c>
      <c r="F395" s="1606" t="s">
        <v>2476</v>
      </c>
      <c r="G395" s="1606" t="s">
        <v>9</v>
      </c>
      <c r="H395" s="1606" t="s">
        <v>9</v>
      </c>
      <c r="I395" s="1606" t="s">
        <v>960</v>
      </c>
    </row>
    <row r="396" spans="1:9" ht="11.25" customHeight="1">
      <c r="A396" s="1606" t="s">
        <v>2296</v>
      </c>
      <c r="B396" s="1606" t="s">
        <v>3</v>
      </c>
      <c r="C396" s="1606" t="s">
        <v>2838</v>
      </c>
      <c r="D396" s="1606" t="s">
        <v>2839</v>
      </c>
      <c r="E396" s="1606" t="s">
        <v>2840</v>
      </c>
      <c r="F396" s="1606" t="s">
        <v>2476</v>
      </c>
      <c r="G396" s="1606" t="s">
        <v>9</v>
      </c>
      <c r="H396" s="1606" t="s">
        <v>9</v>
      </c>
      <c r="I396" s="1606" t="s">
        <v>960</v>
      </c>
    </row>
    <row r="397" spans="1:9" ht="11.25" customHeight="1">
      <c r="A397" s="1606" t="s">
        <v>2296</v>
      </c>
      <c r="B397" s="1606" t="s">
        <v>3</v>
      </c>
      <c r="C397" s="1606" t="s">
        <v>2841</v>
      </c>
      <c r="D397" s="1606" t="s">
        <v>2842</v>
      </c>
      <c r="E397" s="1606" t="s">
        <v>2843</v>
      </c>
      <c r="F397" s="1606" t="s">
        <v>2328</v>
      </c>
      <c r="G397" s="1606" t="s">
        <v>9</v>
      </c>
      <c r="H397" s="1606" t="s">
        <v>9</v>
      </c>
      <c r="I397" s="1606" t="s">
        <v>960</v>
      </c>
    </row>
    <row r="398" spans="1:9" ht="11.25" customHeight="1">
      <c r="A398" s="1606" t="s">
        <v>2296</v>
      </c>
      <c r="B398" s="1606" t="s">
        <v>3</v>
      </c>
      <c r="C398" s="1606" t="s">
        <v>2844</v>
      </c>
      <c r="D398" s="1606" t="s">
        <v>2845</v>
      </c>
      <c r="E398" s="1606" t="s">
        <v>2846</v>
      </c>
      <c r="F398" s="1606" t="s">
        <v>2476</v>
      </c>
      <c r="G398" s="1606" t="s">
        <v>9</v>
      </c>
      <c r="H398" s="1606" t="s">
        <v>9</v>
      </c>
      <c r="I398" s="1606" t="s">
        <v>960</v>
      </c>
    </row>
    <row r="399" spans="1:9" ht="11.25" customHeight="1">
      <c r="A399" s="1606" t="s">
        <v>2296</v>
      </c>
      <c r="B399" s="1606" t="s">
        <v>3</v>
      </c>
      <c r="C399" s="1606" t="s">
        <v>2847</v>
      </c>
      <c r="D399" s="1606" t="s">
        <v>2412</v>
      </c>
      <c r="E399" s="1606" t="s">
        <v>2848</v>
      </c>
      <c r="F399" s="1606" t="s">
        <v>2476</v>
      </c>
      <c r="G399" s="1606" t="s">
        <v>9</v>
      </c>
      <c r="H399" s="1606" t="s">
        <v>9</v>
      </c>
      <c r="I399" s="1606" t="s">
        <v>960</v>
      </c>
    </row>
    <row r="400" spans="1:9" ht="11.25" customHeight="1">
      <c r="A400" s="1606" t="s">
        <v>2296</v>
      </c>
      <c r="B400" s="1606" t="s">
        <v>3</v>
      </c>
      <c r="C400" s="1606" t="s">
        <v>2849</v>
      </c>
      <c r="D400" s="1606" t="s">
        <v>2412</v>
      </c>
      <c r="E400" s="1606" t="s">
        <v>2850</v>
      </c>
      <c r="F400" s="1606" t="s">
        <v>2528</v>
      </c>
      <c r="G400" s="1606" t="s">
        <v>9</v>
      </c>
      <c r="H400" s="1606" t="s">
        <v>9</v>
      </c>
      <c r="I400" s="1606" t="s">
        <v>960</v>
      </c>
    </row>
    <row r="401" spans="1:9" ht="11.25" customHeight="1">
      <c r="A401" s="1606" t="s">
        <v>2296</v>
      </c>
      <c r="B401" s="1606" t="s">
        <v>3</v>
      </c>
      <c r="C401" s="1606" t="s">
        <v>2411</v>
      </c>
      <c r="D401" s="1606" t="s">
        <v>2412</v>
      </c>
      <c r="E401" s="1606" t="s">
        <v>2413</v>
      </c>
      <c r="F401" s="1606" t="s">
        <v>2414</v>
      </c>
      <c r="G401" s="1606" t="s">
        <v>9</v>
      </c>
      <c r="H401" s="1606" t="s">
        <v>9</v>
      </c>
      <c r="I401" s="1606" t="s">
        <v>960</v>
      </c>
    </row>
    <row r="402" spans="1:9" ht="11.25" customHeight="1">
      <c r="A402" s="1606" t="s">
        <v>2296</v>
      </c>
      <c r="B402" s="1606" t="s">
        <v>3</v>
      </c>
      <c r="C402" s="1606" t="s">
        <v>2851</v>
      </c>
      <c r="D402" s="1606" t="s">
        <v>2852</v>
      </c>
      <c r="E402" s="1606" t="s">
        <v>2853</v>
      </c>
      <c r="F402" s="1606" t="s">
        <v>2318</v>
      </c>
      <c r="G402" s="1606" t="s">
        <v>2854</v>
      </c>
      <c r="H402" s="1606" t="s">
        <v>9</v>
      </c>
      <c r="I402" s="1606" t="s">
        <v>960</v>
      </c>
    </row>
    <row r="403" spans="1:9" ht="11.25" customHeight="1">
      <c r="A403" s="1606" t="s">
        <v>2296</v>
      </c>
      <c r="B403" s="1606" t="s">
        <v>3</v>
      </c>
      <c r="C403" s="1606" t="s">
        <v>2855</v>
      </c>
      <c r="D403" s="1606" t="s">
        <v>2856</v>
      </c>
      <c r="E403" s="1606" t="s">
        <v>2857</v>
      </c>
      <c r="F403" s="1606" t="s">
        <v>2476</v>
      </c>
      <c r="G403" s="1606" t="s">
        <v>9</v>
      </c>
      <c r="H403" s="1606" t="s">
        <v>9</v>
      </c>
      <c r="I403" s="1606" t="s">
        <v>960</v>
      </c>
    </row>
    <row r="404" spans="1:9" ht="11.25" customHeight="1">
      <c r="A404" s="1606" t="s">
        <v>2296</v>
      </c>
      <c r="B404" s="1606" t="s">
        <v>3</v>
      </c>
      <c r="C404" s="1606" t="s">
        <v>2858</v>
      </c>
      <c r="D404" s="1606" t="s">
        <v>2859</v>
      </c>
      <c r="E404" s="1606" t="s">
        <v>2860</v>
      </c>
      <c r="F404" s="1606" t="s">
        <v>2318</v>
      </c>
      <c r="G404" s="1606" t="s">
        <v>9</v>
      </c>
      <c r="H404" s="1606" t="s">
        <v>9</v>
      </c>
      <c r="I404" s="1606" t="s">
        <v>960</v>
      </c>
    </row>
    <row r="405" spans="1:9" ht="11.25" customHeight="1">
      <c r="A405" s="1606" t="s">
        <v>2296</v>
      </c>
      <c r="B405" s="1606" t="s">
        <v>3</v>
      </c>
      <c r="C405" s="1606" t="s">
        <v>2861</v>
      </c>
      <c r="D405" s="1606" t="s">
        <v>2862</v>
      </c>
      <c r="E405" s="1606" t="s">
        <v>2863</v>
      </c>
      <c r="F405" s="1606" t="s">
        <v>2864</v>
      </c>
      <c r="G405" s="1606" t="s">
        <v>9</v>
      </c>
      <c r="H405" s="1606" t="s">
        <v>2865</v>
      </c>
      <c r="I405" s="1606" t="s">
        <v>960</v>
      </c>
    </row>
    <row r="406" spans="1:9" ht="11.25" customHeight="1">
      <c r="A406" s="1606" t="s">
        <v>2296</v>
      </c>
      <c r="B406" s="1606" t="s">
        <v>3</v>
      </c>
      <c r="C406" s="1606" t="s">
        <v>2866</v>
      </c>
      <c r="D406" s="1606" t="s">
        <v>2867</v>
      </c>
      <c r="E406" s="1606" t="s">
        <v>2868</v>
      </c>
      <c r="F406" s="1606" t="s">
        <v>2869</v>
      </c>
      <c r="G406" s="1606" t="s">
        <v>9</v>
      </c>
      <c r="H406" s="1606" t="s">
        <v>9</v>
      </c>
      <c r="I406" s="1606" t="s">
        <v>960</v>
      </c>
    </row>
    <row r="407" spans="1:9" ht="11.25" customHeight="1">
      <c r="A407" s="1606" t="s">
        <v>2296</v>
      </c>
      <c r="B407" s="1606" t="s">
        <v>3</v>
      </c>
      <c r="C407" s="1606" t="s">
        <v>2415</v>
      </c>
      <c r="D407" s="1606" t="s">
        <v>2416</v>
      </c>
      <c r="E407" s="1606" t="s">
        <v>2417</v>
      </c>
      <c r="F407" s="1606" t="s">
        <v>2418</v>
      </c>
      <c r="G407" s="1606" t="s">
        <v>9</v>
      </c>
      <c r="H407" s="1606" t="s">
        <v>9</v>
      </c>
      <c r="I407" s="1606" t="s">
        <v>960</v>
      </c>
    </row>
    <row r="408" spans="1:9" ht="11.25" customHeight="1">
      <c r="A408" s="1606" t="s">
        <v>2296</v>
      </c>
      <c r="B408" s="1606" t="s">
        <v>3</v>
      </c>
      <c r="C408" s="1606" t="s">
        <v>2870</v>
      </c>
      <c r="D408" s="1606" t="s">
        <v>2871</v>
      </c>
      <c r="E408" s="1606" t="s">
        <v>2872</v>
      </c>
      <c r="F408" s="1606" t="s">
        <v>2528</v>
      </c>
      <c r="G408" s="1606" t="s">
        <v>2873</v>
      </c>
      <c r="H408" s="1606" t="s">
        <v>9</v>
      </c>
      <c r="I408" s="1606" t="s">
        <v>960</v>
      </c>
    </row>
    <row r="409" spans="1:9" ht="11.25" customHeight="1">
      <c r="A409" s="1606" t="s">
        <v>2296</v>
      </c>
      <c r="B409" s="1606" t="s">
        <v>3</v>
      </c>
      <c r="C409" s="1606" t="s">
        <v>2419</v>
      </c>
      <c r="D409" s="1606" t="s">
        <v>2420</v>
      </c>
      <c r="E409" s="1606" t="s">
        <v>2421</v>
      </c>
      <c r="F409" s="1606" t="s">
        <v>2422</v>
      </c>
      <c r="G409" s="1606" t="s">
        <v>9</v>
      </c>
      <c r="H409" s="1606" t="s">
        <v>9</v>
      </c>
      <c r="I409" s="1606" t="s">
        <v>960</v>
      </c>
    </row>
    <row r="410" spans="1:9" ht="11.25" customHeight="1">
      <c r="A410" s="1606" t="s">
        <v>2296</v>
      </c>
      <c r="B410" s="1606" t="s">
        <v>3</v>
      </c>
      <c r="C410" s="1606" t="s">
        <v>2426</v>
      </c>
      <c r="D410" s="1606" t="s">
        <v>2427</v>
      </c>
      <c r="E410" s="1606" t="s">
        <v>2428</v>
      </c>
      <c r="F410" s="1606" t="s">
        <v>2318</v>
      </c>
      <c r="G410" s="1606" t="s">
        <v>9</v>
      </c>
      <c r="H410" s="1606" t="s">
        <v>9</v>
      </c>
      <c r="I410" s="1606" t="s">
        <v>960</v>
      </c>
    </row>
    <row r="411" spans="1:9" ht="11.25" customHeight="1">
      <c r="A411" s="1606" t="s">
        <v>2296</v>
      </c>
      <c r="B411" s="1606" t="s">
        <v>3</v>
      </c>
      <c r="C411" s="1606" t="s">
        <v>2429</v>
      </c>
      <c r="D411" s="1606" t="s">
        <v>2430</v>
      </c>
      <c r="E411" s="1606" t="s">
        <v>2431</v>
      </c>
      <c r="F411" s="1606" t="s">
        <v>2432</v>
      </c>
      <c r="G411" s="1606" t="s">
        <v>2433</v>
      </c>
      <c r="H411" s="1606" t="s">
        <v>9</v>
      </c>
      <c r="I411" s="1606" t="s">
        <v>960</v>
      </c>
    </row>
    <row r="412" spans="1:9" ht="11.25" customHeight="1">
      <c r="A412" s="1606" t="s">
        <v>2296</v>
      </c>
      <c r="B412" s="1606" t="s">
        <v>3</v>
      </c>
      <c r="C412" s="1606" t="s">
        <v>2439</v>
      </c>
      <c r="D412" s="1606" t="s">
        <v>2440</v>
      </c>
      <c r="E412" s="1606" t="s">
        <v>2441</v>
      </c>
      <c r="F412" s="1606" t="s">
        <v>2407</v>
      </c>
      <c r="G412" s="1606" t="s">
        <v>9</v>
      </c>
      <c r="H412" s="1606" t="s">
        <v>2442</v>
      </c>
      <c r="I412" s="1606" t="s">
        <v>960</v>
      </c>
    </row>
    <row r="413" spans="1:9" ht="11.25" customHeight="1">
      <c r="A413" s="1606" t="s">
        <v>2296</v>
      </c>
      <c r="B413" s="1606" t="s">
        <v>3</v>
      </c>
      <c r="C413" s="1606" t="s">
        <v>2446</v>
      </c>
      <c r="D413" s="1606" t="s">
        <v>2440</v>
      </c>
      <c r="E413" s="1606" t="s">
        <v>2447</v>
      </c>
      <c r="F413" s="1606" t="s">
        <v>2448</v>
      </c>
      <c r="G413" s="1606" t="s">
        <v>9</v>
      </c>
      <c r="H413" s="1606" t="s">
        <v>9</v>
      </c>
      <c r="I413" s="1606" t="s">
        <v>960</v>
      </c>
    </row>
    <row r="414" spans="1:9" ht="11.25" customHeight="1">
      <c r="A414" s="1606" t="s">
        <v>2296</v>
      </c>
      <c r="B414" s="1606" t="s">
        <v>3</v>
      </c>
      <c r="C414" s="1606" t="s">
        <v>2449</v>
      </c>
      <c r="D414" s="1606" t="s">
        <v>2440</v>
      </c>
      <c r="E414" s="1606" t="s">
        <v>2450</v>
      </c>
      <c r="F414" s="1606" t="s">
        <v>2451</v>
      </c>
      <c r="G414" s="1606" t="s">
        <v>9</v>
      </c>
      <c r="H414" s="1606" t="s">
        <v>9</v>
      </c>
      <c r="I414" s="1606" t="s">
        <v>960</v>
      </c>
    </row>
    <row r="415" spans="1:9" ht="11.25" customHeight="1">
      <c r="A415" s="1606" t="s">
        <v>2296</v>
      </c>
      <c r="B415" s="1606" t="s">
        <v>3</v>
      </c>
      <c r="C415" s="1606" t="s">
        <v>2452</v>
      </c>
      <c r="D415" s="1606" t="s">
        <v>2440</v>
      </c>
      <c r="E415" s="1606" t="s">
        <v>2453</v>
      </c>
      <c r="F415" s="1606" t="s">
        <v>2422</v>
      </c>
      <c r="G415" s="1606" t="s">
        <v>9</v>
      </c>
      <c r="H415" s="1606" t="s">
        <v>9</v>
      </c>
      <c r="I415" s="1606" t="s">
        <v>960</v>
      </c>
    </row>
    <row r="416" spans="1:9" ht="11.25" customHeight="1">
      <c r="A416" s="1606" t="s">
        <v>2296</v>
      </c>
      <c r="B416" s="1606" t="s">
        <v>3</v>
      </c>
      <c r="C416" s="1606" t="s">
        <v>2454</v>
      </c>
      <c r="D416" s="1606" t="s">
        <v>2455</v>
      </c>
      <c r="E416" s="1606" t="s">
        <v>2456</v>
      </c>
      <c r="F416" s="1606" t="s">
        <v>2352</v>
      </c>
      <c r="G416" s="1606" t="s">
        <v>9</v>
      </c>
      <c r="H416" s="1606" t="s">
        <v>9</v>
      </c>
      <c r="I416" s="1606" t="s">
        <v>960</v>
      </c>
    </row>
    <row r="417" spans="1:9" ht="11.25" customHeight="1">
      <c r="A417" s="1606" t="s">
        <v>2296</v>
      </c>
      <c r="B417" s="1606" t="s">
        <v>3</v>
      </c>
      <c r="C417" s="1606" t="s">
        <v>2457</v>
      </c>
      <c r="D417" s="1606" t="s">
        <v>2458</v>
      </c>
      <c r="E417" s="1606" t="s">
        <v>2459</v>
      </c>
      <c r="F417" s="1606" t="s">
        <v>2318</v>
      </c>
      <c r="G417" s="1606" t="s">
        <v>9</v>
      </c>
      <c r="H417" s="1606" t="s">
        <v>9</v>
      </c>
      <c r="I417" s="1606" t="s">
        <v>960</v>
      </c>
    </row>
    <row r="418" spans="1:9" ht="11.25" customHeight="1">
      <c r="A418" s="1606" t="s">
        <v>2296</v>
      </c>
      <c r="B418" s="1606" t="s">
        <v>3</v>
      </c>
      <c r="C418" s="1606" t="s">
        <v>2460</v>
      </c>
      <c r="D418" s="1606" t="s">
        <v>2461</v>
      </c>
      <c r="E418" s="1606" t="s">
        <v>2462</v>
      </c>
      <c r="F418" s="1606" t="s">
        <v>2328</v>
      </c>
      <c r="G418" s="1606" t="s">
        <v>9</v>
      </c>
      <c r="H418" s="1606" t="s">
        <v>9</v>
      </c>
      <c r="I418" s="1606" t="s">
        <v>960</v>
      </c>
    </row>
    <row r="419" spans="1:9" ht="11.25" customHeight="1">
      <c r="A419" s="1606" t="s">
        <v>2296</v>
      </c>
      <c r="B419" s="1606" t="s">
        <v>3</v>
      </c>
      <c r="C419" s="1606" t="s">
        <v>2888</v>
      </c>
      <c r="D419" s="1606" t="s">
        <v>2889</v>
      </c>
      <c r="E419" s="1606" t="s">
        <v>2890</v>
      </c>
      <c r="F419" s="1606" t="s">
        <v>2414</v>
      </c>
      <c r="G419" s="1606" t="s">
        <v>2891</v>
      </c>
      <c r="H419" s="1606" t="s">
        <v>9</v>
      </c>
      <c r="I419" s="1606" t="s">
        <v>960</v>
      </c>
    </row>
    <row r="420" spans="1:9" ht="11.25" customHeight="1">
      <c r="A420" s="1606" t="s">
        <v>2296</v>
      </c>
      <c r="B420" s="1606" t="s">
        <v>3</v>
      </c>
      <c r="C420" s="1606" t="s">
        <v>2892</v>
      </c>
      <c r="D420" s="1606" t="s">
        <v>2893</v>
      </c>
      <c r="E420" s="1606" t="s">
        <v>2894</v>
      </c>
      <c r="F420" s="1606" t="s">
        <v>2328</v>
      </c>
      <c r="G420" s="1606" t="s">
        <v>9</v>
      </c>
      <c r="H420" s="1606" t="s">
        <v>9</v>
      </c>
      <c r="I420" s="1606" t="s">
        <v>960</v>
      </c>
    </row>
    <row r="421" spans="1:9" ht="11.25" customHeight="1">
      <c r="A421" s="1606" t="s">
        <v>2296</v>
      </c>
      <c r="B421" s="1606" t="s">
        <v>3</v>
      </c>
      <c r="C421" s="1606" t="s">
        <v>2895</v>
      </c>
      <c r="D421" s="1606" t="s">
        <v>2896</v>
      </c>
      <c r="E421" s="1606" t="s">
        <v>2897</v>
      </c>
      <c r="F421" s="1606" t="s">
        <v>2328</v>
      </c>
      <c r="G421" s="1606" t="s">
        <v>9</v>
      </c>
      <c r="H421" s="1606" t="s">
        <v>9</v>
      </c>
      <c r="I421" s="1606" t="s">
        <v>960</v>
      </c>
    </row>
    <row r="422" spans="1:9" ht="11.25" customHeight="1">
      <c r="A422" s="1606" t="s">
        <v>2296</v>
      </c>
      <c r="B422" s="1606" t="s">
        <v>3</v>
      </c>
      <c r="C422" s="1606" t="s">
        <v>2463</v>
      </c>
      <c r="D422" s="1606" t="s">
        <v>2464</v>
      </c>
      <c r="E422" s="1606" t="s">
        <v>2465</v>
      </c>
      <c r="F422" s="1606" t="s">
        <v>2318</v>
      </c>
      <c r="G422" s="1606" t="s">
        <v>2466</v>
      </c>
      <c r="H422" s="1606" t="s">
        <v>9</v>
      </c>
      <c r="I422" s="1606" t="s">
        <v>960</v>
      </c>
    </row>
    <row r="423" spans="1:9" ht="11.25" customHeight="1">
      <c r="A423" s="1606" t="s">
        <v>2296</v>
      </c>
      <c r="B423" s="1606" t="s">
        <v>3</v>
      </c>
      <c r="C423" s="1606" t="s">
        <v>2901</v>
      </c>
      <c r="D423" s="1606" t="s">
        <v>2902</v>
      </c>
      <c r="E423" s="1606" t="s">
        <v>2903</v>
      </c>
      <c r="F423" s="1606" t="s">
        <v>2396</v>
      </c>
      <c r="G423" s="1606" t="s">
        <v>2904</v>
      </c>
      <c r="H423" s="1606" t="s">
        <v>9</v>
      </c>
      <c r="I423" s="1606" t="s">
        <v>960</v>
      </c>
    </row>
    <row r="424" spans="1:9" ht="11.25" customHeight="1">
      <c r="A424" s="1606" t="s">
        <v>2296</v>
      </c>
      <c r="B424" s="1606" t="s">
        <v>3</v>
      </c>
      <c r="C424" s="1606" t="s">
        <v>2905</v>
      </c>
      <c r="D424" s="1606" t="s">
        <v>2906</v>
      </c>
      <c r="E424" s="1606" t="s">
        <v>2907</v>
      </c>
      <c r="F424" s="1606" t="s">
        <v>2392</v>
      </c>
      <c r="G424" s="1606" t="s">
        <v>9</v>
      </c>
      <c r="H424" s="1606" t="s">
        <v>9</v>
      </c>
      <c r="I424" s="1606" t="s">
        <v>960</v>
      </c>
    </row>
    <row r="425" spans="1:9" ht="11.25" customHeight="1">
      <c r="A425" s="1606" t="s">
        <v>2296</v>
      </c>
      <c r="B425" s="1606" t="s">
        <v>3</v>
      </c>
      <c r="C425" s="1606" t="s">
        <v>2467</v>
      </c>
      <c r="D425" s="1606" t="s">
        <v>2468</v>
      </c>
      <c r="E425" s="1606" t="s">
        <v>2469</v>
      </c>
      <c r="F425" s="1606" t="s">
        <v>2403</v>
      </c>
      <c r="G425" s="1606" t="s">
        <v>9</v>
      </c>
      <c r="H425" s="1606" t="s">
        <v>9</v>
      </c>
      <c r="I425" s="1606" t="s">
        <v>960</v>
      </c>
    </row>
    <row r="426" spans="1:9" ht="11.25" customHeight="1">
      <c r="A426" s="1606" t="s">
        <v>2296</v>
      </c>
      <c r="B426" s="1606" t="s">
        <v>3</v>
      </c>
      <c r="C426" s="1606" t="s">
        <v>2908</v>
      </c>
      <c r="D426" s="1606" t="s">
        <v>2909</v>
      </c>
      <c r="E426" s="1606" t="s">
        <v>2910</v>
      </c>
      <c r="F426" s="1606" t="s">
        <v>2318</v>
      </c>
      <c r="G426" s="1606" t="s">
        <v>9</v>
      </c>
      <c r="H426" s="1606" t="s">
        <v>9</v>
      </c>
      <c r="I426" s="1606" t="s">
        <v>960</v>
      </c>
    </row>
    <row r="427" spans="1:9" ht="11.25" customHeight="1">
      <c r="A427" s="1606" t="s">
        <v>2296</v>
      </c>
      <c r="B427" s="1606" t="s">
        <v>3</v>
      </c>
      <c r="C427" s="1606" t="s">
        <v>2914</v>
      </c>
      <c r="D427" s="1606" t="s">
        <v>2915</v>
      </c>
      <c r="E427" s="1606" t="s">
        <v>2916</v>
      </c>
      <c r="F427" s="1606" t="s">
        <v>2414</v>
      </c>
      <c r="G427" s="1606" t="s">
        <v>9</v>
      </c>
      <c r="H427" s="1606" t="s">
        <v>9</v>
      </c>
      <c r="I427" s="1606" t="s">
        <v>960</v>
      </c>
    </row>
    <row r="428" spans="1:9" ht="11.25" customHeight="1">
      <c r="A428" s="1606" t="s">
        <v>2296</v>
      </c>
      <c r="B428" s="1606" t="s">
        <v>3</v>
      </c>
      <c r="C428" s="1606" t="s">
        <v>2473</v>
      </c>
      <c r="D428" s="1606" t="s">
        <v>2474</v>
      </c>
      <c r="E428" s="1606" t="s">
        <v>2475</v>
      </c>
      <c r="F428" s="1606" t="s">
        <v>2476</v>
      </c>
      <c r="G428" s="1606" t="s">
        <v>9</v>
      </c>
      <c r="H428" s="1606" t="s">
        <v>9</v>
      </c>
      <c r="I428" s="1606" t="s">
        <v>960</v>
      </c>
    </row>
    <row r="429" spans="1:9" ht="11.25" customHeight="1">
      <c r="A429" s="1606" t="s">
        <v>2296</v>
      </c>
      <c r="B429" s="1606" t="s">
        <v>3</v>
      </c>
      <c r="C429" s="1606" t="s">
        <v>2477</v>
      </c>
      <c r="D429" s="1606" t="s">
        <v>2478</v>
      </c>
      <c r="E429" s="1606" t="s">
        <v>2479</v>
      </c>
      <c r="F429" s="1606" t="s">
        <v>2414</v>
      </c>
      <c r="G429" s="1606" t="s">
        <v>2480</v>
      </c>
      <c r="H429" s="1606" t="s">
        <v>9</v>
      </c>
      <c r="I429" s="1606" t="s">
        <v>960</v>
      </c>
    </row>
    <row r="430" spans="1:9" ht="11.25" customHeight="1">
      <c r="A430" s="1606" t="s">
        <v>2296</v>
      </c>
      <c r="B430" s="1606" t="s">
        <v>3</v>
      </c>
      <c r="C430" s="1606" t="s">
        <v>2481</v>
      </c>
      <c r="D430" s="1606" t="s">
        <v>2482</v>
      </c>
      <c r="E430" s="1606" t="s">
        <v>2483</v>
      </c>
      <c r="F430" s="1606" t="s">
        <v>2318</v>
      </c>
      <c r="G430" s="1606" t="s">
        <v>9</v>
      </c>
      <c r="H430" s="1606" t="s">
        <v>9</v>
      </c>
      <c r="I430" s="1606" t="s">
        <v>960</v>
      </c>
    </row>
    <row r="431" spans="1:9" ht="11.25" customHeight="1">
      <c r="A431" s="1606" t="s">
        <v>2296</v>
      </c>
      <c r="B431" s="1606" t="s">
        <v>3</v>
      </c>
      <c r="C431" s="1606" t="s">
        <v>2917</v>
      </c>
      <c r="D431" s="1606" t="s">
        <v>2918</v>
      </c>
      <c r="E431" s="1606" t="s">
        <v>2919</v>
      </c>
      <c r="F431" s="1606" t="s">
        <v>2396</v>
      </c>
      <c r="G431" s="1606" t="s">
        <v>2920</v>
      </c>
      <c r="H431" s="1606" t="s">
        <v>9</v>
      </c>
      <c r="I431" s="1606" t="s">
        <v>960</v>
      </c>
    </row>
    <row r="432" spans="1:9" ht="11.25" customHeight="1">
      <c r="A432" s="1606" t="s">
        <v>2296</v>
      </c>
      <c r="B432" s="1606" t="s">
        <v>3</v>
      </c>
      <c r="C432" s="1606" t="s">
        <v>2921</v>
      </c>
      <c r="D432" s="1606" t="s">
        <v>2922</v>
      </c>
      <c r="E432" s="1606" t="s">
        <v>2923</v>
      </c>
      <c r="F432" s="1606" t="s">
        <v>2476</v>
      </c>
      <c r="G432" s="1606" t="s">
        <v>9</v>
      </c>
      <c r="H432" s="1606" t="s">
        <v>9</v>
      </c>
      <c r="I432" s="1606" t="s">
        <v>960</v>
      </c>
    </row>
    <row r="433" spans="1:9" ht="11.25" customHeight="1">
      <c r="A433" s="1606" t="s">
        <v>2296</v>
      </c>
      <c r="B433" s="1606" t="s">
        <v>3</v>
      </c>
      <c r="C433" s="1606" t="s">
        <v>2489</v>
      </c>
      <c r="D433" s="1606" t="s">
        <v>2490</v>
      </c>
      <c r="E433" s="1606" t="s">
        <v>2491</v>
      </c>
      <c r="F433" s="1606" t="s">
        <v>2492</v>
      </c>
      <c r="G433" s="1606" t="s">
        <v>9</v>
      </c>
      <c r="H433" s="1606" t="s">
        <v>9</v>
      </c>
      <c r="I433" s="1606" t="s">
        <v>960</v>
      </c>
    </row>
    <row r="434" spans="1:9" ht="11.25" customHeight="1">
      <c r="A434" s="1606" t="s">
        <v>2296</v>
      </c>
      <c r="B434" s="1606" t="s">
        <v>3</v>
      </c>
      <c r="C434" s="1606" t="s">
        <v>2493</v>
      </c>
      <c r="D434" s="1606" t="s">
        <v>2494</v>
      </c>
      <c r="E434" s="1606" t="s">
        <v>2495</v>
      </c>
      <c r="F434" s="1606" t="s">
        <v>2407</v>
      </c>
      <c r="G434" s="1606" t="s">
        <v>9</v>
      </c>
      <c r="H434" s="1606" t="s">
        <v>9</v>
      </c>
      <c r="I434" s="1606" t="s">
        <v>960</v>
      </c>
    </row>
    <row r="435" spans="1:9" ht="11.25" customHeight="1">
      <c r="A435" s="1606" t="s">
        <v>2296</v>
      </c>
      <c r="B435" s="1606" t="s">
        <v>3</v>
      </c>
      <c r="C435" s="1606" t="s">
        <v>2496</v>
      </c>
      <c r="D435" s="1606" t="s">
        <v>2497</v>
      </c>
      <c r="E435" s="1606" t="s">
        <v>2498</v>
      </c>
      <c r="F435" s="1606" t="s">
        <v>2392</v>
      </c>
      <c r="G435" s="1606" t="s">
        <v>9</v>
      </c>
      <c r="H435" s="1606" t="s">
        <v>9</v>
      </c>
      <c r="I435" s="1606" t="s">
        <v>960</v>
      </c>
    </row>
    <row r="436" spans="1:9" ht="11.25" customHeight="1">
      <c r="A436" s="1606" t="s">
        <v>2296</v>
      </c>
      <c r="B436" s="1606" t="s">
        <v>3</v>
      </c>
      <c r="C436" s="1606" t="s">
        <v>2499</v>
      </c>
      <c r="D436" s="1606" t="s">
        <v>2500</v>
      </c>
      <c r="E436" s="1606" t="s">
        <v>2501</v>
      </c>
      <c r="F436" s="1606" t="s">
        <v>2318</v>
      </c>
      <c r="G436" s="1606" t="s">
        <v>9</v>
      </c>
      <c r="H436" s="1606" t="s">
        <v>9</v>
      </c>
      <c r="I436" s="1606" t="s">
        <v>960</v>
      </c>
    </row>
    <row r="437" spans="1:9" ht="11.25" customHeight="1">
      <c r="A437" s="1606" t="s">
        <v>2296</v>
      </c>
      <c r="B437" s="1606" t="s">
        <v>3</v>
      </c>
      <c r="C437" s="1606" t="s">
        <v>2502</v>
      </c>
      <c r="D437" s="1606" t="s">
        <v>2503</v>
      </c>
      <c r="E437" s="1606" t="s">
        <v>2504</v>
      </c>
      <c r="F437" s="1606" t="s">
        <v>2403</v>
      </c>
      <c r="G437" s="1606" t="s">
        <v>9</v>
      </c>
      <c r="H437" s="1606" t="s">
        <v>9</v>
      </c>
      <c r="I437" s="1606" t="s">
        <v>960</v>
      </c>
    </row>
    <row r="438" spans="1:9" ht="11.25" customHeight="1">
      <c r="A438" s="1606" t="s">
        <v>2296</v>
      </c>
      <c r="B438" s="1606" t="s">
        <v>3</v>
      </c>
      <c r="C438" s="1606" t="s">
        <v>2505</v>
      </c>
      <c r="D438" s="1606" t="s">
        <v>2506</v>
      </c>
      <c r="E438" s="1606" t="s">
        <v>2507</v>
      </c>
      <c r="F438" s="1606" t="s">
        <v>2403</v>
      </c>
      <c r="G438" s="1606" t="s">
        <v>9</v>
      </c>
      <c r="H438" s="1606" t="s">
        <v>9</v>
      </c>
      <c r="I438" s="1606" t="s">
        <v>960</v>
      </c>
    </row>
    <row r="439" spans="1:9" ht="11.25" customHeight="1">
      <c r="A439" s="1606" t="s">
        <v>2296</v>
      </c>
      <c r="B439" s="1606" t="s">
        <v>3</v>
      </c>
      <c r="C439" s="1606" t="s">
        <v>2508</v>
      </c>
      <c r="D439" s="1606" t="s">
        <v>2509</v>
      </c>
      <c r="E439" s="1606" t="s">
        <v>2510</v>
      </c>
      <c r="F439" s="1606" t="s">
        <v>2403</v>
      </c>
      <c r="G439" s="1606" t="s">
        <v>9</v>
      </c>
      <c r="H439" s="1606" t="s">
        <v>9</v>
      </c>
      <c r="I439" s="1606" t="s">
        <v>960</v>
      </c>
    </row>
    <row r="440" spans="1:9" ht="11.25" customHeight="1">
      <c r="A440" s="1606" t="s">
        <v>2296</v>
      </c>
      <c r="B440" s="1606" t="s">
        <v>3</v>
      </c>
      <c r="C440" s="1606" t="s">
        <v>2514</v>
      </c>
      <c r="D440" s="1606" t="s">
        <v>2515</v>
      </c>
      <c r="E440" s="1606" t="s">
        <v>2516</v>
      </c>
      <c r="F440" s="1606" t="s">
        <v>2418</v>
      </c>
      <c r="G440" s="1606" t="s">
        <v>2517</v>
      </c>
      <c r="H440" s="1606" t="s">
        <v>9</v>
      </c>
      <c r="I440" s="1606" t="s">
        <v>960</v>
      </c>
    </row>
    <row r="441" spans="1:9" ht="11.25" customHeight="1">
      <c r="A441" s="1606" t="s">
        <v>2296</v>
      </c>
      <c r="B441" s="1606" t="s">
        <v>3</v>
      </c>
      <c r="C441" s="1606" t="s">
        <v>2518</v>
      </c>
      <c r="D441" s="1606" t="s">
        <v>2519</v>
      </c>
      <c r="E441" s="1606" t="s">
        <v>2520</v>
      </c>
      <c r="F441" s="1606" t="s">
        <v>2318</v>
      </c>
      <c r="G441" s="1606" t="s">
        <v>9</v>
      </c>
      <c r="H441" s="1606" t="s">
        <v>9</v>
      </c>
      <c r="I441" s="1606" t="s">
        <v>960</v>
      </c>
    </row>
    <row r="442" spans="1:9" ht="11.25" customHeight="1">
      <c r="A442" s="1606" t="s">
        <v>2296</v>
      </c>
      <c r="B442" s="1606" t="s">
        <v>3</v>
      </c>
      <c r="C442" s="1606" t="s">
        <v>2521</v>
      </c>
      <c r="D442" s="1606" t="s">
        <v>2522</v>
      </c>
      <c r="E442" s="1606" t="s">
        <v>2523</v>
      </c>
      <c r="F442" s="1606" t="s">
        <v>2524</v>
      </c>
      <c r="G442" s="1606" t="s">
        <v>9</v>
      </c>
      <c r="H442" s="1606" t="s">
        <v>9</v>
      </c>
      <c r="I442" s="1606" t="s">
        <v>960</v>
      </c>
    </row>
    <row r="443" spans="1:9" ht="11.25" customHeight="1">
      <c r="A443" s="1606" t="s">
        <v>2296</v>
      </c>
      <c r="B443" s="1606" t="s">
        <v>3</v>
      </c>
      <c r="C443" s="1606" t="s">
        <v>2525</v>
      </c>
      <c r="D443" s="1606" t="s">
        <v>2526</v>
      </c>
      <c r="E443" s="1606" t="s">
        <v>2527</v>
      </c>
      <c r="F443" s="1606" t="s">
        <v>2528</v>
      </c>
      <c r="G443" s="1606" t="s">
        <v>9</v>
      </c>
      <c r="H443" s="1606" t="s">
        <v>9</v>
      </c>
      <c r="I443" s="1606" t="s">
        <v>960</v>
      </c>
    </row>
    <row r="444" spans="1:9" ht="11.25" customHeight="1">
      <c r="A444" s="1606" t="s">
        <v>2296</v>
      </c>
      <c r="B444" s="1606" t="s">
        <v>3</v>
      </c>
      <c r="C444" s="1606" t="s">
        <v>2934</v>
      </c>
      <c r="D444" s="1606" t="s">
        <v>2935</v>
      </c>
      <c r="E444" s="1606" t="s">
        <v>2936</v>
      </c>
      <c r="F444" s="1606" t="s">
        <v>2476</v>
      </c>
      <c r="G444" s="1606" t="s">
        <v>9</v>
      </c>
      <c r="H444" s="1606" t="s">
        <v>9</v>
      </c>
      <c r="I444" s="1606" t="s">
        <v>960</v>
      </c>
    </row>
    <row r="445" spans="1:9" ht="11.25" customHeight="1">
      <c r="A445" s="1606" t="s">
        <v>2296</v>
      </c>
      <c r="B445" s="1606" t="s">
        <v>3</v>
      </c>
      <c r="C445" s="1606" t="s">
        <v>2538</v>
      </c>
      <c r="D445" s="1606" t="s">
        <v>2539</v>
      </c>
      <c r="E445" s="1606" t="s">
        <v>2540</v>
      </c>
      <c r="F445" s="1606" t="s">
        <v>2528</v>
      </c>
      <c r="G445" s="1606" t="s">
        <v>9</v>
      </c>
      <c r="H445" s="1606" t="s">
        <v>9</v>
      </c>
      <c r="I445" s="1606" t="s">
        <v>960</v>
      </c>
    </row>
    <row r="446" spans="1:9" ht="11.25" customHeight="1">
      <c r="A446" s="1606" t="s">
        <v>2296</v>
      </c>
      <c r="B446" s="1606" t="s">
        <v>3</v>
      </c>
      <c r="C446" s="1606" t="s">
        <v>2944</v>
      </c>
      <c r="D446" s="1606" t="s">
        <v>2945</v>
      </c>
      <c r="E446" s="1606" t="s">
        <v>2946</v>
      </c>
      <c r="F446" s="1606" t="s">
        <v>2487</v>
      </c>
      <c r="G446" s="1606" t="s">
        <v>9</v>
      </c>
      <c r="H446" s="1606" t="s">
        <v>9</v>
      </c>
      <c r="I446" s="1606" t="s">
        <v>960</v>
      </c>
    </row>
    <row r="447" spans="1:9" ht="11.25" customHeight="1">
      <c r="A447" s="1606" t="s">
        <v>2296</v>
      </c>
      <c r="B447" s="1606" t="s">
        <v>3</v>
      </c>
      <c r="C447" s="1606" t="s">
        <v>2557</v>
      </c>
      <c r="D447" s="1606" t="s">
        <v>2558</v>
      </c>
      <c r="E447" s="1606" t="s">
        <v>2559</v>
      </c>
      <c r="F447" s="1606" t="s">
        <v>2560</v>
      </c>
      <c r="G447" s="1606" t="s">
        <v>9</v>
      </c>
      <c r="H447" s="1606" t="s">
        <v>9</v>
      </c>
      <c r="I447" s="1606" t="s">
        <v>960</v>
      </c>
    </row>
    <row r="448" spans="1:9" ht="11.25" customHeight="1">
      <c r="A448" s="1606" t="s">
        <v>2296</v>
      </c>
      <c r="B448" s="1606" t="s">
        <v>3</v>
      </c>
      <c r="C448" s="1606" t="s">
        <v>2947</v>
      </c>
      <c r="D448" s="1606" t="s">
        <v>2948</v>
      </c>
      <c r="E448" s="1606" t="s">
        <v>2949</v>
      </c>
      <c r="F448" s="1606" t="s">
        <v>2476</v>
      </c>
      <c r="G448" s="1606" t="s">
        <v>9</v>
      </c>
      <c r="H448" s="1606" t="s">
        <v>9</v>
      </c>
      <c r="I448" s="1606" t="s">
        <v>960</v>
      </c>
    </row>
    <row r="449" spans="1:9" ht="11.25" customHeight="1">
      <c r="A449" s="1606" t="s">
        <v>2296</v>
      </c>
      <c r="B449" s="1606" t="s">
        <v>3</v>
      </c>
      <c r="C449" s="1606" t="s">
        <v>3043</v>
      </c>
      <c r="D449" s="1606" t="s">
        <v>3044</v>
      </c>
      <c r="E449" s="1606" t="s">
        <v>3045</v>
      </c>
      <c r="F449" s="1606" t="s">
        <v>3046</v>
      </c>
      <c r="G449" s="1606" t="s">
        <v>9</v>
      </c>
      <c r="H449" s="1606" t="s">
        <v>9</v>
      </c>
      <c r="I449" s="1606" t="s">
        <v>960</v>
      </c>
    </row>
    <row r="450" spans="1:9" ht="11.25" customHeight="1">
      <c r="A450" s="1606" t="s">
        <v>2296</v>
      </c>
      <c r="B450" s="1606" t="s">
        <v>3</v>
      </c>
      <c r="C450" s="1606" t="s">
        <v>3047</v>
      </c>
      <c r="D450" s="1606" t="s">
        <v>3048</v>
      </c>
      <c r="E450" s="1606" t="s">
        <v>3049</v>
      </c>
      <c r="F450" s="1606" t="s">
        <v>2318</v>
      </c>
      <c r="G450" s="1606" t="s">
        <v>3050</v>
      </c>
      <c r="H450" s="1606" t="s">
        <v>9</v>
      </c>
      <c r="I450" s="1606" t="s">
        <v>960</v>
      </c>
    </row>
    <row r="451" spans="1:9" ht="11.25" customHeight="1">
      <c r="A451" s="1606" t="s">
        <v>2296</v>
      </c>
      <c r="B451" s="1606" t="s">
        <v>3</v>
      </c>
      <c r="C451" s="1606" t="s">
        <v>3051</v>
      </c>
      <c r="D451" s="1606" t="s">
        <v>3052</v>
      </c>
      <c r="E451" s="1606" t="s">
        <v>3053</v>
      </c>
      <c r="F451" s="1606" t="s">
        <v>2487</v>
      </c>
      <c r="G451" s="1606" t="s">
        <v>9</v>
      </c>
      <c r="H451" s="1606" t="s">
        <v>9</v>
      </c>
      <c r="I451" s="1606" t="s">
        <v>960</v>
      </c>
    </row>
    <row r="452" spans="1:9" ht="11.25" customHeight="1">
      <c r="A452" s="1606" t="s">
        <v>2296</v>
      </c>
      <c r="B452" s="1606" t="s">
        <v>3</v>
      </c>
      <c r="C452" s="1606" t="s">
        <v>2567</v>
      </c>
      <c r="D452" s="1606" t="s">
        <v>2568</v>
      </c>
      <c r="E452" s="1606" t="s">
        <v>2569</v>
      </c>
      <c r="F452" s="1606" t="s">
        <v>37</v>
      </c>
      <c r="G452" s="1606" t="s">
        <v>9</v>
      </c>
      <c r="H452" s="1606" t="s">
        <v>9</v>
      </c>
      <c r="I452" s="1606" t="s">
        <v>960</v>
      </c>
    </row>
    <row r="453" spans="1:9" ht="11.25" customHeight="1">
      <c r="A453" s="1606" t="s">
        <v>2296</v>
      </c>
      <c r="B453" s="1606" t="s">
        <v>3</v>
      </c>
      <c r="C453" s="1606" t="s">
        <v>2950</v>
      </c>
      <c r="D453" s="1606" t="s">
        <v>2951</v>
      </c>
      <c r="E453" s="1606" t="s">
        <v>2952</v>
      </c>
      <c r="F453" s="1606" t="s">
        <v>2418</v>
      </c>
      <c r="G453" s="1606" t="s">
        <v>9</v>
      </c>
      <c r="H453" s="1606" t="s">
        <v>9</v>
      </c>
      <c r="I453" s="1606" t="s">
        <v>960</v>
      </c>
    </row>
    <row r="454" spans="1:9" ht="11.25" customHeight="1">
      <c r="A454" s="1606" t="s">
        <v>2296</v>
      </c>
      <c r="B454" s="1606" t="s">
        <v>3</v>
      </c>
      <c r="C454" s="1606" t="s">
        <v>2573</v>
      </c>
      <c r="D454" s="1606" t="s">
        <v>2574</v>
      </c>
      <c r="E454" s="1606" t="s">
        <v>2575</v>
      </c>
      <c r="F454" s="1606" t="s">
        <v>2487</v>
      </c>
      <c r="G454" s="1606" t="s">
        <v>9</v>
      </c>
      <c r="H454" s="1606" t="s">
        <v>9</v>
      </c>
      <c r="I454" s="1606" t="s">
        <v>960</v>
      </c>
    </row>
    <row r="455" spans="1:9" ht="11.25" customHeight="1">
      <c r="A455" s="1606" t="s">
        <v>2296</v>
      </c>
      <c r="B455" s="1606" t="s">
        <v>3</v>
      </c>
      <c r="C455" s="1606" t="s">
        <v>2953</v>
      </c>
      <c r="D455" s="1606" t="s">
        <v>2954</v>
      </c>
      <c r="E455" s="1606" t="s">
        <v>2955</v>
      </c>
      <c r="F455" s="1606" t="s">
        <v>2487</v>
      </c>
      <c r="G455" s="1606" t="s">
        <v>9</v>
      </c>
      <c r="H455" s="1606" t="s">
        <v>9</v>
      </c>
      <c r="I455" s="1606" t="s">
        <v>960</v>
      </c>
    </row>
    <row r="456" spans="1:9" ht="11.25" customHeight="1">
      <c r="A456" s="1606" t="s">
        <v>2296</v>
      </c>
      <c r="B456" s="1606" t="s">
        <v>3</v>
      </c>
      <c r="C456" s="1606" t="s">
        <v>2579</v>
      </c>
      <c r="D456" s="1606" t="s">
        <v>2580</v>
      </c>
      <c r="E456" s="1606" t="s">
        <v>2581</v>
      </c>
      <c r="F456" s="1606" t="s">
        <v>2418</v>
      </c>
      <c r="G456" s="1606" t="s">
        <v>9</v>
      </c>
      <c r="H456" s="1606" t="s">
        <v>9</v>
      </c>
      <c r="I456" s="1606" t="s">
        <v>960</v>
      </c>
    </row>
    <row r="457" spans="1:9" ht="11.25" customHeight="1">
      <c r="A457" s="1606" t="s">
        <v>2296</v>
      </c>
      <c r="B457" s="1606" t="s">
        <v>3</v>
      </c>
      <c r="C457" s="1606" t="s">
        <v>2594</v>
      </c>
      <c r="D457" s="1606" t="s">
        <v>2595</v>
      </c>
      <c r="E457" s="1606" t="s">
        <v>2596</v>
      </c>
      <c r="F457" s="1606" t="s">
        <v>2528</v>
      </c>
      <c r="G457" s="1606" t="s">
        <v>9</v>
      </c>
      <c r="H457" s="1606" t="s">
        <v>9</v>
      </c>
      <c r="I457" s="1606" t="s">
        <v>960</v>
      </c>
    </row>
    <row r="458" spans="1:9" ht="11.25" customHeight="1">
      <c r="A458" s="1606" t="s">
        <v>2296</v>
      </c>
      <c r="B458" s="1606" t="s">
        <v>3</v>
      </c>
      <c r="C458" s="1606" t="s">
        <v>2597</v>
      </c>
      <c r="D458" s="1606" t="s">
        <v>2598</v>
      </c>
      <c r="E458" s="1606" t="s">
        <v>2599</v>
      </c>
      <c r="F458" s="1606" t="s">
        <v>2528</v>
      </c>
      <c r="G458" s="1606" t="s">
        <v>2600</v>
      </c>
      <c r="H458" s="1606" t="s">
        <v>9</v>
      </c>
      <c r="I458" s="1606" t="s">
        <v>960</v>
      </c>
    </row>
    <row r="459" spans="1:9" ht="11.25" customHeight="1">
      <c r="A459" s="1606" t="s">
        <v>2296</v>
      </c>
      <c r="B459" s="1606" t="s">
        <v>3</v>
      </c>
      <c r="C459" s="1606" t="s">
        <v>2959</v>
      </c>
      <c r="D459" s="1606" t="s">
        <v>2960</v>
      </c>
      <c r="E459" s="1606" t="s">
        <v>2961</v>
      </c>
      <c r="F459" s="1606" t="s">
        <v>2487</v>
      </c>
      <c r="G459" s="1606" t="s">
        <v>2962</v>
      </c>
      <c r="H459" s="1606" t="s">
        <v>9</v>
      </c>
      <c r="I459" s="1606" t="s">
        <v>960</v>
      </c>
    </row>
    <row r="460" spans="1:9" ht="11.25" customHeight="1">
      <c r="A460" s="1606" t="s">
        <v>2296</v>
      </c>
      <c r="B460" s="1606" t="s">
        <v>3</v>
      </c>
      <c r="C460" s="1606" t="s">
        <v>2601</v>
      </c>
      <c r="D460" s="1606" t="s">
        <v>2602</v>
      </c>
      <c r="E460" s="1606" t="s">
        <v>2603</v>
      </c>
      <c r="F460" s="1606" t="s">
        <v>2318</v>
      </c>
      <c r="G460" s="1606" t="s">
        <v>2600</v>
      </c>
      <c r="H460" s="1606" t="s">
        <v>9</v>
      </c>
      <c r="I460" s="1606" t="s">
        <v>960</v>
      </c>
    </row>
    <row r="461" spans="1:9" ht="11.25" customHeight="1">
      <c r="A461" s="1606" t="s">
        <v>2296</v>
      </c>
      <c r="B461" s="1606" t="s">
        <v>3</v>
      </c>
      <c r="C461" s="1606" t="s">
        <v>3054</v>
      </c>
      <c r="D461" s="1606" t="s">
        <v>3055</v>
      </c>
      <c r="E461" s="1606" t="s">
        <v>3056</v>
      </c>
      <c r="F461" s="1606" t="s">
        <v>2414</v>
      </c>
      <c r="G461" s="1606" t="s">
        <v>9</v>
      </c>
      <c r="H461" s="1606" t="s">
        <v>9</v>
      </c>
      <c r="I461" s="1606" t="s">
        <v>960</v>
      </c>
    </row>
    <row r="462" spans="1:9" ht="11.25" customHeight="1">
      <c r="A462" s="1606" t="s">
        <v>2296</v>
      </c>
      <c r="B462" s="1606" t="s">
        <v>3</v>
      </c>
      <c r="C462" s="1606" t="s">
        <v>2966</v>
      </c>
      <c r="D462" s="1606" t="s">
        <v>2967</v>
      </c>
      <c r="E462" s="1606" t="s">
        <v>2968</v>
      </c>
      <c r="F462" s="1606" t="s">
        <v>2414</v>
      </c>
      <c r="G462" s="1606" t="s">
        <v>9</v>
      </c>
      <c r="H462" s="1606" t="s">
        <v>9</v>
      </c>
      <c r="I462" s="1606" t="s">
        <v>960</v>
      </c>
    </row>
    <row r="463" spans="1:9" ht="11.25" customHeight="1">
      <c r="A463" s="1606" t="s">
        <v>2296</v>
      </c>
      <c r="B463" s="1606" t="s">
        <v>3</v>
      </c>
      <c r="C463" s="1606" t="s">
        <v>2969</v>
      </c>
      <c r="D463" s="1606" t="s">
        <v>2970</v>
      </c>
      <c r="E463" s="1606" t="s">
        <v>2971</v>
      </c>
      <c r="F463" s="1606" t="s">
        <v>2356</v>
      </c>
      <c r="G463" s="1606" t="s">
        <v>9</v>
      </c>
      <c r="H463" s="1606" t="s">
        <v>9</v>
      </c>
      <c r="I463" s="1606" t="s">
        <v>960</v>
      </c>
    </row>
    <row r="464" spans="1:9" ht="11.25" customHeight="1">
      <c r="A464" s="1606" t="s">
        <v>2296</v>
      </c>
      <c r="B464" s="1606" t="s">
        <v>3</v>
      </c>
      <c r="C464" s="1606" t="s">
        <v>2611</v>
      </c>
      <c r="D464" s="1606" t="s">
        <v>2612</v>
      </c>
      <c r="E464" s="1606" t="s">
        <v>2613</v>
      </c>
      <c r="F464" s="1606" t="s">
        <v>2318</v>
      </c>
      <c r="G464" s="1606" t="s">
        <v>9</v>
      </c>
      <c r="H464" s="1606" t="s">
        <v>9</v>
      </c>
      <c r="I464" s="1606" t="s">
        <v>960</v>
      </c>
    </row>
    <row r="465" spans="1:9" ht="11.25" customHeight="1">
      <c r="A465" s="1606" t="s">
        <v>2296</v>
      </c>
      <c r="B465" s="1606" t="s">
        <v>3</v>
      </c>
      <c r="C465" s="1606" t="s">
        <v>2614</v>
      </c>
      <c r="D465" s="1606" t="s">
        <v>2615</v>
      </c>
      <c r="E465" s="1606" t="s">
        <v>2616</v>
      </c>
      <c r="F465" s="1606" t="s">
        <v>2318</v>
      </c>
      <c r="G465" s="1606" t="s">
        <v>9</v>
      </c>
      <c r="H465" s="1606" t="s">
        <v>9</v>
      </c>
      <c r="I465" s="1606" t="s">
        <v>960</v>
      </c>
    </row>
    <row r="466" spans="1:9" ht="11.25" customHeight="1">
      <c r="A466" s="1606" t="s">
        <v>2296</v>
      </c>
      <c r="B466" s="1606" t="s">
        <v>3</v>
      </c>
      <c r="C466" s="1606" t="s">
        <v>2617</v>
      </c>
      <c r="D466" s="1606" t="s">
        <v>2618</v>
      </c>
      <c r="E466" s="1606" t="s">
        <v>2619</v>
      </c>
      <c r="F466" s="1606" t="s">
        <v>2318</v>
      </c>
      <c r="G466" s="1606" t="s">
        <v>9</v>
      </c>
      <c r="H466" s="1606" t="s">
        <v>9</v>
      </c>
      <c r="I466" s="1606" t="s">
        <v>960</v>
      </c>
    </row>
    <row r="467" spans="1:9" ht="11.25" customHeight="1">
      <c r="A467" s="1606" t="s">
        <v>2296</v>
      </c>
      <c r="B467" s="1606" t="s">
        <v>3</v>
      </c>
      <c r="C467" s="1606" t="s">
        <v>2623</v>
      </c>
      <c r="D467" s="1606" t="s">
        <v>2624</v>
      </c>
      <c r="E467" s="1606" t="s">
        <v>2625</v>
      </c>
      <c r="F467" s="1606" t="s">
        <v>2318</v>
      </c>
      <c r="G467" s="1606" t="s">
        <v>9</v>
      </c>
      <c r="H467" s="1606" t="s">
        <v>9</v>
      </c>
      <c r="I467" s="1606" t="s">
        <v>960</v>
      </c>
    </row>
    <row r="468" spans="1:9" ht="11.25" customHeight="1">
      <c r="A468" s="1606" t="s">
        <v>2296</v>
      </c>
      <c r="B468" s="1606" t="s">
        <v>3</v>
      </c>
      <c r="C468" s="1606" t="s">
        <v>2629</v>
      </c>
      <c r="D468" s="1606" t="s">
        <v>2627</v>
      </c>
      <c r="E468" s="1606" t="s">
        <v>2630</v>
      </c>
      <c r="F468" s="1606" t="s">
        <v>2610</v>
      </c>
      <c r="G468" s="1606" t="s">
        <v>9</v>
      </c>
      <c r="H468" s="1606" t="s">
        <v>9</v>
      </c>
      <c r="I468" s="1606" t="s">
        <v>960</v>
      </c>
    </row>
    <row r="469" spans="1:9" ht="11.25" customHeight="1">
      <c r="A469" s="1606" t="s">
        <v>2296</v>
      </c>
      <c r="B469" s="1606" t="s">
        <v>3</v>
      </c>
      <c r="C469" s="1606" t="s">
        <v>2631</v>
      </c>
      <c r="D469" s="1606" t="s">
        <v>2632</v>
      </c>
      <c r="E469" s="1606" t="s">
        <v>2633</v>
      </c>
      <c r="F469" s="1606" t="s">
        <v>2318</v>
      </c>
      <c r="G469" s="1606" t="s">
        <v>9</v>
      </c>
      <c r="H469" s="1606" t="s">
        <v>9</v>
      </c>
      <c r="I469" s="1606" t="s">
        <v>960</v>
      </c>
    </row>
    <row r="470" spans="1:9" ht="11.25" customHeight="1">
      <c r="A470" s="1606" t="s">
        <v>2296</v>
      </c>
      <c r="B470" s="1606" t="s">
        <v>3</v>
      </c>
      <c r="C470" s="1606" t="s">
        <v>2972</v>
      </c>
      <c r="D470" s="1606" t="s">
        <v>2973</v>
      </c>
      <c r="E470" s="1606" t="s">
        <v>2974</v>
      </c>
      <c r="F470" s="1606" t="s">
        <v>2487</v>
      </c>
      <c r="G470" s="1606" t="s">
        <v>9</v>
      </c>
      <c r="H470" s="1606" t="s">
        <v>9</v>
      </c>
      <c r="I470" s="1606" t="s">
        <v>960</v>
      </c>
    </row>
    <row r="471" spans="1:9" ht="11.25" customHeight="1">
      <c r="A471" s="1606" t="s">
        <v>2296</v>
      </c>
      <c r="B471" s="1606" t="s">
        <v>3</v>
      </c>
      <c r="C471" s="1606" t="s">
        <v>2634</v>
      </c>
      <c r="D471" s="1606" t="s">
        <v>2635</v>
      </c>
      <c r="E471" s="1606" t="s">
        <v>2636</v>
      </c>
      <c r="F471" s="1606" t="s">
        <v>2356</v>
      </c>
      <c r="G471" s="1606" t="s">
        <v>9</v>
      </c>
      <c r="H471" s="1606" t="s">
        <v>9</v>
      </c>
      <c r="I471" s="1606" t="s">
        <v>960</v>
      </c>
    </row>
    <row r="472" spans="1:9" ht="11.25" customHeight="1">
      <c r="A472" s="1606" t="s">
        <v>2296</v>
      </c>
      <c r="B472" s="1606" t="s">
        <v>3</v>
      </c>
      <c r="C472" s="1606" t="s">
        <v>2982</v>
      </c>
      <c r="D472" s="1606" t="s">
        <v>2983</v>
      </c>
      <c r="E472" s="1606" t="s">
        <v>2984</v>
      </c>
      <c r="F472" s="1606" t="s">
        <v>2487</v>
      </c>
      <c r="G472" s="1606" t="s">
        <v>9</v>
      </c>
      <c r="H472" s="1606" t="s">
        <v>9</v>
      </c>
      <c r="I472" s="1606" t="s">
        <v>960</v>
      </c>
    </row>
    <row r="473" spans="1:9" ht="11.25" customHeight="1">
      <c r="A473" s="1606" t="s">
        <v>2296</v>
      </c>
      <c r="B473" s="1606" t="s">
        <v>3</v>
      </c>
      <c r="C473" s="1606" t="s">
        <v>2643</v>
      </c>
      <c r="D473" s="1606" t="s">
        <v>2644</v>
      </c>
      <c r="E473" s="1606" t="s">
        <v>2645</v>
      </c>
      <c r="F473" s="1606" t="s">
        <v>2487</v>
      </c>
      <c r="G473" s="1606" t="s">
        <v>9</v>
      </c>
      <c r="H473" s="1606" t="s">
        <v>9</v>
      </c>
      <c r="I473" s="1606" t="s">
        <v>960</v>
      </c>
    </row>
    <row r="474" spans="1:9" ht="11.25" customHeight="1">
      <c r="A474" s="1606" t="s">
        <v>2296</v>
      </c>
      <c r="B474" s="1606" t="s">
        <v>3</v>
      </c>
      <c r="C474" s="1606" t="s">
        <v>2646</v>
      </c>
      <c r="D474" s="1606" t="s">
        <v>2647</v>
      </c>
      <c r="E474" s="1606" t="s">
        <v>2648</v>
      </c>
      <c r="F474" s="1606" t="s">
        <v>2418</v>
      </c>
      <c r="G474" s="1606" t="s">
        <v>9</v>
      </c>
      <c r="H474" s="1606" t="s">
        <v>9</v>
      </c>
      <c r="I474" s="1606" t="s">
        <v>960</v>
      </c>
    </row>
    <row r="475" spans="1:9" ht="11.25" customHeight="1">
      <c r="A475" s="1606" t="s">
        <v>2296</v>
      </c>
      <c r="B475" s="1606" t="s">
        <v>3</v>
      </c>
      <c r="C475" s="1606" t="s">
        <v>2985</v>
      </c>
      <c r="D475" s="1606" t="s">
        <v>2986</v>
      </c>
      <c r="E475" s="1606" t="s">
        <v>2987</v>
      </c>
      <c r="F475" s="1606" t="s">
        <v>2476</v>
      </c>
      <c r="G475" s="1606" t="s">
        <v>9</v>
      </c>
      <c r="H475" s="1606" t="s">
        <v>9</v>
      </c>
      <c r="I475" s="1606" t="s">
        <v>960</v>
      </c>
    </row>
    <row r="476" spans="1:9" ht="11.25" customHeight="1">
      <c r="A476" s="1606" t="s">
        <v>2296</v>
      </c>
      <c r="B476" s="1606" t="s">
        <v>3</v>
      </c>
      <c r="C476" s="1606" t="s">
        <v>2988</v>
      </c>
      <c r="D476" s="1606" t="s">
        <v>2989</v>
      </c>
      <c r="E476" s="1606" t="s">
        <v>2990</v>
      </c>
      <c r="F476" s="1606" t="s">
        <v>2418</v>
      </c>
      <c r="G476" s="1606" t="s">
        <v>9</v>
      </c>
      <c r="H476" s="1606" t="s">
        <v>9</v>
      </c>
      <c r="I476" s="1606" t="s">
        <v>960</v>
      </c>
    </row>
    <row r="477" spans="1:9" ht="11.25" customHeight="1">
      <c r="A477" s="1606" t="s">
        <v>2296</v>
      </c>
      <c r="B477" s="1606" t="s">
        <v>3</v>
      </c>
      <c r="C477" s="1606" t="s">
        <v>2661</v>
      </c>
      <c r="D477" s="1606" t="s">
        <v>2662</v>
      </c>
      <c r="E477" s="1606" t="s">
        <v>2663</v>
      </c>
      <c r="F477" s="1606" t="s">
        <v>2403</v>
      </c>
      <c r="G477" s="1606" t="s">
        <v>9</v>
      </c>
      <c r="H477" s="1606" t="s">
        <v>9</v>
      </c>
      <c r="I477" s="1606" t="s">
        <v>960</v>
      </c>
    </row>
    <row r="478" spans="1:9" ht="11.25" customHeight="1">
      <c r="A478" s="1606" t="s">
        <v>2296</v>
      </c>
      <c r="B478" s="1606" t="s">
        <v>3</v>
      </c>
      <c r="C478" s="1606" t="s">
        <v>2664</v>
      </c>
      <c r="D478" s="1606" t="s">
        <v>2665</v>
      </c>
      <c r="E478" s="1606" t="s">
        <v>2666</v>
      </c>
      <c r="F478" s="1606" t="s">
        <v>2318</v>
      </c>
      <c r="G478" s="1606" t="s">
        <v>9</v>
      </c>
      <c r="H478" s="1606" t="s">
        <v>9</v>
      </c>
      <c r="I478" s="1606" t="s">
        <v>960</v>
      </c>
    </row>
    <row r="479" spans="1:9" ht="11.25" customHeight="1">
      <c r="A479" s="1606" t="s">
        <v>2296</v>
      </c>
      <c r="B479" s="1606" t="s">
        <v>3</v>
      </c>
      <c r="C479" s="1606" t="s">
        <v>3057</v>
      </c>
      <c r="D479" s="1606" t="s">
        <v>3058</v>
      </c>
      <c r="E479" s="1606" t="s">
        <v>3059</v>
      </c>
      <c r="F479" s="1606" t="s">
        <v>3060</v>
      </c>
      <c r="G479" s="1606" t="s">
        <v>3061</v>
      </c>
      <c r="H479" s="1606" t="s">
        <v>9</v>
      </c>
      <c r="I479" s="1606" t="s">
        <v>960</v>
      </c>
    </row>
    <row r="480" spans="1:9" ht="11.25" customHeight="1">
      <c r="A480" s="1606" t="s">
        <v>2296</v>
      </c>
      <c r="B480" s="1606" t="s">
        <v>3</v>
      </c>
      <c r="C480" s="1606" t="s">
        <v>2994</v>
      </c>
      <c r="D480" s="1606" t="s">
        <v>2995</v>
      </c>
      <c r="E480" s="1606" t="s">
        <v>2996</v>
      </c>
      <c r="F480" s="1606" t="s">
        <v>2476</v>
      </c>
      <c r="G480" s="1606" t="s">
        <v>9</v>
      </c>
      <c r="H480" s="1606" t="s">
        <v>9</v>
      </c>
      <c r="I480" s="1606" t="s">
        <v>960</v>
      </c>
    </row>
    <row r="481" spans="1:9" ht="11.25" customHeight="1">
      <c r="A481" s="1606" t="s">
        <v>2296</v>
      </c>
      <c r="B481" s="1606" t="s">
        <v>3</v>
      </c>
      <c r="C481" s="1606" t="s">
        <v>2673</v>
      </c>
      <c r="D481" s="1606" t="s">
        <v>2674</v>
      </c>
      <c r="E481" s="1606" t="s">
        <v>2675</v>
      </c>
      <c r="F481" s="1606" t="s">
        <v>2476</v>
      </c>
      <c r="G481" s="1606" t="s">
        <v>9</v>
      </c>
      <c r="H481" s="1606" t="s">
        <v>9</v>
      </c>
      <c r="I481" s="1606" t="s">
        <v>960</v>
      </c>
    </row>
    <row r="482" spans="1:9" ht="11.25" customHeight="1">
      <c r="A482" s="1606" t="s">
        <v>2296</v>
      </c>
      <c r="B482" s="1606" t="s">
        <v>3</v>
      </c>
      <c r="C482" s="1606" t="s">
        <v>2676</v>
      </c>
      <c r="D482" s="1606" t="s">
        <v>2677</v>
      </c>
      <c r="E482" s="1606" t="s">
        <v>2678</v>
      </c>
      <c r="F482" s="1606" t="s">
        <v>2418</v>
      </c>
      <c r="G482" s="1606" t="s">
        <v>9</v>
      </c>
      <c r="H482" s="1606" t="s">
        <v>9</v>
      </c>
      <c r="I482" s="1606" t="s">
        <v>960</v>
      </c>
    </row>
    <row r="483" spans="1:9" ht="11.25" customHeight="1">
      <c r="A483" s="1606" t="s">
        <v>2296</v>
      </c>
      <c r="B483" s="1606" t="s">
        <v>3</v>
      </c>
      <c r="C483" s="1606" t="s">
        <v>3003</v>
      </c>
      <c r="D483" s="1606" t="s">
        <v>3004</v>
      </c>
      <c r="E483" s="1606" t="s">
        <v>3005</v>
      </c>
      <c r="F483" s="1606" t="s">
        <v>2385</v>
      </c>
      <c r="G483" s="1606" t="s">
        <v>9</v>
      </c>
      <c r="H483" s="1606" t="s">
        <v>9</v>
      </c>
      <c r="I483" s="1606" t="s">
        <v>960</v>
      </c>
    </row>
    <row r="484" spans="1:9" ht="11.25" customHeight="1">
      <c r="A484" s="1606" t="s">
        <v>2296</v>
      </c>
      <c r="B484" s="1606" t="s">
        <v>3</v>
      </c>
      <c r="C484" s="1606" t="s">
        <v>3062</v>
      </c>
      <c r="D484" s="1606" t="s">
        <v>3063</v>
      </c>
      <c r="E484" s="1606" t="s">
        <v>3064</v>
      </c>
      <c r="F484" s="1606" t="s">
        <v>2318</v>
      </c>
      <c r="G484" s="1606" t="s">
        <v>3065</v>
      </c>
      <c r="H484" s="1606" t="s">
        <v>9</v>
      </c>
      <c r="I484" s="1606" t="s">
        <v>960</v>
      </c>
    </row>
    <row r="485" spans="1:9" ht="11.25" customHeight="1">
      <c r="A485" s="1606" t="s">
        <v>2296</v>
      </c>
      <c r="B485" s="1606" t="s">
        <v>3</v>
      </c>
      <c r="C485" s="1606" t="s">
        <v>3006</v>
      </c>
      <c r="D485" s="1606" t="s">
        <v>3007</v>
      </c>
      <c r="E485" s="1606" t="s">
        <v>3008</v>
      </c>
      <c r="F485" s="1606" t="s">
        <v>2528</v>
      </c>
      <c r="G485" s="1606" t="s">
        <v>9</v>
      </c>
      <c r="H485" s="1606" t="s">
        <v>9</v>
      </c>
      <c r="I485" s="1606" t="s">
        <v>960</v>
      </c>
    </row>
    <row r="486" spans="1:9" ht="11.25" customHeight="1">
      <c r="A486" s="1606" t="s">
        <v>2296</v>
      </c>
      <c r="B486" s="1606" t="s">
        <v>3</v>
      </c>
      <c r="C486" s="1606" t="s">
        <v>2729</v>
      </c>
      <c r="D486" s="1606" t="s">
        <v>2730</v>
      </c>
      <c r="E486" s="1606" t="s">
        <v>2731</v>
      </c>
      <c r="F486" s="1606" t="s">
        <v>2414</v>
      </c>
      <c r="G486" s="1606" t="s">
        <v>9</v>
      </c>
      <c r="H486" s="1606" t="s">
        <v>9</v>
      </c>
      <c r="I486" s="1606" t="s">
        <v>960</v>
      </c>
    </row>
    <row r="487" spans="1:9" ht="11.25" customHeight="1">
      <c r="A487" s="1606" t="s">
        <v>2296</v>
      </c>
      <c r="B487" s="1606" t="s">
        <v>3</v>
      </c>
      <c r="C487" s="1606" t="s">
        <v>2732</v>
      </c>
      <c r="D487" s="1606" t="s">
        <v>2733</v>
      </c>
      <c r="E487" s="1606" t="s">
        <v>2734</v>
      </c>
      <c r="F487" s="1606" t="s">
        <v>2414</v>
      </c>
      <c r="G487" s="1606" t="s">
        <v>9</v>
      </c>
      <c r="H487" s="1606" t="s">
        <v>9</v>
      </c>
      <c r="I487" s="1606" t="s">
        <v>960</v>
      </c>
    </row>
    <row r="488" spans="1:9" ht="11.25" customHeight="1">
      <c r="A488" s="1606" t="s">
        <v>2296</v>
      </c>
      <c r="B488" s="1606" t="s">
        <v>3</v>
      </c>
      <c r="C488" s="1606" t="s">
        <v>3009</v>
      </c>
      <c r="D488" s="1606" t="s">
        <v>3010</v>
      </c>
      <c r="E488" s="1606" t="s">
        <v>3011</v>
      </c>
      <c r="F488" s="1606" t="s">
        <v>2418</v>
      </c>
      <c r="G488" s="1606" t="s">
        <v>3012</v>
      </c>
      <c r="H488" s="1606" t="s">
        <v>9</v>
      </c>
      <c r="I488" s="1606" t="s">
        <v>960</v>
      </c>
    </row>
    <row r="489" spans="1:9" ht="11.25" customHeight="1">
      <c r="A489" s="1606" t="s">
        <v>2296</v>
      </c>
      <c r="B489" s="1606" t="s">
        <v>3</v>
      </c>
      <c r="C489" s="1606" t="s">
        <v>2739</v>
      </c>
      <c r="D489" s="1606" t="s">
        <v>2740</v>
      </c>
      <c r="E489" s="1606" t="s">
        <v>2741</v>
      </c>
      <c r="F489" s="1606" t="s">
        <v>2742</v>
      </c>
      <c r="G489" s="1606" t="s">
        <v>9</v>
      </c>
      <c r="H489" s="1606" t="s">
        <v>9</v>
      </c>
      <c r="I489" s="1606" t="s">
        <v>960</v>
      </c>
    </row>
    <row r="490" spans="1:9" ht="11.25" customHeight="1">
      <c r="A490" s="1606" t="s">
        <v>2296</v>
      </c>
      <c r="B490" s="1606" t="s">
        <v>3</v>
      </c>
      <c r="C490" s="1606" t="s">
        <v>2743</v>
      </c>
      <c r="D490" s="1606" t="s">
        <v>2744</v>
      </c>
      <c r="E490" s="1606" t="s">
        <v>2745</v>
      </c>
      <c r="F490" s="1606" t="s">
        <v>2746</v>
      </c>
      <c r="G490" s="1606" t="s">
        <v>9</v>
      </c>
      <c r="H490" s="1606" t="s">
        <v>9</v>
      </c>
      <c r="I490" s="1606" t="s">
        <v>960</v>
      </c>
    </row>
    <row r="491" spans="1:9" ht="11.25" customHeight="1">
      <c r="A491" s="1606" t="s">
        <v>2296</v>
      </c>
      <c r="B491" s="1606" t="s">
        <v>3</v>
      </c>
      <c r="C491" s="1606" t="s">
        <v>2802</v>
      </c>
      <c r="D491" s="1606" t="s">
        <v>2744</v>
      </c>
      <c r="E491" s="1606" t="s">
        <v>2745</v>
      </c>
      <c r="F491" s="1606" t="s">
        <v>2803</v>
      </c>
      <c r="G491" s="1606" t="s">
        <v>9</v>
      </c>
      <c r="H491" s="1606" t="s">
        <v>9</v>
      </c>
      <c r="I491" s="1606" t="s">
        <v>960</v>
      </c>
    </row>
    <row r="492" spans="1:9" ht="11.25" customHeight="1">
      <c r="A492" s="1606" t="s">
        <v>2296</v>
      </c>
      <c r="B492" s="1606" t="s">
        <v>3</v>
      </c>
      <c r="C492" s="1606" t="s">
        <v>3017</v>
      </c>
      <c r="D492" s="1606" t="s">
        <v>3018</v>
      </c>
      <c r="E492" s="1606" t="s">
        <v>3019</v>
      </c>
      <c r="F492" s="1606" t="s">
        <v>2528</v>
      </c>
      <c r="G492" s="1606" t="s">
        <v>9</v>
      </c>
      <c r="H492" s="1606" t="s">
        <v>9</v>
      </c>
      <c r="I492" s="1606" t="s">
        <v>960</v>
      </c>
    </row>
    <row r="493" spans="1:9" ht="11.25" customHeight="1">
      <c r="A493" s="1606" t="s">
        <v>2296</v>
      </c>
      <c r="B493" s="1606" t="s">
        <v>3</v>
      </c>
      <c r="C493" s="1606" t="s">
        <v>3020</v>
      </c>
      <c r="D493" s="1606" t="s">
        <v>3021</v>
      </c>
      <c r="E493" s="1606" t="s">
        <v>3022</v>
      </c>
      <c r="F493" s="1606" t="s">
        <v>37</v>
      </c>
      <c r="G493" s="1606" t="s">
        <v>9</v>
      </c>
      <c r="H493" s="1606" t="s">
        <v>9</v>
      </c>
      <c r="I493" s="1606" t="s">
        <v>960</v>
      </c>
    </row>
    <row r="494" spans="1:9" ht="11.25" customHeight="1">
      <c r="A494" s="1606" t="s">
        <v>2296</v>
      </c>
      <c r="B494" s="1606" t="s">
        <v>3</v>
      </c>
      <c r="C494" s="1606" t="s">
        <v>2750</v>
      </c>
      <c r="D494" s="1606" t="s">
        <v>2751</v>
      </c>
      <c r="E494" s="1606" t="s">
        <v>2752</v>
      </c>
      <c r="F494" s="1606" t="s">
        <v>2318</v>
      </c>
      <c r="G494" s="1606" t="s">
        <v>9</v>
      </c>
      <c r="H494" s="1606" t="s">
        <v>9</v>
      </c>
      <c r="I494" s="1606" t="s">
        <v>960</v>
      </c>
    </row>
    <row r="495" spans="1:9" ht="11.25" customHeight="1">
      <c r="A495" s="1606" t="s">
        <v>2296</v>
      </c>
      <c r="B495" s="1606" t="s">
        <v>3</v>
      </c>
      <c r="C495" s="1606" t="s">
        <v>3029</v>
      </c>
      <c r="D495" s="1606" t="s">
        <v>3030</v>
      </c>
      <c r="E495" s="1606" t="s">
        <v>3031</v>
      </c>
      <c r="F495" s="1606" t="s">
        <v>2476</v>
      </c>
      <c r="G495" s="1606" t="s">
        <v>9</v>
      </c>
      <c r="H495" s="1606" t="s">
        <v>9</v>
      </c>
      <c r="I495" s="1606" t="s">
        <v>960</v>
      </c>
    </row>
    <row r="496" spans="1:9" ht="11.25" customHeight="1">
      <c r="A496" s="1606" t="s">
        <v>2296</v>
      </c>
      <c r="B496" s="1606" t="s">
        <v>3</v>
      </c>
      <c r="C496" s="1606" t="s">
        <v>2759</v>
      </c>
      <c r="D496" s="1606" t="s">
        <v>2760</v>
      </c>
      <c r="E496" s="1606" t="s">
        <v>2523</v>
      </c>
      <c r="F496" s="1606" t="s">
        <v>2761</v>
      </c>
      <c r="G496" s="1606" t="s">
        <v>9</v>
      </c>
      <c r="H496" s="1606" t="s">
        <v>9</v>
      </c>
      <c r="I496" s="1606" t="s">
        <v>960</v>
      </c>
    </row>
    <row r="497" spans="1:9" ht="11.25" customHeight="1">
      <c r="A497" s="1606" t="s">
        <v>2296</v>
      </c>
      <c r="B497" s="1606" t="s">
        <v>3</v>
      </c>
      <c r="C497" s="1606" t="s">
        <v>2768</v>
      </c>
      <c r="D497" s="1606" t="s">
        <v>2769</v>
      </c>
      <c r="E497" s="1606" t="s">
        <v>2770</v>
      </c>
      <c r="F497" s="1606" t="s">
        <v>2771</v>
      </c>
      <c r="G497" s="1606" t="s">
        <v>9</v>
      </c>
      <c r="H497" s="1606" t="s">
        <v>9</v>
      </c>
      <c r="I497" s="1606" t="s">
        <v>960</v>
      </c>
    </row>
    <row r="498" spans="1:9" ht="11.25" customHeight="1">
      <c r="A498" s="1606" t="s">
        <v>2296</v>
      </c>
      <c r="B498" s="1606" t="s">
        <v>3</v>
      </c>
      <c r="C498" s="1606" t="s">
        <v>2776</v>
      </c>
      <c r="D498" s="1606" t="s">
        <v>2777</v>
      </c>
      <c r="E498" s="1606" t="s">
        <v>2778</v>
      </c>
      <c r="F498" s="1606" t="s">
        <v>2528</v>
      </c>
      <c r="G498" s="1606" t="s">
        <v>9</v>
      </c>
      <c r="H498" s="1606" t="s">
        <v>9</v>
      </c>
      <c r="I498" s="1606" t="s">
        <v>960</v>
      </c>
    </row>
    <row r="499" spans="1:9" ht="11.25" customHeight="1">
      <c r="A499" s="1606" t="s">
        <v>2296</v>
      </c>
      <c r="B499" s="1606" t="s">
        <v>3</v>
      </c>
      <c r="C499" s="1606" t="s">
        <v>2779</v>
      </c>
      <c r="D499" s="1606" t="s">
        <v>2780</v>
      </c>
      <c r="E499" s="1606" t="s">
        <v>2781</v>
      </c>
      <c r="F499" s="1606" t="s">
        <v>2528</v>
      </c>
      <c r="G499" s="1606" t="s">
        <v>9</v>
      </c>
      <c r="H499" s="1606" t="s">
        <v>9</v>
      </c>
      <c r="I499" s="1606" t="s">
        <v>960</v>
      </c>
    </row>
    <row r="500" spans="1:9" ht="11.25" customHeight="1">
      <c r="A500" s="1606" t="s">
        <v>2296</v>
      </c>
      <c r="B500" s="1606" t="s">
        <v>3</v>
      </c>
      <c r="C500" s="1606" t="s">
        <v>2782</v>
      </c>
      <c r="D500" s="1606" t="s">
        <v>2783</v>
      </c>
      <c r="E500" s="1606" t="s">
        <v>2784</v>
      </c>
      <c r="F500" s="1606" t="s">
        <v>2318</v>
      </c>
      <c r="G500" s="1606" t="s">
        <v>9</v>
      </c>
      <c r="H500" s="1606" t="s">
        <v>9</v>
      </c>
      <c r="I500" s="1606" t="s">
        <v>960</v>
      </c>
    </row>
    <row r="501" spans="1:9" ht="11.25" customHeight="1">
      <c r="A501" s="1606" t="s">
        <v>2296</v>
      </c>
      <c r="B501" s="1606" t="s">
        <v>3</v>
      </c>
      <c r="C501" s="1606" t="s">
        <v>2792</v>
      </c>
      <c r="D501" s="1606" t="s">
        <v>2793</v>
      </c>
      <c r="E501" s="1606" t="s">
        <v>2794</v>
      </c>
      <c r="F501" s="1606" t="s">
        <v>2795</v>
      </c>
      <c r="G501" s="1606" t="s">
        <v>9</v>
      </c>
      <c r="H501" s="1606" t="s">
        <v>9</v>
      </c>
      <c r="I501" s="1606" t="s">
        <v>960</v>
      </c>
    </row>
    <row r="502" spans="1:9" ht="11.25" customHeight="1">
      <c r="A502" s="1606" t="s">
        <v>2296</v>
      </c>
      <c r="B502" s="1606" t="s">
        <v>3</v>
      </c>
      <c r="C502" s="1606" t="s">
        <v>2799</v>
      </c>
      <c r="D502" s="1606" t="s">
        <v>2800</v>
      </c>
      <c r="E502" s="1606" t="s">
        <v>2764</v>
      </c>
      <c r="F502" s="1606" t="s">
        <v>2801</v>
      </c>
      <c r="G502" s="1606" t="s">
        <v>9</v>
      </c>
      <c r="H502" s="1606" t="s">
        <v>9</v>
      </c>
      <c r="I502" s="1606" t="s">
        <v>960</v>
      </c>
    </row>
    <row r="503" spans="1:9" ht="11.25" customHeight="1">
      <c r="A503" s="1606" t="s">
        <v>2296</v>
      </c>
      <c r="B503" s="1606" t="s">
        <v>3</v>
      </c>
      <c r="C503" s="1606" t="s">
        <v>3066</v>
      </c>
      <c r="D503" s="1606" t="s">
        <v>3067</v>
      </c>
      <c r="E503" s="1606" t="s">
        <v>3068</v>
      </c>
      <c r="F503" s="1606" t="s">
        <v>37</v>
      </c>
      <c r="G503" s="1606" t="s">
        <v>9</v>
      </c>
      <c r="H503" s="1606" t="s">
        <v>9</v>
      </c>
      <c r="I503" s="1606" t="s">
        <v>1680</v>
      </c>
    </row>
    <row r="504" spans="1:9" ht="11.25" customHeight="1">
      <c r="A504" s="1606" t="s">
        <v>2296</v>
      </c>
      <c r="B504" s="1606" t="s">
        <v>3</v>
      </c>
      <c r="C504" s="1606" t="s">
        <v>9</v>
      </c>
      <c r="D504" s="1606" t="s">
        <v>2398</v>
      </c>
      <c r="E504" s="1606" t="s">
        <v>2399</v>
      </c>
      <c r="F504" s="1606" t="s">
        <v>2343</v>
      </c>
      <c r="G504" s="1606" t="s">
        <v>9</v>
      </c>
      <c r="H504" s="1606" t="s">
        <v>9</v>
      </c>
      <c r="I504" s="1606" t="s">
        <v>1680</v>
      </c>
    </row>
    <row r="505" spans="1:9" ht="11.25" customHeight="1">
      <c r="A505" s="1606" t="s">
        <v>2296</v>
      </c>
      <c r="B505" s="1606" t="s">
        <v>3</v>
      </c>
      <c r="C505" s="1606" t="s">
        <v>3069</v>
      </c>
      <c r="D505" s="1606" t="s">
        <v>3070</v>
      </c>
      <c r="E505" s="1606" t="s">
        <v>3071</v>
      </c>
      <c r="F505" s="1606" t="s">
        <v>37</v>
      </c>
      <c r="G505" s="1606" t="s">
        <v>9</v>
      </c>
      <c r="H505" s="1606" t="s">
        <v>9</v>
      </c>
      <c r="I505" s="1606" t="s">
        <v>1680</v>
      </c>
    </row>
    <row r="506" spans="1:9" ht="11.25" customHeight="1">
      <c r="A506" s="1606" t="s">
        <v>2296</v>
      </c>
      <c r="B506" s="1606" t="s">
        <v>3</v>
      </c>
      <c r="C506" s="1606" t="s">
        <v>3072</v>
      </c>
      <c r="D506" s="1606" t="s">
        <v>3073</v>
      </c>
      <c r="E506" s="1606" t="s">
        <v>3074</v>
      </c>
      <c r="F506" s="1606" t="s">
        <v>2528</v>
      </c>
      <c r="G506" s="1606" t="s">
        <v>9</v>
      </c>
      <c r="H506" s="1606" t="s">
        <v>9</v>
      </c>
      <c r="I506" s="1606" t="s">
        <v>1680</v>
      </c>
    </row>
    <row r="507" spans="1:9" ht="11.25" customHeight="1">
      <c r="A507" s="1606" t="s">
        <v>2296</v>
      </c>
      <c r="B507" s="1606" t="s">
        <v>3</v>
      </c>
      <c r="C507" s="1606" t="s">
        <v>3075</v>
      </c>
      <c r="D507" s="1606" t="s">
        <v>3076</v>
      </c>
      <c r="E507" s="1606" t="s">
        <v>3077</v>
      </c>
      <c r="F507" s="1606" t="s">
        <v>2318</v>
      </c>
      <c r="G507" s="1606" t="s">
        <v>9</v>
      </c>
      <c r="H507" s="1606" t="s">
        <v>9</v>
      </c>
      <c r="I507" s="1606" t="s">
        <v>1680</v>
      </c>
    </row>
    <row r="508" spans="1:9" ht="11.25" customHeight="1">
      <c r="A508" s="1606" t="s">
        <v>2296</v>
      </c>
      <c r="B508" s="1606" t="s">
        <v>3</v>
      </c>
      <c r="C508" s="1606" t="s">
        <v>2626</v>
      </c>
      <c r="D508" s="1606" t="s">
        <v>2627</v>
      </c>
      <c r="E508" s="1606" t="s">
        <v>2628</v>
      </c>
      <c r="F508" s="1606" t="s">
        <v>2418</v>
      </c>
      <c r="G508" s="1606" t="s">
        <v>9</v>
      </c>
      <c r="H508" s="1606" t="s">
        <v>9</v>
      </c>
      <c r="I508" s="1606" t="s">
        <v>1680</v>
      </c>
    </row>
    <row r="509" spans="1:9" ht="11.25" customHeight="1">
      <c r="A509" s="1606" t="s">
        <v>2296</v>
      </c>
      <c r="B509" s="1606" t="s">
        <v>3</v>
      </c>
      <c r="C509" s="1606" t="s">
        <v>3078</v>
      </c>
      <c r="D509" s="1606" t="s">
        <v>3079</v>
      </c>
      <c r="E509" s="1606" t="s">
        <v>3080</v>
      </c>
      <c r="F509" s="1606" t="s">
        <v>2403</v>
      </c>
      <c r="G509" s="1606" t="s">
        <v>9</v>
      </c>
      <c r="H509" s="1606" t="s">
        <v>9</v>
      </c>
      <c r="I509" s="1606" t="s">
        <v>1680</v>
      </c>
    </row>
    <row r="510" spans="1:9" ht="11.25" customHeight="1">
      <c r="A510" s="1606" t="s">
        <v>2296</v>
      </c>
      <c r="B510" s="1606" t="s">
        <v>3</v>
      </c>
      <c r="C510" s="1606" t="s">
        <v>3081</v>
      </c>
      <c r="D510" s="1606" t="s">
        <v>3082</v>
      </c>
      <c r="E510" s="1606" t="s">
        <v>3083</v>
      </c>
      <c r="F510" s="1606" t="s">
        <v>2487</v>
      </c>
      <c r="G510" s="1606" t="s">
        <v>9</v>
      </c>
      <c r="H510" s="1606" t="s">
        <v>9</v>
      </c>
      <c r="I510" s="1606" t="s">
        <v>1680</v>
      </c>
    </row>
    <row r="511" spans="1:9" ht="11.25" customHeight="1">
      <c r="A511" s="1606" t="s">
        <v>2296</v>
      </c>
      <c r="B511" s="1606" t="s">
        <v>3</v>
      </c>
      <c r="C511" s="1606" t="s">
        <v>3084</v>
      </c>
      <c r="D511" s="1606" t="s">
        <v>3085</v>
      </c>
      <c r="E511" s="1606" t="s">
        <v>3086</v>
      </c>
      <c r="F511" s="1606" t="s">
        <v>2328</v>
      </c>
      <c r="G511" s="1606" t="s">
        <v>9</v>
      </c>
      <c r="H511" s="1606" t="s">
        <v>9</v>
      </c>
      <c r="I511" s="1606" t="s">
        <v>1680</v>
      </c>
    </row>
    <row r="512" spans="1:9" ht="11.25" customHeight="1">
      <c r="A512" s="1606" t="s">
        <v>2296</v>
      </c>
      <c r="B512" s="1606" t="s">
        <v>3</v>
      </c>
      <c r="C512" s="1606" t="s">
        <v>2723</v>
      </c>
      <c r="D512" s="1606" t="s">
        <v>2724</v>
      </c>
      <c r="E512" s="1606" t="s">
        <v>2725</v>
      </c>
      <c r="F512" s="1606" t="s">
        <v>2487</v>
      </c>
      <c r="G512" s="1606" t="s">
        <v>9</v>
      </c>
      <c r="H512" s="1606" t="s">
        <v>9</v>
      </c>
      <c r="I512" s="1606" t="s">
        <v>1680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09"/>
  <sheetViews>
    <sheetView showGridLines="0" workbookViewId="0"/>
  </sheetViews>
  <sheetFormatPr defaultRowHeight="11.25" customHeight="1"/>
  <cols>
    <col min="1" max="1" width="9.140625" style="1606"/>
  </cols>
  <sheetData>
    <row r="1" spans="1:7" ht="11.25" customHeight="1">
      <c r="A1" s="306" t="s">
        <v>3087</v>
      </c>
      <c r="B1" s="3" t="s">
        <v>3088</v>
      </c>
      <c r="C1" s="3" t="s">
        <v>3089</v>
      </c>
      <c r="D1" s="3" t="s">
        <v>3090</v>
      </c>
      <c r="E1" s="2" t="s">
        <v>3091</v>
      </c>
      <c r="F1" s="2" t="s">
        <v>3092</v>
      </c>
      <c r="G1" s="2" t="s">
        <v>3093</v>
      </c>
    </row>
    <row r="2" spans="1:7" ht="11.25" customHeight="1">
      <c r="A2" s="306" t="s">
        <v>3</v>
      </c>
      <c r="B2" t="s">
        <v>3094</v>
      </c>
      <c r="C2" t="s">
        <v>3095</v>
      </c>
      <c r="D2" t="s">
        <v>3094</v>
      </c>
      <c r="E2" t="s">
        <v>3095</v>
      </c>
      <c r="F2" t="s">
        <v>3096</v>
      </c>
      <c r="G2" t="s">
        <v>161</v>
      </c>
    </row>
    <row r="3" spans="1:7" ht="11.25" customHeight="1">
      <c r="A3" s="306" t="s">
        <v>3</v>
      </c>
      <c r="B3" t="s">
        <v>3097</v>
      </c>
      <c r="C3" t="s">
        <v>3098</v>
      </c>
      <c r="D3" t="s">
        <v>3097</v>
      </c>
      <c r="E3" t="s">
        <v>3098</v>
      </c>
      <c r="F3" t="s">
        <v>3099</v>
      </c>
      <c r="G3" t="s">
        <v>89</v>
      </c>
    </row>
    <row r="4" spans="1:7" ht="11.25" customHeight="1">
      <c r="A4" s="306" t="s">
        <v>3</v>
      </c>
      <c r="B4" t="s">
        <v>3097</v>
      </c>
      <c r="C4" t="s">
        <v>3098</v>
      </c>
      <c r="D4" t="s">
        <v>3100</v>
      </c>
      <c r="E4" t="s">
        <v>3101</v>
      </c>
      <c r="F4" t="s">
        <v>3102</v>
      </c>
      <c r="G4" t="s">
        <v>77</v>
      </c>
    </row>
    <row r="5" spans="1:7" ht="11.25" customHeight="1">
      <c r="A5" s="306" t="s">
        <v>3</v>
      </c>
      <c r="B5" t="s">
        <v>3097</v>
      </c>
      <c r="C5" t="s">
        <v>3098</v>
      </c>
      <c r="D5" t="s">
        <v>3103</v>
      </c>
      <c r="E5" t="s">
        <v>3104</v>
      </c>
      <c r="F5" t="s">
        <v>3105</v>
      </c>
      <c r="G5" t="s">
        <v>78</v>
      </c>
    </row>
    <row r="6" spans="1:7" ht="11.25" customHeight="1">
      <c r="A6" s="306" t="s">
        <v>3</v>
      </c>
      <c r="B6" t="s">
        <v>3097</v>
      </c>
      <c r="C6" t="s">
        <v>3098</v>
      </c>
      <c r="D6" t="s">
        <v>3106</v>
      </c>
      <c r="E6" t="s">
        <v>3107</v>
      </c>
      <c r="F6" t="s">
        <v>3105</v>
      </c>
      <c r="G6" t="s">
        <v>115</v>
      </c>
    </row>
    <row r="7" spans="1:7" ht="11.25" customHeight="1">
      <c r="A7" s="306" t="s">
        <v>3</v>
      </c>
      <c r="B7" t="s">
        <v>3097</v>
      </c>
      <c r="C7" t="s">
        <v>3098</v>
      </c>
      <c r="D7" t="s">
        <v>3108</v>
      </c>
      <c r="E7" t="s">
        <v>3109</v>
      </c>
      <c r="F7" t="s">
        <v>3105</v>
      </c>
      <c r="G7" t="s">
        <v>79</v>
      </c>
    </row>
    <row r="8" spans="1:7" ht="11.25" customHeight="1">
      <c r="A8" s="306" t="s">
        <v>3</v>
      </c>
      <c r="B8" t="s">
        <v>86</v>
      </c>
      <c r="C8" t="s">
        <v>87</v>
      </c>
      <c r="D8" t="s">
        <v>86</v>
      </c>
      <c r="E8" t="s">
        <v>87</v>
      </c>
      <c r="F8" t="s">
        <v>3096</v>
      </c>
      <c r="G8" t="s">
        <v>80</v>
      </c>
    </row>
    <row r="9" spans="1:7" ht="11.25" customHeight="1">
      <c r="A9" s="306" t="s">
        <v>3</v>
      </c>
      <c r="B9" t="s">
        <v>3110</v>
      </c>
      <c r="C9" t="s">
        <v>3111</v>
      </c>
      <c r="D9" t="s">
        <v>3112</v>
      </c>
      <c r="E9" t="s">
        <v>3113</v>
      </c>
      <c r="F9" t="s">
        <v>3105</v>
      </c>
      <c r="G9" t="s">
        <v>131</v>
      </c>
    </row>
    <row r="10" spans="1:7" ht="11.25" customHeight="1">
      <c r="A10" s="306" t="s">
        <v>3</v>
      </c>
      <c r="B10" t="s">
        <v>3110</v>
      </c>
      <c r="C10" t="s">
        <v>3111</v>
      </c>
      <c r="D10" t="s">
        <v>3110</v>
      </c>
      <c r="E10" t="s">
        <v>3111</v>
      </c>
      <c r="F10" t="s">
        <v>3099</v>
      </c>
      <c r="G10" t="s">
        <v>133</v>
      </c>
    </row>
    <row r="11" spans="1:7" ht="11.25" customHeight="1">
      <c r="A11" s="306" t="s">
        <v>3</v>
      </c>
      <c r="B11" t="s">
        <v>3110</v>
      </c>
      <c r="C11" t="s">
        <v>3111</v>
      </c>
      <c r="D11" t="s">
        <v>3114</v>
      </c>
      <c r="E11" t="s">
        <v>3115</v>
      </c>
      <c r="F11" t="s">
        <v>3102</v>
      </c>
      <c r="G11" t="s">
        <v>138</v>
      </c>
    </row>
    <row r="12" spans="1:7" ht="11.25" customHeight="1">
      <c r="A12" s="306" t="s">
        <v>3</v>
      </c>
      <c r="B12" t="s">
        <v>3110</v>
      </c>
      <c r="C12" t="s">
        <v>3111</v>
      </c>
      <c r="D12" t="s">
        <v>3116</v>
      </c>
      <c r="E12" t="s">
        <v>3117</v>
      </c>
      <c r="F12" t="s">
        <v>3105</v>
      </c>
      <c r="G12" t="s">
        <v>140</v>
      </c>
    </row>
    <row r="13" spans="1:7" ht="11.25" customHeight="1">
      <c r="A13" s="306" t="s">
        <v>3</v>
      </c>
      <c r="B13" t="s">
        <v>3110</v>
      </c>
      <c r="C13" t="s">
        <v>3111</v>
      </c>
      <c r="D13" t="s">
        <v>3118</v>
      </c>
      <c r="E13" t="s">
        <v>3119</v>
      </c>
      <c r="F13" t="s">
        <v>3105</v>
      </c>
      <c r="G13" t="s">
        <v>145</v>
      </c>
    </row>
    <row r="14" spans="1:7" ht="11.25" customHeight="1">
      <c r="A14" s="306" t="s">
        <v>3</v>
      </c>
      <c r="B14" t="s">
        <v>3110</v>
      </c>
      <c r="C14" t="s">
        <v>3111</v>
      </c>
      <c r="D14" t="s">
        <v>3120</v>
      </c>
      <c r="E14" t="s">
        <v>3121</v>
      </c>
      <c r="F14" t="s">
        <v>3105</v>
      </c>
      <c r="G14" t="s">
        <v>150</v>
      </c>
    </row>
    <row r="15" spans="1:7" ht="11.25" customHeight="1">
      <c r="A15" s="306" t="s">
        <v>3</v>
      </c>
      <c r="B15" t="s">
        <v>3110</v>
      </c>
      <c r="C15" t="s">
        <v>3111</v>
      </c>
      <c r="D15" t="s">
        <v>3122</v>
      </c>
      <c r="E15" t="s">
        <v>3123</v>
      </c>
      <c r="F15" t="s">
        <v>3105</v>
      </c>
      <c r="G15" t="s">
        <v>239</v>
      </c>
    </row>
    <row r="16" spans="1:7" ht="11.25" customHeight="1">
      <c r="A16" s="306" t="s">
        <v>3</v>
      </c>
      <c r="B16" t="s">
        <v>3110</v>
      </c>
      <c r="C16" t="s">
        <v>3111</v>
      </c>
      <c r="D16" t="s">
        <v>3124</v>
      </c>
      <c r="E16" t="s">
        <v>3125</v>
      </c>
      <c r="F16" t="s">
        <v>3105</v>
      </c>
      <c r="G16" t="s">
        <v>1527</v>
      </c>
    </row>
    <row r="17" spans="1:7" ht="11.25" customHeight="1">
      <c r="A17" s="306" t="s">
        <v>3</v>
      </c>
      <c r="B17" t="s">
        <v>3110</v>
      </c>
      <c r="C17" t="s">
        <v>3111</v>
      </c>
      <c r="D17" t="s">
        <v>3126</v>
      </c>
      <c r="E17" t="s">
        <v>3127</v>
      </c>
      <c r="F17" t="s">
        <v>3105</v>
      </c>
      <c r="G17" t="s">
        <v>1533</v>
      </c>
    </row>
    <row r="18" spans="1:7" ht="11.25" customHeight="1">
      <c r="A18" s="306" t="s">
        <v>3</v>
      </c>
      <c r="B18" t="s">
        <v>93</v>
      </c>
      <c r="C18" t="s">
        <v>94</v>
      </c>
      <c r="D18" t="s">
        <v>93</v>
      </c>
      <c r="E18" t="s">
        <v>94</v>
      </c>
      <c r="F18" t="s">
        <v>3096</v>
      </c>
      <c r="G18" t="s">
        <v>92</v>
      </c>
    </row>
    <row r="19" spans="1:7" ht="11.25" customHeight="1">
      <c r="A19" s="306" t="s">
        <v>3</v>
      </c>
      <c r="B19" t="s">
        <v>1092</v>
      </c>
      <c r="C19" t="s">
        <v>3128</v>
      </c>
      <c r="D19" t="s">
        <v>1092</v>
      </c>
      <c r="E19" t="s">
        <v>3128</v>
      </c>
      <c r="F19" t="s">
        <v>3099</v>
      </c>
      <c r="G19" t="s">
        <v>1558</v>
      </c>
    </row>
    <row r="20" spans="1:7" ht="11.25" customHeight="1">
      <c r="A20" s="306" t="s">
        <v>3</v>
      </c>
      <c r="B20" t="s">
        <v>1092</v>
      </c>
      <c r="C20" t="s">
        <v>3128</v>
      </c>
      <c r="D20" t="s">
        <v>1093</v>
      </c>
      <c r="E20" t="s">
        <v>1094</v>
      </c>
      <c r="F20" t="s">
        <v>3102</v>
      </c>
      <c r="G20" t="s">
        <v>1570</v>
      </c>
    </row>
    <row r="21" spans="1:7" ht="11.25" customHeight="1">
      <c r="A21" s="306" t="s">
        <v>3</v>
      </c>
      <c r="B21" t="s">
        <v>1092</v>
      </c>
      <c r="C21" t="s">
        <v>3128</v>
      </c>
      <c r="D21" t="s">
        <v>3129</v>
      </c>
      <c r="E21" t="s">
        <v>3130</v>
      </c>
      <c r="F21" t="s">
        <v>3105</v>
      </c>
      <c r="G21" t="s">
        <v>1579</v>
      </c>
    </row>
    <row r="22" spans="1:7" ht="11.25" customHeight="1">
      <c r="A22" s="306" t="s">
        <v>3</v>
      </c>
      <c r="B22" t="s">
        <v>1092</v>
      </c>
      <c r="C22" t="s">
        <v>3128</v>
      </c>
      <c r="D22" t="s">
        <v>3131</v>
      </c>
      <c r="E22" t="s">
        <v>3132</v>
      </c>
      <c r="F22" t="s">
        <v>3105</v>
      </c>
      <c r="G22" t="s">
        <v>1003</v>
      </c>
    </row>
    <row r="23" spans="1:7" ht="11.25" customHeight="1">
      <c r="A23" s="306" t="s">
        <v>3</v>
      </c>
      <c r="B23" t="s">
        <v>1092</v>
      </c>
      <c r="C23" t="s">
        <v>3128</v>
      </c>
      <c r="D23" t="s">
        <v>3133</v>
      </c>
      <c r="E23" t="s">
        <v>3134</v>
      </c>
      <c r="F23" t="s">
        <v>3105</v>
      </c>
      <c r="G23" t="s">
        <v>1601</v>
      </c>
    </row>
    <row r="24" spans="1:7" ht="11.25" customHeight="1">
      <c r="A24" s="306" t="s">
        <v>3</v>
      </c>
      <c r="B24" t="s">
        <v>3135</v>
      </c>
      <c r="C24" t="s">
        <v>3136</v>
      </c>
      <c r="D24" t="s">
        <v>3135</v>
      </c>
      <c r="E24" t="s">
        <v>3136</v>
      </c>
      <c r="F24" t="s">
        <v>3096</v>
      </c>
      <c r="G24" t="s">
        <v>1609</v>
      </c>
    </row>
    <row r="25" spans="1:7" ht="11.25" customHeight="1">
      <c r="A25" s="306" t="s">
        <v>3</v>
      </c>
      <c r="B25" t="s">
        <v>3137</v>
      </c>
      <c r="C25" t="s">
        <v>3138</v>
      </c>
      <c r="D25" t="s">
        <v>3139</v>
      </c>
      <c r="E25" t="s">
        <v>3140</v>
      </c>
      <c r="F25" t="s">
        <v>3105</v>
      </c>
      <c r="G25" t="s">
        <v>1616</v>
      </c>
    </row>
    <row r="26" spans="1:7" ht="11.25" customHeight="1">
      <c r="A26" s="306" t="s">
        <v>3</v>
      </c>
      <c r="B26" t="s">
        <v>3137</v>
      </c>
      <c r="C26" t="s">
        <v>3138</v>
      </c>
      <c r="D26" t="s">
        <v>3137</v>
      </c>
      <c r="E26" t="s">
        <v>3138</v>
      </c>
      <c r="F26" t="s">
        <v>3099</v>
      </c>
      <c r="G26" t="s">
        <v>1620</v>
      </c>
    </row>
    <row r="27" spans="1:7" ht="11.25" customHeight="1">
      <c r="A27" s="306" t="s">
        <v>3</v>
      </c>
      <c r="B27" t="s">
        <v>3137</v>
      </c>
      <c r="C27" t="s">
        <v>3138</v>
      </c>
      <c r="D27" t="s">
        <v>3141</v>
      </c>
      <c r="E27" t="s">
        <v>3142</v>
      </c>
      <c r="F27" t="s">
        <v>3105</v>
      </c>
      <c r="G27" t="s">
        <v>1625</v>
      </c>
    </row>
    <row r="28" spans="1:7" ht="11.25" customHeight="1">
      <c r="A28" s="306" t="s">
        <v>3</v>
      </c>
      <c r="B28" t="s">
        <v>3137</v>
      </c>
      <c r="C28" t="s">
        <v>3138</v>
      </c>
      <c r="D28" t="s">
        <v>3143</v>
      </c>
      <c r="E28" t="s">
        <v>3144</v>
      </c>
      <c r="F28" t="s">
        <v>3105</v>
      </c>
      <c r="G28" t="s">
        <v>1032</v>
      </c>
    </row>
    <row r="29" spans="1:7" ht="11.25" customHeight="1">
      <c r="A29" s="306" t="s">
        <v>3</v>
      </c>
      <c r="B29" t="s">
        <v>3145</v>
      </c>
      <c r="C29" t="s">
        <v>3146</v>
      </c>
      <c r="D29" t="s">
        <v>3145</v>
      </c>
      <c r="E29" t="s">
        <v>3146</v>
      </c>
      <c r="F29" t="s">
        <v>3147</v>
      </c>
      <c r="G29" t="s">
        <v>1634</v>
      </c>
    </row>
    <row r="30" spans="1:7" ht="11.25" customHeight="1">
      <c r="A30" s="306" t="s">
        <v>3</v>
      </c>
      <c r="B30" t="s">
        <v>3148</v>
      </c>
      <c r="C30" t="s">
        <v>3149</v>
      </c>
      <c r="D30" t="s">
        <v>3148</v>
      </c>
      <c r="E30" t="s">
        <v>3149</v>
      </c>
      <c r="F30" t="s">
        <v>3147</v>
      </c>
      <c r="G30" t="s">
        <v>1637</v>
      </c>
    </row>
    <row r="31" spans="1:7" ht="11.25" customHeight="1">
      <c r="A31" s="306" t="s">
        <v>3</v>
      </c>
      <c r="B31" t="s">
        <v>3150</v>
      </c>
      <c r="C31" t="s">
        <v>3151</v>
      </c>
      <c r="D31" t="s">
        <v>3150</v>
      </c>
      <c r="E31" t="s">
        <v>3151</v>
      </c>
      <c r="F31" t="s">
        <v>3096</v>
      </c>
      <c r="G31" t="s">
        <v>1643</v>
      </c>
    </row>
    <row r="32" spans="1:7" ht="11.25" customHeight="1">
      <c r="A32" s="306" t="s">
        <v>3</v>
      </c>
      <c r="B32" t="s">
        <v>3152</v>
      </c>
      <c r="C32" t="s">
        <v>3153</v>
      </c>
      <c r="D32" t="s">
        <v>3154</v>
      </c>
      <c r="E32" t="s">
        <v>3155</v>
      </c>
      <c r="F32" t="s">
        <v>3105</v>
      </c>
      <c r="G32" t="s">
        <v>1645</v>
      </c>
    </row>
    <row r="33" spans="1:7" ht="11.25" customHeight="1">
      <c r="A33" s="306" t="s">
        <v>3</v>
      </c>
      <c r="B33" t="s">
        <v>3152</v>
      </c>
      <c r="C33" t="s">
        <v>3153</v>
      </c>
      <c r="D33" t="s">
        <v>3152</v>
      </c>
      <c r="E33" t="s">
        <v>3153</v>
      </c>
      <c r="F33" t="s">
        <v>3099</v>
      </c>
      <c r="G33" t="s">
        <v>1647</v>
      </c>
    </row>
    <row r="34" spans="1:7" ht="11.25" customHeight="1">
      <c r="A34" s="306" t="s">
        <v>3</v>
      </c>
      <c r="B34" t="s">
        <v>3152</v>
      </c>
      <c r="C34" t="s">
        <v>3153</v>
      </c>
      <c r="D34" t="s">
        <v>3156</v>
      </c>
      <c r="E34" t="s">
        <v>3157</v>
      </c>
      <c r="F34" t="s">
        <v>3102</v>
      </c>
      <c r="G34" t="s">
        <v>1649</v>
      </c>
    </row>
    <row r="35" spans="1:7" ht="11.25" customHeight="1">
      <c r="A35" s="306" t="s">
        <v>3</v>
      </c>
      <c r="B35" t="s">
        <v>3152</v>
      </c>
      <c r="C35" t="s">
        <v>3153</v>
      </c>
      <c r="D35" t="s">
        <v>3158</v>
      </c>
      <c r="E35" t="s">
        <v>3159</v>
      </c>
      <c r="F35" t="s">
        <v>3105</v>
      </c>
      <c r="G35" t="s">
        <v>1654</v>
      </c>
    </row>
    <row r="36" spans="1:7" ht="11.25" customHeight="1">
      <c r="A36" s="306" t="s">
        <v>3</v>
      </c>
      <c r="B36" t="s">
        <v>3152</v>
      </c>
      <c r="C36" t="s">
        <v>3153</v>
      </c>
      <c r="D36" t="s">
        <v>3160</v>
      </c>
      <c r="E36" t="s">
        <v>3161</v>
      </c>
      <c r="F36" t="s">
        <v>3162</v>
      </c>
      <c r="G36" t="s">
        <v>1659</v>
      </c>
    </row>
    <row r="37" spans="1:7" ht="11.25" customHeight="1">
      <c r="A37" s="306" t="s">
        <v>3</v>
      </c>
      <c r="B37" t="s">
        <v>3152</v>
      </c>
      <c r="C37" t="s">
        <v>3153</v>
      </c>
      <c r="D37" t="s">
        <v>3163</v>
      </c>
      <c r="E37" t="s">
        <v>3164</v>
      </c>
      <c r="F37" t="s">
        <v>3105</v>
      </c>
      <c r="G37" t="s">
        <v>1663</v>
      </c>
    </row>
    <row r="38" spans="1:7" ht="11.25" customHeight="1">
      <c r="A38" s="306" t="s">
        <v>3</v>
      </c>
      <c r="B38" t="s">
        <v>3152</v>
      </c>
      <c r="C38" t="s">
        <v>3153</v>
      </c>
      <c r="D38" t="s">
        <v>3165</v>
      </c>
      <c r="E38" t="s">
        <v>3166</v>
      </c>
      <c r="F38" t="s">
        <v>3105</v>
      </c>
      <c r="G38" t="s">
        <v>1671</v>
      </c>
    </row>
    <row r="39" spans="1:7" ht="11.25" customHeight="1">
      <c r="A39" s="306" t="s">
        <v>3</v>
      </c>
      <c r="B39" t="s">
        <v>136</v>
      </c>
      <c r="C39" t="s">
        <v>137</v>
      </c>
      <c r="D39" t="s">
        <v>136</v>
      </c>
      <c r="E39" t="s">
        <v>137</v>
      </c>
      <c r="F39" t="s">
        <v>3096</v>
      </c>
      <c r="G39" t="s">
        <v>135</v>
      </c>
    </row>
    <row r="40" spans="1:7" ht="11.25" customHeight="1">
      <c r="A40" s="306" t="s">
        <v>3</v>
      </c>
      <c r="B40" t="s">
        <v>3167</v>
      </c>
      <c r="C40" t="s">
        <v>3168</v>
      </c>
      <c r="D40" t="s">
        <v>3169</v>
      </c>
      <c r="E40" t="s">
        <v>3170</v>
      </c>
      <c r="F40" t="s">
        <v>3105</v>
      </c>
      <c r="G40" t="s">
        <v>1681</v>
      </c>
    </row>
    <row r="41" spans="1:7" ht="11.25" customHeight="1">
      <c r="A41" s="306" t="s">
        <v>3</v>
      </c>
      <c r="B41" t="s">
        <v>3167</v>
      </c>
      <c r="C41" t="s">
        <v>3168</v>
      </c>
      <c r="D41" t="s">
        <v>3171</v>
      </c>
      <c r="E41" t="s">
        <v>3172</v>
      </c>
      <c r="F41" t="s">
        <v>3162</v>
      </c>
      <c r="G41" t="s">
        <v>1685</v>
      </c>
    </row>
    <row r="42" spans="1:7" ht="11.25" customHeight="1">
      <c r="A42" s="306" t="s">
        <v>3</v>
      </c>
      <c r="B42" t="s">
        <v>3167</v>
      </c>
      <c r="C42" t="s">
        <v>3168</v>
      </c>
      <c r="D42" t="s">
        <v>3167</v>
      </c>
      <c r="E42" t="s">
        <v>3168</v>
      </c>
      <c r="F42" t="s">
        <v>3099</v>
      </c>
      <c r="G42" t="s">
        <v>1688</v>
      </c>
    </row>
    <row r="43" spans="1:7" ht="11.25" customHeight="1">
      <c r="A43" s="306" t="s">
        <v>3</v>
      </c>
      <c r="B43" t="s">
        <v>3167</v>
      </c>
      <c r="C43" t="s">
        <v>3168</v>
      </c>
      <c r="D43" t="s">
        <v>3173</v>
      </c>
      <c r="E43" t="s">
        <v>3174</v>
      </c>
      <c r="F43" t="s">
        <v>3102</v>
      </c>
      <c r="G43" t="s">
        <v>1695</v>
      </c>
    </row>
    <row r="44" spans="1:7" ht="11.25" customHeight="1">
      <c r="A44" s="306" t="s">
        <v>3</v>
      </c>
      <c r="B44" t="s">
        <v>3167</v>
      </c>
      <c r="C44" t="s">
        <v>3168</v>
      </c>
      <c r="D44" t="s">
        <v>3175</v>
      </c>
      <c r="E44" t="s">
        <v>3176</v>
      </c>
      <c r="F44" t="s">
        <v>3105</v>
      </c>
      <c r="G44" t="s">
        <v>1704</v>
      </c>
    </row>
    <row r="45" spans="1:7" ht="11.25" customHeight="1">
      <c r="A45" s="306" t="s">
        <v>3</v>
      </c>
      <c r="B45" t="s">
        <v>3167</v>
      </c>
      <c r="C45" t="s">
        <v>3168</v>
      </c>
      <c r="D45" t="s">
        <v>3177</v>
      </c>
      <c r="E45" t="s">
        <v>3178</v>
      </c>
      <c r="F45" t="s">
        <v>3105</v>
      </c>
      <c r="G45" t="s">
        <v>1709</v>
      </c>
    </row>
    <row r="46" spans="1:7" ht="11.25" customHeight="1">
      <c r="A46" s="306" t="s">
        <v>3</v>
      </c>
      <c r="B46" t="s">
        <v>123</v>
      </c>
      <c r="C46" t="s">
        <v>124</v>
      </c>
      <c r="D46" t="s">
        <v>123</v>
      </c>
      <c r="E46" t="s">
        <v>124</v>
      </c>
      <c r="F46" t="s">
        <v>3096</v>
      </c>
      <c r="G46" t="s">
        <v>122</v>
      </c>
    </row>
    <row r="47" spans="1:7" ht="11.25" customHeight="1">
      <c r="A47" s="306" t="s">
        <v>3</v>
      </c>
      <c r="B47" t="s">
        <v>3179</v>
      </c>
      <c r="C47" t="s">
        <v>3180</v>
      </c>
      <c r="D47" t="s">
        <v>3181</v>
      </c>
      <c r="E47" t="s">
        <v>3182</v>
      </c>
      <c r="F47" t="s">
        <v>3105</v>
      </c>
      <c r="G47" t="s">
        <v>1717</v>
      </c>
    </row>
    <row r="48" spans="1:7" ht="11.25" customHeight="1">
      <c r="A48" s="306" t="s">
        <v>3</v>
      </c>
      <c r="B48" t="s">
        <v>3179</v>
      </c>
      <c r="C48" t="s">
        <v>3180</v>
      </c>
      <c r="D48" t="s">
        <v>3179</v>
      </c>
      <c r="E48" t="s">
        <v>3180</v>
      </c>
      <c r="F48" t="s">
        <v>3099</v>
      </c>
      <c r="G48" t="s">
        <v>1722</v>
      </c>
    </row>
    <row r="49" spans="1:7" ht="11.25" customHeight="1">
      <c r="A49" s="306" t="s">
        <v>3</v>
      </c>
      <c r="B49" t="s">
        <v>3179</v>
      </c>
      <c r="C49" t="s">
        <v>3180</v>
      </c>
      <c r="D49" t="s">
        <v>3183</v>
      </c>
      <c r="E49" t="s">
        <v>3184</v>
      </c>
      <c r="F49" t="s">
        <v>3102</v>
      </c>
      <c r="G49" t="s">
        <v>1022</v>
      </c>
    </row>
    <row r="50" spans="1:7" ht="11.25" customHeight="1">
      <c r="A50" s="306" t="s">
        <v>3</v>
      </c>
      <c r="B50" t="s">
        <v>3179</v>
      </c>
      <c r="C50" t="s">
        <v>3180</v>
      </c>
      <c r="D50" t="s">
        <v>3185</v>
      </c>
      <c r="E50" t="s">
        <v>3186</v>
      </c>
      <c r="F50" t="s">
        <v>3162</v>
      </c>
      <c r="G50" t="s">
        <v>1728</v>
      </c>
    </row>
    <row r="51" spans="1:7" ht="11.25" customHeight="1">
      <c r="A51" s="306" t="s">
        <v>3</v>
      </c>
      <c r="B51" t="s">
        <v>3179</v>
      </c>
      <c r="C51" t="s">
        <v>3180</v>
      </c>
      <c r="D51" t="s">
        <v>3187</v>
      </c>
      <c r="E51" t="s">
        <v>3188</v>
      </c>
      <c r="F51" t="s">
        <v>3105</v>
      </c>
      <c r="G51" t="s">
        <v>1733</v>
      </c>
    </row>
    <row r="52" spans="1:7" ht="11.25" customHeight="1">
      <c r="A52" s="306" t="s">
        <v>3</v>
      </c>
      <c r="B52" t="s">
        <v>3179</v>
      </c>
      <c r="C52" t="s">
        <v>3180</v>
      </c>
      <c r="D52" t="s">
        <v>3189</v>
      </c>
      <c r="E52" t="s">
        <v>3190</v>
      </c>
      <c r="F52" t="s">
        <v>3105</v>
      </c>
      <c r="G52" t="s">
        <v>1737</v>
      </c>
    </row>
    <row r="53" spans="1:7" ht="11.25" customHeight="1">
      <c r="A53" s="306" t="s">
        <v>3</v>
      </c>
      <c r="B53" t="s">
        <v>126</v>
      </c>
      <c r="C53" t="s">
        <v>127</v>
      </c>
      <c r="D53" t="s">
        <v>126</v>
      </c>
      <c r="E53" t="s">
        <v>127</v>
      </c>
      <c r="F53" t="s">
        <v>3096</v>
      </c>
      <c r="G53" t="s">
        <v>125</v>
      </c>
    </row>
    <row r="54" spans="1:7" ht="11.25" customHeight="1">
      <c r="A54" s="306" t="s">
        <v>3</v>
      </c>
      <c r="B54" t="s">
        <v>3191</v>
      </c>
      <c r="C54" t="s">
        <v>3192</v>
      </c>
      <c r="D54" t="s">
        <v>3193</v>
      </c>
      <c r="E54" t="s">
        <v>3194</v>
      </c>
      <c r="F54" t="s">
        <v>3105</v>
      </c>
      <c r="G54" t="s">
        <v>1741</v>
      </c>
    </row>
    <row r="55" spans="1:7" ht="11.25" customHeight="1">
      <c r="A55" s="306" t="s">
        <v>3</v>
      </c>
      <c r="B55" t="s">
        <v>3191</v>
      </c>
      <c r="C55" t="s">
        <v>3192</v>
      </c>
      <c r="D55" t="s">
        <v>3191</v>
      </c>
      <c r="E55" t="s">
        <v>3192</v>
      </c>
      <c r="F55" t="s">
        <v>3099</v>
      </c>
      <c r="G55" t="s">
        <v>1746</v>
      </c>
    </row>
    <row r="56" spans="1:7" ht="11.25" customHeight="1">
      <c r="A56" s="306" t="s">
        <v>3</v>
      </c>
      <c r="B56" t="s">
        <v>3191</v>
      </c>
      <c r="C56" t="s">
        <v>3192</v>
      </c>
      <c r="D56" t="s">
        <v>3195</v>
      </c>
      <c r="E56" t="s">
        <v>3196</v>
      </c>
      <c r="F56" t="s">
        <v>3102</v>
      </c>
      <c r="G56" t="s">
        <v>1750</v>
      </c>
    </row>
    <row r="57" spans="1:7" ht="11.25" customHeight="1">
      <c r="A57" s="306" t="s">
        <v>3</v>
      </c>
      <c r="B57" t="s">
        <v>3191</v>
      </c>
      <c r="C57" t="s">
        <v>3192</v>
      </c>
      <c r="D57" t="s">
        <v>3197</v>
      </c>
      <c r="E57" t="s">
        <v>3198</v>
      </c>
      <c r="F57" t="s">
        <v>3105</v>
      </c>
      <c r="G57" t="s">
        <v>1754</v>
      </c>
    </row>
    <row r="58" spans="1:7" ht="11.25" customHeight="1">
      <c r="A58" s="306" t="s">
        <v>3</v>
      </c>
      <c r="B58" t="s">
        <v>3191</v>
      </c>
      <c r="C58" t="s">
        <v>3192</v>
      </c>
      <c r="D58" t="s">
        <v>3199</v>
      </c>
      <c r="E58" t="s">
        <v>3200</v>
      </c>
      <c r="F58" t="s">
        <v>3105</v>
      </c>
      <c r="G58" t="s">
        <v>1757</v>
      </c>
    </row>
    <row r="59" spans="1:7" ht="11.25" customHeight="1">
      <c r="A59" s="306" t="s">
        <v>3</v>
      </c>
      <c r="B59" t="s">
        <v>110</v>
      </c>
      <c r="C59" t="s">
        <v>111</v>
      </c>
      <c r="D59" t="s">
        <v>110</v>
      </c>
      <c r="E59" t="s">
        <v>111</v>
      </c>
      <c r="F59" t="s">
        <v>3096</v>
      </c>
      <c r="G59" t="s">
        <v>109</v>
      </c>
    </row>
    <row r="60" spans="1:7" ht="11.25" customHeight="1">
      <c r="A60" s="306" t="s">
        <v>3</v>
      </c>
      <c r="B60" t="s">
        <v>1065</v>
      </c>
      <c r="C60" t="s">
        <v>3201</v>
      </c>
      <c r="D60" t="s">
        <v>3202</v>
      </c>
      <c r="E60" t="s">
        <v>3203</v>
      </c>
      <c r="F60" t="s">
        <v>3105</v>
      </c>
      <c r="G60" t="s">
        <v>1763</v>
      </c>
    </row>
    <row r="61" spans="1:7" ht="11.25" customHeight="1">
      <c r="A61" s="306" t="s">
        <v>3</v>
      </c>
      <c r="B61" t="s">
        <v>1065</v>
      </c>
      <c r="C61" t="s">
        <v>3201</v>
      </c>
      <c r="D61" t="s">
        <v>1065</v>
      </c>
      <c r="E61" t="s">
        <v>3201</v>
      </c>
      <c r="F61" t="s">
        <v>3099</v>
      </c>
      <c r="G61" t="s">
        <v>3204</v>
      </c>
    </row>
    <row r="62" spans="1:7" ht="11.25" customHeight="1">
      <c r="A62" s="306" t="s">
        <v>3</v>
      </c>
      <c r="B62" t="s">
        <v>1065</v>
      </c>
      <c r="C62" t="s">
        <v>3201</v>
      </c>
      <c r="D62" t="s">
        <v>1066</v>
      </c>
      <c r="E62" t="s">
        <v>1067</v>
      </c>
      <c r="F62" t="s">
        <v>3105</v>
      </c>
      <c r="G62" t="s">
        <v>3205</v>
      </c>
    </row>
    <row r="63" spans="1:7" ht="11.25" customHeight="1">
      <c r="A63" s="306" t="s">
        <v>3</v>
      </c>
      <c r="B63" t="s">
        <v>1065</v>
      </c>
      <c r="C63" t="s">
        <v>3201</v>
      </c>
      <c r="D63" t="s">
        <v>3206</v>
      </c>
      <c r="E63" t="s">
        <v>3207</v>
      </c>
      <c r="F63" t="s">
        <v>3105</v>
      </c>
      <c r="G63" t="s">
        <v>1041</v>
      </c>
    </row>
    <row r="64" spans="1:7" ht="11.25" customHeight="1">
      <c r="A64" s="306" t="s">
        <v>3</v>
      </c>
      <c r="B64" t="s">
        <v>1065</v>
      </c>
      <c r="C64" t="s">
        <v>3201</v>
      </c>
      <c r="D64" t="s">
        <v>3208</v>
      </c>
      <c r="E64" t="s">
        <v>3209</v>
      </c>
      <c r="F64" t="s">
        <v>3105</v>
      </c>
      <c r="G64" t="s">
        <v>3210</v>
      </c>
    </row>
    <row r="65" spans="1:7" ht="11.25" customHeight="1">
      <c r="A65" s="306" t="s">
        <v>3</v>
      </c>
      <c r="B65" t="s">
        <v>3211</v>
      </c>
      <c r="C65" t="s">
        <v>3212</v>
      </c>
      <c r="D65" t="s">
        <v>3211</v>
      </c>
      <c r="E65" t="s">
        <v>3212</v>
      </c>
      <c r="F65" t="s">
        <v>3096</v>
      </c>
      <c r="G65" t="s">
        <v>3213</v>
      </c>
    </row>
    <row r="66" spans="1:7" ht="11.25" customHeight="1">
      <c r="A66" s="306" t="s">
        <v>3</v>
      </c>
      <c r="B66" t="s">
        <v>3214</v>
      </c>
      <c r="C66" t="s">
        <v>3215</v>
      </c>
      <c r="D66" t="s">
        <v>3216</v>
      </c>
      <c r="E66" t="s">
        <v>3217</v>
      </c>
      <c r="F66" t="s">
        <v>3105</v>
      </c>
      <c r="G66" t="s">
        <v>3218</v>
      </c>
    </row>
    <row r="67" spans="1:7" ht="11.25" customHeight="1">
      <c r="A67" s="306" t="s">
        <v>3</v>
      </c>
      <c r="B67" t="s">
        <v>3214</v>
      </c>
      <c r="C67" t="s">
        <v>3215</v>
      </c>
      <c r="D67" t="s">
        <v>3214</v>
      </c>
      <c r="E67" t="s">
        <v>3215</v>
      </c>
      <c r="F67" t="s">
        <v>3099</v>
      </c>
      <c r="G67" t="s">
        <v>2073</v>
      </c>
    </row>
    <row r="68" spans="1:7" ht="11.25" customHeight="1">
      <c r="A68" s="306" t="s">
        <v>3</v>
      </c>
      <c r="B68" t="s">
        <v>3214</v>
      </c>
      <c r="C68" t="s">
        <v>3215</v>
      </c>
      <c r="D68" t="s">
        <v>3219</v>
      </c>
      <c r="E68" t="s">
        <v>3220</v>
      </c>
      <c r="F68" t="s">
        <v>3162</v>
      </c>
      <c r="G68" t="s">
        <v>3221</v>
      </c>
    </row>
    <row r="69" spans="1:7" ht="11.25" customHeight="1">
      <c r="A69" s="306" t="s">
        <v>3</v>
      </c>
      <c r="B69" t="s">
        <v>3214</v>
      </c>
      <c r="C69" t="s">
        <v>3215</v>
      </c>
      <c r="D69" t="s">
        <v>3222</v>
      </c>
      <c r="E69" t="s">
        <v>3223</v>
      </c>
      <c r="F69" t="s">
        <v>3105</v>
      </c>
      <c r="G69" t="s">
        <v>2273</v>
      </c>
    </row>
    <row r="70" spans="1:7" ht="11.25" customHeight="1">
      <c r="A70" s="306" t="s">
        <v>3</v>
      </c>
      <c r="B70" t="s">
        <v>3214</v>
      </c>
      <c r="C70" t="s">
        <v>3215</v>
      </c>
      <c r="D70" t="s">
        <v>3224</v>
      </c>
      <c r="E70" t="s">
        <v>3225</v>
      </c>
      <c r="F70" t="s">
        <v>3105</v>
      </c>
      <c r="G70" t="s">
        <v>3226</v>
      </c>
    </row>
    <row r="71" spans="1:7" ht="11.25" customHeight="1">
      <c r="A71" s="306" t="s">
        <v>3</v>
      </c>
      <c r="B71" t="s">
        <v>148</v>
      </c>
      <c r="C71" t="s">
        <v>149</v>
      </c>
      <c r="D71" t="s">
        <v>148</v>
      </c>
      <c r="E71" t="s">
        <v>149</v>
      </c>
      <c r="F71" t="s">
        <v>3096</v>
      </c>
      <c r="G71" t="s">
        <v>147</v>
      </c>
    </row>
    <row r="72" spans="1:7" ht="11.25" customHeight="1">
      <c r="A72" s="306" t="s">
        <v>3</v>
      </c>
      <c r="B72" t="s">
        <v>3227</v>
      </c>
      <c r="C72" t="s">
        <v>3228</v>
      </c>
      <c r="D72" t="s">
        <v>3229</v>
      </c>
      <c r="E72" t="s">
        <v>3230</v>
      </c>
      <c r="F72" t="s">
        <v>3105</v>
      </c>
      <c r="G72" t="s">
        <v>3231</v>
      </c>
    </row>
    <row r="73" spans="1:7" ht="11.25" customHeight="1">
      <c r="A73" s="306" t="s">
        <v>3</v>
      </c>
      <c r="B73" t="s">
        <v>3227</v>
      </c>
      <c r="C73" t="s">
        <v>3228</v>
      </c>
      <c r="D73" t="s">
        <v>3227</v>
      </c>
      <c r="E73" t="s">
        <v>3228</v>
      </c>
      <c r="F73" t="s">
        <v>3099</v>
      </c>
      <c r="G73" t="s">
        <v>3232</v>
      </c>
    </row>
    <row r="74" spans="1:7" ht="11.25" customHeight="1">
      <c r="A74" s="306" t="s">
        <v>3</v>
      </c>
      <c r="B74" t="s">
        <v>3227</v>
      </c>
      <c r="C74" t="s">
        <v>3228</v>
      </c>
      <c r="D74" t="s">
        <v>3233</v>
      </c>
      <c r="E74" t="s">
        <v>3234</v>
      </c>
      <c r="F74" t="s">
        <v>3162</v>
      </c>
      <c r="G74" t="s">
        <v>3235</v>
      </c>
    </row>
    <row r="75" spans="1:7" ht="11.25" customHeight="1">
      <c r="A75" s="306" t="s">
        <v>3</v>
      </c>
      <c r="B75" t="s">
        <v>3227</v>
      </c>
      <c r="C75" t="s">
        <v>3228</v>
      </c>
      <c r="D75" t="s">
        <v>3236</v>
      </c>
      <c r="E75" t="s">
        <v>3237</v>
      </c>
      <c r="F75" t="s">
        <v>3105</v>
      </c>
      <c r="G75" t="s">
        <v>3238</v>
      </c>
    </row>
    <row r="76" spans="1:7" ht="11.25" customHeight="1">
      <c r="A76" s="306" t="s">
        <v>3</v>
      </c>
      <c r="B76" t="s">
        <v>3227</v>
      </c>
      <c r="C76" t="s">
        <v>3228</v>
      </c>
      <c r="D76" t="s">
        <v>3239</v>
      </c>
      <c r="E76" t="s">
        <v>3240</v>
      </c>
      <c r="F76" t="s">
        <v>3105</v>
      </c>
      <c r="G76" t="s">
        <v>3241</v>
      </c>
    </row>
    <row r="77" spans="1:7" ht="11.25" customHeight="1">
      <c r="A77" s="306" t="s">
        <v>3</v>
      </c>
      <c r="B77" t="s">
        <v>3242</v>
      </c>
      <c r="C77" t="s">
        <v>3243</v>
      </c>
      <c r="D77" t="s">
        <v>3242</v>
      </c>
      <c r="E77" t="s">
        <v>3243</v>
      </c>
      <c r="F77" t="s">
        <v>3096</v>
      </c>
      <c r="G77" t="s">
        <v>3244</v>
      </c>
    </row>
    <row r="78" spans="1:7" ht="11.25" customHeight="1">
      <c r="A78" s="306" t="s">
        <v>3</v>
      </c>
      <c r="B78" t="s">
        <v>3245</v>
      </c>
      <c r="C78" t="s">
        <v>3246</v>
      </c>
      <c r="D78" t="s">
        <v>3247</v>
      </c>
      <c r="E78" t="s">
        <v>3248</v>
      </c>
      <c r="F78" t="s">
        <v>3105</v>
      </c>
      <c r="G78" t="s">
        <v>3249</v>
      </c>
    </row>
    <row r="79" spans="1:7" ht="11.25" customHeight="1">
      <c r="A79" s="306" t="s">
        <v>3</v>
      </c>
      <c r="B79" t="s">
        <v>3245</v>
      </c>
      <c r="C79" t="s">
        <v>3246</v>
      </c>
      <c r="D79" t="s">
        <v>3250</v>
      </c>
      <c r="E79" t="s">
        <v>3251</v>
      </c>
      <c r="F79" t="s">
        <v>3105</v>
      </c>
      <c r="G79" t="s">
        <v>3252</v>
      </c>
    </row>
    <row r="80" spans="1:7" ht="11.25" customHeight="1">
      <c r="A80" s="306" t="s">
        <v>3</v>
      </c>
      <c r="B80" t="s">
        <v>3245</v>
      </c>
      <c r="C80" t="s">
        <v>3246</v>
      </c>
      <c r="D80" t="s">
        <v>3253</v>
      </c>
      <c r="E80" t="s">
        <v>3254</v>
      </c>
      <c r="F80" t="s">
        <v>3105</v>
      </c>
      <c r="G80" t="s">
        <v>3255</v>
      </c>
    </row>
    <row r="81" spans="1:7" ht="11.25" customHeight="1">
      <c r="A81" s="306" t="s">
        <v>3</v>
      </c>
      <c r="B81" t="s">
        <v>3245</v>
      </c>
      <c r="C81" t="s">
        <v>3246</v>
      </c>
      <c r="D81" t="s">
        <v>3256</v>
      </c>
      <c r="E81" t="s">
        <v>3257</v>
      </c>
      <c r="F81" t="s">
        <v>3162</v>
      </c>
      <c r="G81" t="s">
        <v>3258</v>
      </c>
    </row>
    <row r="82" spans="1:7" ht="11.25" customHeight="1">
      <c r="A82" s="306" t="s">
        <v>3</v>
      </c>
      <c r="B82" t="s">
        <v>3245</v>
      </c>
      <c r="C82" t="s">
        <v>3246</v>
      </c>
      <c r="D82" t="s">
        <v>3245</v>
      </c>
      <c r="E82" t="s">
        <v>3246</v>
      </c>
      <c r="F82" t="s">
        <v>3099</v>
      </c>
      <c r="G82" t="s">
        <v>3259</v>
      </c>
    </row>
    <row r="83" spans="1:7" ht="11.25" customHeight="1">
      <c r="A83" s="306" t="s">
        <v>3</v>
      </c>
      <c r="B83" t="s">
        <v>3245</v>
      </c>
      <c r="C83" t="s">
        <v>3246</v>
      </c>
      <c r="D83" t="s">
        <v>3260</v>
      </c>
      <c r="E83" t="s">
        <v>3261</v>
      </c>
      <c r="F83" t="s">
        <v>3105</v>
      </c>
      <c r="G83" t="s">
        <v>3262</v>
      </c>
    </row>
    <row r="84" spans="1:7" ht="11.25" customHeight="1">
      <c r="A84" s="306" t="s">
        <v>3</v>
      </c>
      <c r="B84" t="s">
        <v>3245</v>
      </c>
      <c r="C84" t="s">
        <v>3246</v>
      </c>
      <c r="D84" t="s">
        <v>3263</v>
      </c>
      <c r="E84" t="s">
        <v>3264</v>
      </c>
      <c r="F84" t="s">
        <v>3105</v>
      </c>
      <c r="G84" t="s">
        <v>3265</v>
      </c>
    </row>
    <row r="85" spans="1:7" ht="11.25" customHeight="1">
      <c r="A85" s="306" t="s">
        <v>3</v>
      </c>
      <c r="B85" t="s">
        <v>3245</v>
      </c>
      <c r="C85" t="s">
        <v>3246</v>
      </c>
      <c r="D85" t="s">
        <v>3266</v>
      </c>
      <c r="E85" t="s">
        <v>3267</v>
      </c>
      <c r="F85" t="s">
        <v>3105</v>
      </c>
      <c r="G85" t="s">
        <v>3268</v>
      </c>
    </row>
    <row r="86" spans="1:7" ht="11.25" customHeight="1">
      <c r="A86" s="306" t="s">
        <v>3</v>
      </c>
      <c r="B86" t="s">
        <v>96</v>
      </c>
      <c r="C86" t="s">
        <v>97</v>
      </c>
      <c r="D86" t="s">
        <v>96</v>
      </c>
      <c r="E86" t="s">
        <v>97</v>
      </c>
      <c r="F86" t="s">
        <v>3096</v>
      </c>
      <c r="G86" t="s">
        <v>95</v>
      </c>
    </row>
    <row r="87" spans="1:7" ht="11.25" customHeight="1">
      <c r="A87" s="306" t="s">
        <v>3</v>
      </c>
      <c r="B87" t="s">
        <v>3269</v>
      </c>
      <c r="C87" t="s">
        <v>3270</v>
      </c>
      <c r="D87" t="s">
        <v>3271</v>
      </c>
      <c r="E87" t="s">
        <v>3272</v>
      </c>
      <c r="F87" t="s">
        <v>3105</v>
      </c>
      <c r="G87" t="s">
        <v>3273</v>
      </c>
    </row>
    <row r="88" spans="1:7" ht="11.25" customHeight="1">
      <c r="A88" s="306" t="s">
        <v>3</v>
      </c>
      <c r="B88" t="s">
        <v>3269</v>
      </c>
      <c r="C88" t="s">
        <v>3270</v>
      </c>
      <c r="D88" t="s">
        <v>3274</v>
      </c>
      <c r="E88" t="s">
        <v>3275</v>
      </c>
      <c r="F88" t="s">
        <v>3105</v>
      </c>
      <c r="G88" t="s">
        <v>3276</v>
      </c>
    </row>
    <row r="89" spans="1:7" ht="11.25" customHeight="1">
      <c r="A89" s="306" t="s">
        <v>3</v>
      </c>
      <c r="B89" t="s">
        <v>3269</v>
      </c>
      <c r="C89" t="s">
        <v>3270</v>
      </c>
      <c r="D89" t="s">
        <v>3277</v>
      </c>
      <c r="E89" t="s">
        <v>3278</v>
      </c>
      <c r="F89" t="s">
        <v>3105</v>
      </c>
      <c r="G89" t="s">
        <v>3279</v>
      </c>
    </row>
    <row r="90" spans="1:7" ht="11.25" customHeight="1">
      <c r="A90" s="306" t="s">
        <v>3</v>
      </c>
      <c r="B90" t="s">
        <v>3269</v>
      </c>
      <c r="C90" t="s">
        <v>3270</v>
      </c>
      <c r="D90" t="s">
        <v>3269</v>
      </c>
      <c r="E90" t="s">
        <v>3270</v>
      </c>
      <c r="F90" t="s">
        <v>3099</v>
      </c>
      <c r="G90" t="s">
        <v>3280</v>
      </c>
    </row>
    <row r="91" spans="1:7" ht="11.25" customHeight="1">
      <c r="A91" s="306" t="s">
        <v>3</v>
      </c>
      <c r="B91" t="s">
        <v>3269</v>
      </c>
      <c r="C91" t="s">
        <v>3270</v>
      </c>
      <c r="D91" t="s">
        <v>3281</v>
      </c>
      <c r="E91" t="s">
        <v>3282</v>
      </c>
      <c r="F91" t="s">
        <v>3105</v>
      </c>
      <c r="G91" t="s">
        <v>3283</v>
      </c>
    </row>
    <row r="92" spans="1:7" ht="11.25" customHeight="1">
      <c r="A92" s="306" t="s">
        <v>3</v>
      </c>
      <c r="B92" t="s">
        <v>3269</v>
      </c>
      <c r="C92" t="s">
        <v>3270</v>
      </c>
      <c r="D92" t="s">
        <v>3284</v>
      </c>
      <c r="E92" t="s">
        <v>3285</v>
      </c>
      <c r="F92" t="s">
        <v>3105</v>
      </c>
      <c r="G92" t="s">
        <v>3286</v>
      </c>
    </row>
    <row r="93" spans="1:7" ht="11.25" customHeight="1">
      <c r="A93" s="306" t="s">
        <v>3</v>
      </c>
      <c r="B93" t="s">
        <v>107</v>
      </c>
      <c r="C93" t="s">
        <v>108</v>
      </c>
      <c r="D93" t="s">
        <v>107</v>
      </c>
      <c r="E93" t="s">
        <v>108</v>
      </c>
      <c r="F93" t="s">
        <v>3096</v>
      </c>
      <c r="G93" t="s">
        <v>106</v>
      </c>
    </row>
    <row r="94" spans="1:7" ht="11.25" customHeight="1">
      <c r="A94" s="306" t="s">
        <v>3</v>
      </c>
      <c r="B94" t="s">
        <v>1107</v>
      </c>
      <c r="C94" t="s">
        <v>3287</v>
      </c>
      <c r="D94" t="s">
        <v>3288</v>
      </c>
      <c r="E94" t="s">
        <v>3289</v>
      </c>
      <c r="F94" t="s">
        <v>3105</v>
      </c>
      <c r="G94" t="s">
        <v>3290</v>
      </c>
    </row>
    <row r="95" spans="1:7" ht="11.25" customHeight="1">
      <c r="A95" s="306" t="s">
        <v>3</v>
      </c>
      <c r="B95" t="s">
        <v>1107</v>
      </c>
      <c r="C95" t="s">
        <v>3287</v>
      </c>
      <c r="D95" t="s">
        <v>1122</v>
      </c>
      <c r="E95" t="s">
        <v>1123</v>
      </c>
      <c r="F95" t="s">
        <v>3105</v>
      </c>
      <c r="G95" t="s">
        <v>3291</v>
      </c>
    </row>
    <row r="96" spans="1:7" ht="11.25" customHeight="1">
      <c r="A96" s="306" t="s">
        <v>3</v>
      </c>
      <c r="B96" t="s">
        <v>1107</v>
      </c>
      <c r="C96" t="s">
        <v>3287</v>
      </c>
      <c r="D96" t="s">
        <v>1107</v>
      </c>
      <c r="E96" t="s">
        <v>3287</v>
      </c>
      <c r="F96" t="s">
        <v>3099</v>
      </c>
      <c r="G96" t="s">
        <v>3292</v>
      </c>
    </row>
    <row r="97" spans="1:7" ht="11.25" customHeight="1">
      <c r="A97" s="306" t="s">
        <v>3</v>
      </c>
      <c r="B97" t="s">
        <v>1107</v>
      </c>
      <c r="C97" t="s">
        <v>3287</v>
      </c>
      <c r="D97" t="s">
        <v>1108</v>
      </c>
      <c r="E97" t="s">
        <v>1109</v>
      </c>
      <c r="F97" t="s">
        <v>3102</v>
      </c>
      <c r="G97" t="s">
        <v>3293</v>
      </c>
    </row>
    <row r="98" spans="1:7" ht="11.25" customHeight="1">
      <c r="A98" s="306" t="s">
        <v>3</v>
      </c>
      <c r="B98" t="s">
        <v>1107</v>
      </c>
      <c r="C98" t="s">
        <v>3287</v>
      </c>
      <c r="D98" t="s">
        <v>3294</v>
      </c>
      <c r="E98" t="s">
        <v>3295</v>
      </c>
      <c r="F98" t="s">
        <v>3105</v>
      </c>
      <c r="G98" t="s">
        <v>3296</v>
      </c>
    </row>
    <row r="99" spans="1:7" ht="11.25" customHeight="1">
      <c r="A99" s="306" t="s">
        <v>3</v>
      </c>
      <c r="B99" t="s">
        <v>1107</v>
      </c>
      <c r="C99" t="s">
        <v>3287</v>
      </c>
      <c r="D99" t="s">
        <v>3297</v>
      </c>
      <c r="E99" t="s">
        <v>3298</v>
      </c>
      <c r="F99" t="s">
        <v>3105</v>
      </c>
      <c r="G99" t="s">
        <v>3299</v>
      </c>
    </row>
    <row r="100" spans="1:7" ht="11.25" customHeight="1">
      <c r="A100" s="306" t="s">
        <v>3</v>
      </c>
      <c r="B100" t="s">
        <v>1107</v>
      </c>
      <c r="C100" t="s">
        <v>3287</v>
      </c>
      <c r="D100" t="s">
        <v>3300</v>
      </c>
      <c r="E100" t="s">
        <v>3301</v>
      </c>
      <c r="F100" t="s">
        <v>3105</v>
      </c>
      <c r="G100" t="s">
        <v>3302</v>
      </c>
    </row>
    <row r="101" spans="1:7" ht="11.25" customHeight="1">
      <c r="A101" s="306" t="s">
        <v>3</v>
      </c>
      <c r="B101" t="s">
        <v>104</v>
      </c>
      <c r="C101" t="s">
        <v>105</v>
      </c>
      <c r="D101" t="s">
        <v>104</v>
      </c>
      <c r="E101" t="s">
        <v>105</v>
      </c>
      <c r="F101" t="s">
        <v>3096</v>
      </c>
      <c r="G101" t="s">
        <v>103</v>
      </c>
    </row>
    <row r="102" spans="1:7" ht="11.25" customHeight="1">
      <c r="A102" s="306" t="s">
        <v>3</v>
      </c>
      <c r="B102" t="s">
        <v>3303</v>
      </c>
      <c r="C102" t="s">
        <v>3304</v>
      </c>
      <c r="D102" t="s">
        <v>3305</v>
      </c>
      <c r="E102" t="s">
        <v>3306</v>
      </c>
      <c r="F102" t="s">
        <v>3105</v>
      </c>
      <c r="G102" t="s">
        <v>1036</v>
      </c>
    </row>
    <row r="103" spans="1:7" ht="11.25" customHeight="1">
      <c r="A103" s="306" t="s">
        <v>3</v>
      </c>
      <c r="B103" t="s">
        <v>3303</v>
      </c>
      <c r="C103" t="s">
        <v>3304</v>
      </c>
      <c r="D103" t="s">
        <v>3307</v>
      </c>
      <c r="E103" t="s">
        <v>3308</v>
      </c>
      <c r="F103" t="s">
        <v>3105</v>
      </c>
      <c r="G103" t="s">
        <v>3309</v>
      </c>
    </row>
    <row r="104" spans="1:7" ht="11.25" customHeight="1">
      <c r="A104" s="306" t="s">
        <v>3</v>
      </c>
      <c r="B104" t="s">
        <v>3303</v>
      </c>
      <c r="C104" t="s">
        <v>3304</v>
      </c>
      <c r="D104" t="s">
        <v>3310</v>
      </c>
      <c r="E104" t="s">
        <v>3311</v>
      </c>
      <c r="F104" t="s">
        <v>3105</v>
      </c>
      <c r="G104" t="s">
        <v>3312</v>
      </c>
    </row>
    <row r="105" spans="1:7" ht="11.25" customHeight="1">
      <c r="A105" s="306" t="s">
        <v>3</v>
      </c>
      <c r="B105" t="s">
        <v>3303</v>
      </c>
      <c r="C105" t="s">
        <v>3304</v>
      </c>
      <c r="D105" t="s">
        <v>3313</v>
      </c>
      <c r="E105" t="s">
        <v>3314</v>
      </c>
      <c r="F105" t="s">
        <v>3105</v>
      </c>
      <c r="G105" t="s">
        <v>3315</v>
      </c>
    </row>
    <row r="106" spans="1:7" ht="11.25" customHeight="1">
      <c r="A106" s="306" t="s">
        <v>3</v>
      </c>
      <c r="B106" t="s">
        <v>3303</v>
      </c>
      <c r="C106" t="s">
        <v>3304</v>
      </c>
      <c r="D106" t="s">
        <v>3316</v>
      </c>
      <c r="E106" t="s">
        <v>3317</v>
      </c>
      <c r="F106" t="s">
        <v>3105</v>
      </c>
      <c r="G106" t="s">
        <v>3318</v>
      </c>
    </row>
    <row r="107" spans="1:7" ht="11.25" customHeight="1">
      <c r="A107" s="306" t="s">
        <v>3</v>
      </c>
      <c r="B107" t="s">
        <v>3303</v>
      </c>
      <c r="C107" t="s">
        <v>3304</v>
      </c>
      <c r="D107" t="s">
        <v>3319</v>
      </c>
      <c r="E107" t="s">
        <v>3320</v>
      </c>
      <c r="F107" t="s">
        <v>3105</v>
      </c>
      <c r="G107" t="s">
        <v>3321</v>
      </c>
    </row>
    <row r="108" spans="1:7" ht="11.25" customHeight="1">
      <c r="A108" s="306" t="s">
        <v>3</v>
      </c>
      <c r="B108" t="s">
        <v>3303</v>
      </c>
      <c r="C108" t="s">
        <v>3304</v>
      </c>
      <c r="D108" t="s">
        <v>3322</v>
      </c>
      <c r="E108" t="s">
        <v>3323</v>
      </c>
      <c r="F108" t="s">
        <v>3105</v>
      </c>
      <c r="G108" t="s">
        <v>3324</v>
      </c>
    </row>
    <row r="109" spans="1:7" ht="11.25" customHeight="1">
      <c r="A109" s="306" t="s">
        <v>3</v>
      </c>
      <c r="B109" t="s">
        <v>3303</v>
      </c>
      <c r="C109" t="s">
        <v>3304</v>
      </c>
      <c r="D109" t="s">
        <v>3325</v>
      </c>
      <c r="E109" t="s">
        <v>3326</v>
      </c>
      <c r="F109" t="s">
        <v>3105</v>
      </c>
      <c r="G109" t="s">
        <v>3327</v>
      </c>
    </row>
    <row r="110" spans="1:7" ht="11.25" customHeight="1">
      <c r="A110" s="306" t="s">
        <v>3</v>
      </c>
      <c r="B110" t="s">
        <v>3303</v>
      </c>
      <c r="C110" t="s">
        <v>3304</v>
      </c>
      <c r="D110" t="s">
        <v>3303</v>
      </c>
      <c r="E110" t="s">
        <v>3304</v>
      </c>
      <c r="F110" t="s">
        <v>3099</v>
      </c>
      <c r="G110" t="s">
        <v>3328</v>
      </c>
    </row>
    <row r="111" spans="1:7" ht="11.25" customHeight="1">
      <c r="A111" s="306" t="s">
        <v>3</v>
      </c>
      <c r="B111" t="s">
        <v>3303</v>
      </c>
      <c r="C111" t="s">
        <v>3304</v>
      </c>
      <c r="D111" t="s">
        <v>3329</v>
      </c>
      <c r="E111" t="s">
        <v>3330</v>
      </c>
      <c r="F111" t="s">
        <v>3102</v>
      </c>
      <c r="G111" t="s">
        <v>3331</v>
      </c>
    </row>
    <row r="112" spans="1:7" ht="11.25" customHeight="1">
      <c r="A112" s="306" t="s">
        <v>3</v>
      </c>
      <c r="B112" t="s">
        <v>3303</v>
      </c>
      <c r="C112" t="s">
        <v>3304</v>
      </c>
      <c r="D112" t="s">
        <v>3332</v>
      </c>
      <c r="E112" t="s">
        <v>3333</v>
      </c>
      <c r="F112" t="s">
        <v>3105</v>
      </c>
      <c r="G112" t="s">
        <v>711</v>
      </c>
    </row>
    <row r="113" spans="1:7" ht="11.25" customHeight="1">
      <c r="A113" s="306" t="s">
        <v>3</v>
      </c>
      <c r="B113" t="s">
        <v>3334</v>
      </c>
      <c r="C113" t="s">
        <v>3335</v>
      </c>
      <c r="D113" t="s">
        <v>3334</v>
      </c>
      <c r="E113" t="s">
        <v>3335</v>
      </c>
      <c r="F113" t="s">
        <v>3096</v>
      </c>
      <c r="G113" t="s">
        <v>3336</v>
      </c>
    </row>
    <row r="114" spans="1:7" ht="11.25" customHeight="1">
      <c r="A114" s="306" t="s">
        <v>3</v>
      </c>
      <c r="B114" t="s">
        <v>3337</v>
      </c>
      <c r="C114" t="s">
        <v>3338</v>
      </c>
      <c r="D114" t="s">
        <v>3339</v>
      </c>
      <c r="E114" t="s">
        <v>3340</v>
      </c>
      <c r="F114" t="s">
        <v>3162</v>
      </c>
      <c r="G114" t="s">
        <v>3341</v>
      </c>
    </row>
    <row r="115" spans="1:7" ht="11.25" customHeight="1">
      <c r="A115" s="306" t="s">
        <v>3</v>
      </c>
      <c r="B115" t="s">
        <v>3337</v>
      </c>
      <c r="C115" t="s">
        <v>3338</v>
      </c>
      <c r="D115" t="s">
        <v>3342</v>
      </c>
      <c r="E115" t="s">
        <v>3343</v>
      </c>
      <c r="F115" t="s">
        <v>3105</v>
      </c>
      <c r="G115" t="s">
        <v>3344</v>
      </c>
    </row>
    <row r="116" spans="1:7" ht="11.25" customHeight="1">
      <c r="A116" s="306" t="s">
        <v>3</v>
      </c>
      <c r="B116" t="s">
        <v>3337</v>
      </c>
      <c r="C116" t="s">
        <v>3338</v>
      </c>
      <c r="D116" t="s">
        <v>3345</v>
      </c>
      <c r="E116" t="s">
        <v>3346</v>
      </c>
      <c r="F116" t="s">
        <v>3105</v>
      </c>
      <c r="G116" t="s">
        <v>3347</v>
      </c>
    </row>
    <row r="117" spans="1:7" ht="11.25" customHeight="1">
      <c r="A117" s="306" t="s">
        <v>3</v>
      </c>
      <c r="B117" t="s">
        <v>3337</v>
      </c>
      <c r="C117" t="s">
        <v>3338</v>
      </c>
      <c r="D117" t="s">
        <v>3348</v>
      </c>
      <c r="E117" t="s">
        <v>3349</v>
      </c>
      <c r="F117" t="s">
        <v>3105</v>
      </c>
      <c r="G117" t="s">
        <v>3350</v>
      </c>
    </row>
    <row r="118" spans="1:7" ht="11.25" customHeight="1">
      <c r="A118" s="306" t="s">
        <v>3</v>
      </c>
      <c r="B118" t="s">
        <v>3337</v>
      </c>
      <c r="C118" t="s">
        <v>3338</v>
      </c>
      <c r="D118" t="s">
        <v>3337</v>
      </c>
      <c r="E118" t="s">
        <v>3338</v>
      </c>
      <c r="F118" t="s">
        <v>3099</v>
      </c>
      <c r="G118" t="s">
        <v>3351</v>
      </c>
    </row>
    <row r="119" spans="1:7" ht="11.25" customHeight="1">
      <c r="A119" s="306" t="s">
        <v>3</v>
      </c>
      <c r="B119" t="s">
        <v>3337</v>
      </c>
      <c r="C119" t="s">
        <v>3338</v>
      </c>
      <c r="D119" t="s">
        <v>3352</v>
      </c>
      <c r="E119" t="s">
        <v>3353</v>
      </c>
      <c r="F119" t="s">
        <v>3102</v>
      </c>
      <c r="G119" t="s">
        <v>3354</v>
      </c>
    </row>
    <row r="120" spans="1:7" ht="11.25" customHeight="1">
      <c r="A120" s="306" t="s">
        <v>3</v>
      </c>
      <c r="B120" t="s">
        <v>3337</v>
      </c>
      <c r="C120" t="s">
        <v>3338</v>
      </c>
      <c r="D120" t="s">
        <v>3355</v>
      </c>
      <c r="E120" t="s">
        <v>3356</v>
      </c>
      <c r="F120" t="s">
        <v>3105</v>
      </c>
      <c r="G120" t="s">
        <v>3357</v>
      </c>
    </row>
    <row r="121" spans="1:7" ht="11.25" customHeight="1">
      <c r="A121" s="306" t="s">
        <v>3</v>
      </c>
      <c r="B121" t="s">
        <v>120</v>
      </c>
      <c r="C121" t="s">
        <v>121</v>
      </c>
      <c r="D121" t="s">
        <v>120</v>
      </c>
      <c r="E121" t="s">
        <v>121</v>
      </c>
      <c r="F121" t="s">
        <v>3096</v>
      </c>
      <c r="G121" t="s">
        <v>119</v>
      </c>
    </row>
    <row r="122" spans="1:7" ht="11.25" customHeight="1">
      <c r="A122" s="306" t="s">
        <v>3</v>
      </c>
      <c r="B122" t="s">
        <v>1073</v>
      </c>
      <c r="C122" t="s">
        <v>3358</v>
      </c>
      <c r="D122" t="s">
        <v>3359</v>
      </c>
      <c r="E122" t="s">
        <v>3360</v>
      </c>
      <c r="F122" t="s">
        <v>3105</v>
      </c>
      <c r="G122" t="s">
        <v>3361</v>
      </c>
    </row>
    <row r="123" spans="1:7" ht="11.25" customHeight="1">
      <c r="A123" s="306" t="s">
        <v>3</v>
      </c>
      <c r="B123" t="s">
        <v>1073</v>
      </c>
      <c r="C123" t="s">
        <v>3358</v>
      </c>
      <c r="D123" t="s">
        <v>3362</v>
      </c>
      <c r="E123" t="s">
        <v>3363</v>
      </c>
      <c r="F123" t="s">
        <v>3105</v>
      </c>
      <c r="G123" t="s">
        <v>3364</v>
      </c>
    </row>
    <row r="124" spans="1:7" ht="11.25" customHeight="1">
      <c r="A124" s="306" t="s">
        <v>3</v>
      </c>
      <c r="B124" t="s">
        <v>1073</v>
      </c>
      <c r="C124" t="s">
        <v>3358</v>
      </c>
      <c r="D124" t="s">
        <v>3365</v>
      </c>
      <c r="E124" t="s">
        <v>3366</v>
      </c>
      <c r="F124" t="s">
        <v>3105</v>
      </c>
      <c r="G124" t="s">
        <v>3367</v>
      </c>
    </row>
    <row r="125" spans="1:7" ht="11.25" customHeight="1">
      <c r="A125" s="306" t="s">
        <v>3</v>
      </c>
      <c r="B125" t="s">
        <v>1073</v>
      </c>
      <c r="C125" t="s">
        <v>3358</v>
      </c>
      <c r="D125" t="s">
        <v>3368</v>
      </c>
      <c r="E125" t="s">
        <v>3369</v>
      </c>
      <c r="F125" t="s">
        <v>3105</v>
      </c>
      <c r="G125" t="s">
        <v>3370</v>
      </c>
    </row>
    <row r="126" spans="1:7" ht="11.25" customHeight="1">
      <c r="A126" s="306" t="s">
        <v>3</v>
      </c>
      <c r="B126" t="s">
        <v>1073</v>
      </c>
      <c r="C126" t="s">
        <v>3358</v>
      </c>
      <c r="D126" t="s">
        <v>3371</v>
      </c>
      <c r="E126" t="s">
        <v>3372</v>
      </c>
      <c r="F126" t="s">
        <v>3105</v>
      </c>
      <c r="G126" t="s">
        <v>3373</v>
      </c>
    </row>
    <row r="127" spans="1:7" ht="11.25" customHeight="1">
      <c r="A127" s="306" t="s">
        <v>3</v>
      </c>
      <c r="B127" t="s">
        <v>1073</v>
      </c>
      <c r="C127" t="s">
        <v>3358</v>
      </c>
      <c r="D127" t="s">
        <v>3374</v>
      </c>
      <c r="E127" t="s">
        <v>3375</v>
      </c>
      <c r="F127" t="s">
        <v>3105</v>
      </c>
      <c r="G127" t="s">
        <v>3376</v>
      </c>
    </row>
    <row r="128" spans="1:7" ht="11.25" customHeight="1">
      <c r="A128" s="306" t="s">
        <v>3</v>
      </c>
      <c r="B128" t="s">
        <v>1073</v>
      </c>
      <c r="C128" t="s">
        <v>3358</v>
      </c>
      <c r="D128" t="s">
        <v>3377</v>
      </c>
      <c r="E128" t="s">
        <v>3378</v>
      </c>
      <c r="F128" t="s">
        <v>3105</v>
      </c>
      <c r="G128" t="s">
        <v>3379</v>
      </c>
    </row>
    <row r="129" spans="1:7" ht="11.25" customHeight="1">
      <c r="A129" s="306" t="s">
        <v>3</v>
      </c>
      <c r="B129" t="s">
        <v>1073</v>
      </c>
      <c r="C129" t="s">
        <v>3358</v>
      </c>
      <c r="D129" t="s">
        <v>3380</v>
      </c>
      <c r="E129" t="s">
        <v>3381</v>
      </c>
      <c r="F129" t="s">
        <v>3105</v>
      </c>
      <c r="G129" t="s">
        <v>3382</v>
      </c>
    </row>
    <row r="130" spans="1:7" ht="11.25" customHeight="1">
      <c r="A130" s="306" t="s">
        <v>3</v>
      </c>
      <c r="B130" t="s">
        <v>1073</v>
      </c>
      <c r="C130" t="s">
        <v>3358</v>
      </c>
      <c r="D130" t="s">
        <v>3383</v>
      </c>
      <c r="E130" t="s">
        <v>3384</v>
      </c>
      <c r="F130" t="s">
        <v>3105</v>
      </c>
      <c r="G130" t="s">
        <v>3385</v>
      </c>
    </row>
    <row r="131" spans="1:7" ht="11.25" customHeight="1">
      <c r="A131" s="306" t="s">
        <v>3</v>
      </c>
      <c r="B131" t="s">
        <v>1073</v>
      </c>
      <c r="C131" t="s">
        <v>3358</v>
      </c>
      <c r="D131" t="s">
        <v>3386</v>
      </c>
      <c r="E131" t="s">
        <v>3387</v>
      </c>
      <c r="F131" t="s">
        <v>3105</v>
      </c>
      <c r="G131" t="s">
        <v>3388</v>
      </c>
    </row>
    <row r="132" spans="1:7" ht="11.25" customHeight="1">
      <c r="A132" s="306" t="s">
        <v>3</v>
      </c>
      <c r="B132" t="s">
        <v>1073</v>
      </c>
      <c r="C132" t="s">
        <v>3358</v>
      </c>
      <c r="D132" t="s">
        <v>3389</v>
      </c>
      <c r="E132" t="s">
        <v>3390</v>
      </c>
      <c r="F132" t="s">
        <v>3105</v>
      </c>
      <c r="G132" t="s">
        <v>3391</v>
      </c>
    </row>
    <row r="133" spans="1:7" ht="11.25" customHeight="1">
      <c r="A133" s="306" t="s">
        <v>3</v>
      </c>
      <c r="B133" t="s">
        <v>1073</v>
      </c>
      <c r="C133" t="s">
        <v>3358</v>
      </c>
      <c r="D133" t="s">
        <v>1074</v>
      </c>
      <c r="E133" t="s">
        <v>1075</v>
      </c>
      <c r="F133" t="s">
        <v>3102</v>
      </c>
      <c r="G133" t="s">
        <v>3392</v>
      </c>
    </row>
    <row r="134" spans="1:7" ht="11.25" customHeight="1">
      <c r="A134" s="306" t="s">
        <v>3</v>
      </c>
      <c r="B134" t="s">
        <v>1073</v>
      </c>
      <c r="C134" t="s">
        <v>3358</v>
      </c>
      <c r="D134" t="s">
        <v>1073</v>
      </c>
      <c r="E134" t="s">
        <v>3358</v>
      </c>
      <c r="F134" t="s">
        <v>3099</v>
      </c>
      <c r="G134" t="s">
        <v>3393</v>
      </c>
    </row>
    <row r="135" spans="1:7" ht="11.25" customHeight="1">
      <c r="A135" s="306" t="s">
        <v>3</v>
      </c>
      <c r="B135" t="s">
        <v>1073</v>
      </c>
      <c r="C135" t="s">
        <v>3358</v>
      </c>
      <c r="D135" t="s">
        <v>3394</v>
      </c>
      <c r="E135" t="s">
        <v>3395</v>
      </c>
      <c r="F135" t="s">
        <v>3105</v>
      </c>
      <c r="G135" t="s">
        <v>3396</v>
      </c>
    </row>
    <row r="136" spans="1:7" ht="11.25" customHeight="1">
      <c r="A136" s="306" t="s">
        <v>3</v>
      </c>
      <c r="B136" t="s">
        <v>153</v>
      </c>
      <c r="C136" t="s">
        <v>154</v>
      </c>
      <c r="D136" t="s">
        <v>153</v>
      </c>
      <c r="E136" t="s">
        <v>154</v>
      </c>
      <c r="F136" t="s">
        <v>3096</v>
      </c>
      <c r="G136" t="s">
        <v>152</v>
      </c>
    </row>
    <row r="137" spans="1:7" ht="11.25" customHeight="1">
      <c r="A137" s="306" t="s">
        <v>3</v>
      </c>
      <c r="B137" t="s">
        <v>3397</v>
      </c>
      <c r="C137" t="s">
        <v>3398</v>
      </c>
      <c r="D137" t="s">
        <v>3399</v>
      </c>
      <c r="E137" t="s">
        <v>3400</v>
      </c>
      <c r="F137" t="s">
        <v>3105</v>
      </c>
      <c r="G137" t="s">
        <v>3401</v>
      </c>
    </row>
    <row r="138" spans="1:7" ht="11.25" customHeight="1">
      <c r="A138" s="306" t="s">
        <v>3</v>
      </c>
      <c r="B138" t="s">
        <v>3397</v>
      </c>
      <c r="C138" t="s">
        <v>3398</v>
      </c>
      <c r="D138" t="s">
        <v>3402</v>
      </c>
      <c r="E138" t="s">
        <v>3403</v>
      </c>
      <c r="F138" t="s">
        <v>3105</v>
      </c>
      <c r="G138" t="s">
        <v>3404</v>
      </c>
    </row>
    <row r="139" spans="1:7" ht="11.25" customHeight="1">
      <c r="A139" s="306" t="s">
        <v>3</v>
      </c>
      <c r="B139" t="s">
        <v>3397</v>
      </c>
      <c r="C139" t="s">
        <v>3398</v>
      </c>
      <c r="D139" t="s">
        <v>3405</v>
      </c>
      <c r="E139" t="s">
        <v>3406</v>
      </c>
      <c r="F139" t="s">
        <v>3105</v>
      </c>
      <c r="G139" t="s">
        <v>3407</v>
      </c>
    </row>
    <row r="140" spans="1:7" ht="11.25" customHeight="1">
      <c r="A140" s="306" t="s">
        <v>3</v>
      </c>
      <c r="B140" t="s">
        <v>3397</v>
      </c>
      <c r="C140" t="s">
        <v>3398</v>
      </c>
      <c r="D140" t="s">
        <v>3408</v>
      </c>
      <c r="E140" t="s">
        <v>3409</v>
      </c>
      <c r="F140" t="s">
        <v>3105</v>
      </c>
      <c r="G140" t="s">
        <v>3410</v>
      </c>
    </row>
    <row r="141" spans="1:7" ht="11.25" customHeight="1">
      <c r="A141" s="306" t="s">
        <v>3</v>
      </c>
      <c r="B141" t="s">
        <v>3397</v>
      </c>
      <c r="C141" t="s">
        <v>3398</v>
      </c>
      <c r="D141" t="s">
        <v>3411</v>
      </c>
      <c r="E141" t="s">
        <v>3412</v>
      </c>
      <c r="F141" t="s">
        <v>3105</v>
      </c>
      <c r="G141" t="s">
        <v>3413</v>
      </c>
    </row>
    <row r="142" spans="1:7" ht="11.25" customHeight="1">
      <c r="A142" s="306" t="s">
        <v>3</v>
      </c>
      <c r="B142" t="s">
        <v>3397</v>
      </c>
      <c r="C142" t="s">
        <v>3398</v>
      </c>
      <c r="D142" t="s">
        <v>3414</v>
      </c>
      <c r="E142" t="s">
        <v>3415</v>
      </c>
      <c r="F142" t="s">
        <v>3105</v>
      </c>
      <c r="G142" t="s">
        <v>3416</v>
      </c>
    </row>
    <row r="143" spans="1:7" ht="11.25" customHeight="1">
      <c r="A143" s="306" t="s">
        <v>3</v>
      </c>
      <c r="B143" t="s">
        <v>3397</v>
      </c>
      <c r="C143" t="s">
        <v>3398</v>
      </c>
      <c r="D143" t="s">
        <v>3417</v>
      </c>
      <c r="E143" t="s">
        <v>3418</v>
      </c>
      <c r="F143" t="s">
        <v>3105</v>
      </c>
      <c r="G143" t="s">
        <v>3419</v>
      </c>
    </row>
    <row r="144" spans="1:7" ht="11.25" customHeight="1">
      <c r="A144" s="306" t="s">
        <v>3</v>
      </c>
      <c r="B144" t="s">
        <v>3397</v>
      </c>
      <c r="C144" t="s">
        <v>3398</v>
      </c>
      <c r="D144" t="s">
        <v>3420</v>
      </c>
      <c r="E144" t="s">
        <v>3421</v>
      </c>
      <c r="F144" t="s">
        <v>3105</v>
      </c>
      <c r="G144" t="s">
        <v>3422</v>
      </c>
    </row>
    <row r="145" spans="1:7" ht="11.25" customHeight="1">
      <c r="A145" s="306" t="s">
        <v>3</v>
      </c>
      <c r="B145" t="s">
        <v>3397</v>
      </c>
      <c r="C145" t="s">
        <v>3398</v>
      </c>
      <c r="D145" t="s">
        <v>3423</v>
      </c>
      <c r="E145" t="s">
        <v>3424</v>
      </c>
      <c r="F145" t="s">
        <v>3105</v>
      </c>
      <c r="G145" t="s">
        <v>3425</v>
      </c>
    </row>
    <row r="146" spans="1:7" ht="11.25" customHeight="1">
      <c r="A146" s="306" t="s">
        <v>3</v>
      </c>
      <c r="B146" t="s">
        <v>3397</v>
      </c>
      <c r="C146" t="s">
        <v>3398</v>
      </c>
      <c r="D146" t="s">
        <v>3426</v>
      </c>
      <c r="E146" t="s">
        <v>3427</v>
      </c>
      <c r="F146" t="s">
        <v>3105</v>
      </c>
      <c r="G146" t="s">
        <v>3428</v>
      </c>
    </row>
    <row r="147" spans="1:7" ht="11.25" customHeight="1">
      <c r="A147" s="306" t="s">
        <v>3</v>
      </c>
      <c r="B147" t="s">
        <v>3397</v>
      </c>
      <c r="C147" t="s">
        <v>3398</v>
      </c>
      <c r="D147" t="s">
        <v>3429</v>
      </c>
      <c r="E147" t="s">
        <v>3430</v>
      </c>
      <c r="F147" t="s">
        <v>3105</v>
      </c>
      <c r="G147" t="s">
        <v>3431</v>
      </c>
    </row>
    <row r="148" spans="1:7" ht="11.25" customHeight="1">
      <c r="A148" s="306" t="s">
        <v>3</v>
      </c>
      <c r="B148" t="s">
        <v>3397</v>
      </c>
      <c r="C148" t="s">
        <v>3398</v>
      </c>
      <c r="D148" t="s">
        <v>3432</v>
      </c>
      <c r="E148" t="s">
        <v>3433</v>
      </c>
      <c r="F148" t="s">
        <v>3105</v>
      </c>
      <c r="G148" t="s">
        <v>3434</v>
      </c>
    </row>
    <row r="149" spans="1:7" ht="11.25" customHeight="1">
      <c r="A149" s="306" t="s">
        <v>3</v>
      </c>
      <c r="B149" t="s">
        <v>3397</v>
      </c>
      <c r="C149" t="s">
        <v>3398</v>
      </c>
      <c r="D149" t="s">
        <v>3435</v>
      </c>
      <c r="E149" t="s">
        <v>3436</v>
      </c>
      <c r="F149" t="s">
        <v>3105</v>
      </c>
      <c r="G149" t="s">
        <v>3437</v>
      </c>
    </row>
    <row r="150" spans="1:7" ht="11.25" customHeight="1">
      <c r="A150" s="306" t="s">
        <v>3</v>
      </c>
      <c r="B150" t="s">
        <v>3397</v>
      </c>
      <c r="C150" t="s">
        <v>3398</v>
      </c>
      <c r="D150" t="s">
        <v>3438</v>
      </c>
      <c r="E150" t="s">
        <v>3439</v>
      </c>
      <c r="F150" t="s">
        <v>3105</v>
      </c>
      <c r="G150" t="s">
        <v>3440</v>
      </c>
    </row>
    <row r="151" spans="1:7" ht="11.25" customHeight="1">
      <c r="A151" s="306" t="s">
        <v>3</v>
      </c>
      <c r="B151" t="s">
        <v>3397</v>
      </c>
      <c r="C151" t="s">
        <v>3398</v>
      </c>
      <c r="D151" t="s">
        <v>3441</v>
      </c>
      <c r="E151" t="s">
        <v>3442</v>
      </c>
      <c r="F151" t="s">
        <v>3105</v>
      </c>
      <c r="G151" t="s">
        <v>3443</v>
      </c>
    </row>
    <row r="152" spans="1:7" ht="11.25" customHeight="1">
      <c r="A152" s="306" t="s">
        <v>3</v>
      </c>
      <c r="B152" t="s">
        <v>3397</v>
      </c>
      <c r="C152" t="s">
        <v>3398</v>
      </c>
      <c r="D152" t="s">
        <v>3444</v>
      </c>
      <c r="E152" t="s">
        <v>3445</v>
      </c>
      <c r="F152" t="s">
        <v>3105</v>
      </c>
      <c r="G152" t="s">
        <v>3446</v>
      </c>
    </row>
    <row r="153" spans="1:7" ht="11.25" customHeight="1">
      <c r="A153" s="306" t="s">
        <v>3</v>
      </c>
      <c r="B153" t="s">
        <v>3397</v>
      </c>
      <c r="C153" t="s">
        <v>3398</v>
      </c>
      <c r="D153" t="s">
        <v>3397</v>
      </c>
      <c r="E153" t="s">
        <v>3398</v>
      </c>
      <c r="F153" t="s">
        <v>3099</v>
      </c>
      <c r="G153" t="s">
        <v>3447</v>
      </c>
    </row>
    <row r="154" spans="1:7" ht="11.25" customHeight="1">
      <c r="A154" s="306" t="s">
        <v>3</v>
      </c>
      <c r="B154" t="s">
        <v>3397</v>
      </c>
      <c r="C154" t="s">
        <v>3398</v>
      </c>
      <c r="D154" t="s">
        <v>3448</v>
      </c>
      <c r="E154" t="s">
        <v>3449</v>
      </c>
      <c r="F154" t="s">
        <v>3105</v>
      </c>
      <c r="G154" t="s">
        <v>3450</v>
      </c>
    </row>
    <row r="155" spans="1:7" ht="11.25" customHeight="1">
      <c r="A155" s="306" t="s">
        <v>3</v>
      </c>
      <c r="B155" t="s">
        <v>3397</v>
      </c>
      <c r="C155" t="s">
        <v>3398</v>
      </c>
      <c r="D155" t="s">
        <v>3451</v>
      </c>
      <c r="E155" t="s">
        <v>3452</v>
      </c>
      <c r="F155" t="s">
        <v>3105</v>
      </c>
      <c r="G155" t="s">
        <v>3453</v>
      </c>
    </row>
    <row r="156" spans="1:7" ht="11.25" customHeight="1">
      <c r="A156" s="306" t="s">
        <v>3</v>
      </c>
      <c r="B156" t="s">
        <v>3397</v>
      </c>
      <c r="C156" t="s">
        <v>3398</v>
      </c>
      <c r="D156" t="s">
        <v>3454</v>
      </c>
      <c r="E156" t="s">
        <v>3455</v>
      </c>
      <c r="F156" t="s">
        <v>3105</v>
      </c>
      <c r="G156" t="s">
        <v>3456</v>
      </c>
    </row>
    <row r="157" spans="1:7" ht="11.25" customHeight="1">
      <c r="A157" s="306" t="s">
        <v>3</v>
      </c>
      <c r="B157" t="s">
        <v>99</v>
      </c>
      <c r="C157" t="s">
        <v>100</v>
      </c>
      <c r="D157" t="s">
        <v>99</v>
      </c>
      <c r="E157" t="s">
        <v>100</v>
      </c>
      <c r="F157" t="s">
        <v>3096</v>
      </c>
      <c r="G157" t="s">
        <v>98</v>
      </c>
    </row>
    <row r="158" spans="1:7" ht="11.25" customHeight="1">
      <c r="A158" s="306" t="s">
        <v>3</v>
      </c>
      <c r="B158" t="s">
        <v>1128</v>
      </c>
      <c r="C158" t="s">
        <v>3457</v>
      </c>
      <c r="D158" t="s">
        <v>3458</v>
      </c>
      <c r="E158" t="s">
        <v>3459</v>
      </c>
      <c r="F158" t="s">
        <v>3105</v>
      </c>
      <c r="G158" t="s">
        <v>3460</v>
      </c>
    </row>
    <row r="159" spans="1:7" ht="11.25" customHeight="1">
      <c r="A159" s="306" t="s">
        <v>3</v>
      </c>
      <c r="B159" t="s">
        <v>1128</v>
      </c>
      <c r="C159" t="s">
        <v>3457</v>
      </c>
      <c r="D159" t="s">
        <v>3461</v>
      </c>
      <c r="E159" t="s">
        <v>3462</v>
      </c>
      <c r="F159" t="s">
        <v>3105</v>
      </c>
      <c r="G159" t="s">
        <v>3463</v>
      </c>
    </row>
    <row r="160" spans="1:7" ht="11.25" customHeight="1">
      <c r="A160" s="306" t="s">
        <v>3</v>
      </c>
      <c r="B160" t="s">
        <v>1128</v>
      </c>
      <c r="C160" t="s">
        <v>3457</v>
      </c>
      <c r="D160" t="s">
        <v>3464</v>
      </c>
      <c r="E160" t="s">
        <v>3465</v>
      </c>
      <c r="F160" t="s">
        <v>3105</v>
      </c>
      <c r="G160" t="s">
        <v>3466</v>
      </c>
    </row>
    <row r="161" spans="1:7" ht="11.25" customHeight="1">
      <c r="A161" s="306" t="s">
        <v>3</v>
      </c>
      <c r="B161" t="s">
        <v>1128</v>
      </c>
      <c r="C161" t="s">
        <v>3457</v>
      </c>
      <c r="D161" t="s">
        <v>3133</v>
      </c>
      <c r="E161" t="s">
        <v>3467</v>
      </c>
      <c r="F161" t="s">
        <v>3105</v>
      </c>
      <c r="G161" t="s">
        <v>3468</v>
      </c>
    </row>
    <row r="162" spans="1:7" ht="11.25" customHeight="1">
      <c r="A162" s="306" t="s">
        <v>3</v>
      </c>
      <c r="B162" t="s">
        <v>1128</v>
      </c>
      <c r="C162" t="s">
        <v>3457</v>
      </c>
      <c r="D162" t="s">
        <v>1128</v>
      </c>
      <c r="E162" t="s">
        <v>3457</v>
      </c>
      <c r="F162" t="s">
        <v>3099</v>
      </c>
      <c r="G162" t="s">
        <v>3469</v>
      </c>
    </row>
    <row r="163" spans="1:7" ht="11.25" customHeight="1">
      <c r="A163" s="306" t="s">
        <v>3</v>
      </c>
      <c r="B163" t="s">
        <v>1128</v>
      </c>
      <c r="C163" t="s">
        <v>3457</v>
      </c>
      <c r="D163" t="s">
        <v>1129</v>
      </c>
      <c r="E163" t="s">
        <v>1130</v>
      </c>
      <c r="F163" t="s">
        <v>3102</v>
      </c>
      <c r="G163" t="s">
        <v>3470</v>
      </c>
    </row>
    <row r="164" spans="1:7" ht="11.25" customHeight="1">
      <c r="A164" s="306" t="s">
        <v>3</v>
      </c>
      <c r="B164" t="s">
        <v>3471</v>
      </c>
      <c r="C164" t="s">
        <v>3472</v>
      </c>
      <c r="D164" t="s">
        <v>3471</v>
      </c>
      <c r="E164" t="s">
        <v>3472</v>
      </c>
      <c r="F164" t="s">
        <v>3096</v>
      </c>
      <c r="G164" t="s">
        <v>3473</v>
      </c>
    </row>
    <row r="165" spans="1:7" ht="11.25" customHeight="1">
      <c r="A165" s="306" t="s">
        <v>3</v>
      </c>
      <c r="B165" t="s">
        <v>3474</v>
      </c>
      <c r="C165" t="s">
        <v>3475</v>
      </c>
      <c r="D165" t="s">
        <v>3476</v>
      </c>
      <c r="E165" t="s">
        <v>3477</v>
      </c>
      <c r="F165" t="s">
        <v>3105</v>
      </c>
      <c r="G165" t="s">
        <v>3478</v>
      </c>
    </row>
    <row r="166" spans="1:7" ht="11.25" customHeight="1">
      <c r="A166" s="306" t="s">
        <v>3</v>
      </c>
      <c r="B166" t="s">
        <v>3474</v>
      </c>
      <c r="C166" t="s">
        <v>3475</v>
      </c>
      <c r="D166" t="s">
        <v>3479</v>
      </c>
      <c r="E166" t="s">
        <v>3480</v>
      </c>
      <c r="F166" t="s">
        <v>3105</v>
      </c>
      <c r="G166" t="s">
        <v>3481</v>
      </c>
    </row>
    <row r="167" spans="1:7" ht="11.25" customHeight="1">
      <c r="A167" s="306" t="s">
        <v>3</v>
      </c>
      <c r="B167" t="s">
        <v>3474</v>
      </c>
      <c r="C167" t="s">
        <v>3475</v>
      </c>
      <c r="D167" t="s">
        <v>3482</v>
      </c>
      <c r="E167" t="s">
        <v>3483</v>
      </c>
      <c r="F167" t="s">
        <v>3105</v>
      </c>
      <c r="G167" t="s">
        <v>3484</v>
      </c>
    </row>
    <row r="168" spans="1:7" ht="11.25" customHeight="1">
      <c r="A168" s="306" t="s">
        <v>3</v>
      </c>
      <c r="B168" t="s">
        <v>3474</v>
      </c>
      <c r="C168" t="s">
        <v>3475</v>
      </c>
      <c r="D168" t="s">
        <v>3474</v>
      </c>
      <c r="E168" t="s">
        <v>3475</v>
      </c>
      <c r="F168" t="s">
        <v>3099</v>
      </c>
      <c r="G168" t="s">
        <v>3485</v>
      </c>
    </row>
    <row r="169" spans="1:7" ht="11.25" customHeight="1">
      <c r="A169" s="306" t="s">
        <v>3</v>
      </c>
      <c r="B169" t="s">
        <v>3474</v>
      </c>
      <c r="C169" t="s">
        <v>3475</v>
      </c>
      <c r="D169" t="s">
        <v>3486</v>
      </c>
      <c r="E169" t="s">
        <v>3487</v>
      </c>
      <c r="F169" t="s">
        <v>3105</v>
      </c>
      <c r="G169" t="s">
        <v>3488</v>
      </c>
    </row>
    <row r="170" spans="1:7" ht="11.25" customHeight="1">
      <c r="A170" s="306" t="s">
        <v>3</v>
      </c>
      <c r="B170" t="s">
        <v>3489</v>
      </c>
      <c r="C170" t="s">
        <v>3490</v>
      </c>
      <c r="D170" t="s">
        <v>3489</v>
      </c>
      <c r="E170" t="s">
        <v>3490</v>
      </c>
      <c r="F170" t="s">
        <v>3096</v>
      </c>
      <c r="G170" t="s">
        <v>3491</v>
      </c>
    </row>
    <row r="171" spans="1:7" ht="11.25" customHeight="1">
      <c r="A171" s="306" t="s">
        <v>3</v>
      </c>
      <c r="B171" t="s">
        <v>3492</v>
      </c>
      <c r="C171" t="s">
        <v>3493</v>
      </c>
      <c r="D171" t="s">
        <v>3494</v>
      </c>
      <c r="E171" t="s">
        <v>3495</v>
      </c>
      <c r="F171" t="s">
        <v>3105</v>
      </c>
      <c r="G171" t="s">
        <v>3496</v>
      </c>
    </row>
    <row r="172" spans="1:7" ht="11.25" customHeight="1">
      <c r="A172" s="306" t="s">
        <v>3</v>
      </c>
      <c r="B172" t="s">
        <v>3492</v>
      </c>
      <c r="C172" t="s">
        <v>3493</v>
      </c>
      <c r="D172" t="s">
        <v>3497</v>
      </c>
      <c r="E172" t="s">
        <v>3498</v>
      </c>
      <c r="F172" t="s">
        <v>3105</v>
      </c>
      <c r="G172" t="s">
        <v>3499</v>
      </c>
    </row>
    <row r="173" spans="1:7" ht="11.25" customHeight="1">
      <c r="A173" s="306" t="s">
        <v>3</v>
      </c>
      <c r="B173" t="s">
        <v>3492</v>
      </c>
      <c r="C173" t="s">
        <v>3493</v>
      </c>
      <c r="D173" t="s">
        <v>3492</v>
      </c>
      <c r="E173" t="s">
        <v>3493</v>
      </c>
      <c r="F173" t="s">
        <v>3099</v>
      </c>
      <c r="G173" t="s">
        <v>3500</v>
      </c>
    </row>
    <row r="174" spans="1:7" ht="11.25" customHeight="1">
      <c r="A174" s="306" t="s">
        <v>3</v>
      </c>
      <c r="B174" t="s">
        <v>3492</v>
      </c>
      <c r="C174" t="s">
        <v>3493</v>
      </c>
      <c r="D174" t="s">
        <v>3501</v>
      </c>
      <c r="E174" t="s">
        <v>3502</v>
      </c>
      <c r="F174" t="s">
        <v>3105</v>
      </c>
      <c r="G174" t="s">
        <v>3503</v>
      </c>
    </row>
    <row r="175" spans="1:7" ht="11.25" customHeight="1">
      <c r="A175" s="306" t="s">
        <v>3</v>
      </c>
      <c r="B175" t="s">
        <v>3504</v>
      </c>
      <c r="C175" t="s">
        <v>3505</v>
      </c>
      <c r="D175" t="s">
        <v>3504</v>
      </c>
      <c r="E175" t="s">
        <v>3505</v>
      </c>
      <c r="F175" t="s">
        <v>3096</v>
      </c>
      <c r="G175" t="s">
        <v>3506</v>
      </c>
    </row>
    <row r="176" spans="1:7" ht="11.25" customHeight="1">
      <c r="A176" s="306" t="s">
        <v>3</v>
      </c>
      <c r="B176" t="s">
        <v>3507</v>
      </c>
      <c r="C176" t="s">
        <v>3508</v>
      </c>
      <c r="D176" t="s">
        <v>3509</v>
      </c>
      <c r="E176" t="s">
        <v>3510</v>
      </c>
      <c r="F176" t="s">
        <v>3105</v>
      </c>
      <c r="G176" t="s">
        <v>3511</v>
      </c>
    </row>
    <row r="177" spans="1:7" ht="11.25" customHeight="1">
      <c r="A177" s="306" t="s">
        <v>3</v>
      </c>
      <c r="B177" t="s">
        <v>3507</v>
      </c>
      <c r="C177" t="s">
        <v>3508</v>
      </c>
      <c r="D177" t="s">
        <v>3512</v>
      </c>
      <c r="E177" t="s">
        <v>3513</v>
      </c>
      <c r="F177" t="s">
        <v>3105</v>
      </c>
      <c r="G177" t="s">
        <v>3514</v>
      </c>
    </row>
    <row r="178" spans="1:7" ht="11.25" customHeight="1">
      <c r="A178" s="306" t="s">
        <v>3</v>
      </c>
      <c r="B178" t="s">
        <v>3507</v>
      </c>
      <c r="C178" t="s">
        <v>3508</v>
      </c>
      <c r="D178" t="s">
        <v>3515</v>
      </c>
      <c r="E178" t="s">
        <v>3516</v>
      </c>
      <c r="F178" t="s">
        <v>3105</v>
      </c>
      <c r="G178" t="s">
        <v>3517</v>
      </c>
    </row>
    <row r="179" spans="1:7" ht="11.25" customHeight="1">
      <c r="A179" s="306" t="s">
        <v>3</v>
      </c>
      <c r="B179" t="s">
        <v>3507</v>
      </c>
      <c r="C179" t="s">
        <v>3508</v>
      </c>
      <c r="D179" t="s">
        <v>3518</v>
      </c>
      <c r="E179" t="s">
        <v>3519</v>
      </c>
      <c r="F179" t="s">
        <v>3105</v>
      </c>
      <c r="G179" t="s">
        <v>3520</v>
      </c>
    </row>
    <row r="180" spans="1:7" ht="11.25" customHeight="1">
      <c r="A180" s="306" t="s">
        <v>3</v>
      </c>
      <c r="B180" t="s">
        <v>3507</v>
      </c>
      <c r="C180" t="s">
        <v>3508</v>
      </c>
      <c r="D180" t="s">
        <v>3521</v>
      </c>
      <c r="E180" t="s">
        <v>3522</v>
      </c>
      <c r="F180" t="s">
        <v>3105</v>
      </c>
      <c r="G180" t="s">
        <v>3523</v>
      </c>
    </row>
    <row r="181" spans="1:7" ht="11.25" customHeight="1">
      <c r="A181" s="306" t="s">
        <v>3</v>
      </c>
      <c r="B181" t="s">
        <v>3507</v>
      </c>
      <c r="C181" t="s">
        <v>3508</v>
      </c>
      <c r="D181" t="s">
        <v>3507</v>
      </c>
      <c r="E181" t="s">
        <v>3508</v>
      </c>
      <c r="F181" t="s">
        <v>3099</v>
      </c>
      <c r="G181" t="s">
        <v>3524</v>
      </c>
    </row>
    <row r="182" spans="1:7" ht="11.25" customHeight="1">
      <c r="A182" s="306" t="s">
        <v>3</v>
      </c>
      <c r="B182" t="s">
        <v>3507</v>
      </c>
      <c r="C182" t="s">
        <v>3508</v>
      </c>
      <c r="D182" t="s">
        <v>3525</v>
      </c>
      <c r="E182" t="s">
        <v>3526</v>
      </c>
      <c r="F182" t="s">
        <v>3162</v>
      </c>
      <c r="G182" t="s">
        <v>3527</v>
      </c>
    </row>
    <row r="183" spans="1:7" ht="11.25" customHeight="1">
      <c r="A183" s="306" t="s">
        <v>3</v>
      </c>
      <c r="B183" t="s">
        <v>3507</v>
      </c>
      <c r="C183" t="s">
        <v>3508</v>
      </c>
      <c r="D183" t="s">
        <v>3528</v>
      </c>
      <c r="E183" t="s">
        <v>3529</v>
      </c>
      <c r="F183" t="s">
        <v>3105</v>
      </c>
      <c r="G183" t="s">
        <v>3530</v>
      </c>
    </row>
    <row r="184" spans="1:7" ht="11.25" customHeight="1">
      <c r="A184" s="306" t="s">
        <v>3</v>
      </c>
      <c r="B184" t="s">
        <v>129</v>
      </c>
      <c r="C184" t="s">
        <v>130</v>
      </c>
      <c r="D184" t="s">
        <v>129</v>
      </c>
      <c r="E184" t="s">
        <v>130</v>
      </c>
      <c r="F184" t="s">
        <v>3096</v>
      </c>
      <c r="G184" t="s">
        <v>128</v>
      </c>
    </row>
    <row r="185" spans="1:7" ht="11.25" customHeight="1">
      <c r="A185" s="306" t="s">
        <v>3</v>
      </c>
      <c r="B185" t="s">
        <v>1114</v>
      </c>
      <c r="C185" t="s">
        <v>3531</v>
      </c>
      <c r="D185" t="s">
        <v>3532</v>
      </c>
      <c r="E185" t="s">
        <v>3533</v>
      </c>
      <c r="F185" t="s">
        <v>3105</v>
      </c>
      <c r="G185" t="s">
        <v>3534</v>
      </c>
    </row>
    <row r="186" spans="1:7" ht="11.25" customHeight="1">
      <c r="A186" s="306" t="s">
        <v>3</v>
      </c>
      <c r="B186" t="s">
        <v>1114</v>
      </c>
      <c r="C186" t="s">
        <v>3531</v>
      </c>
      <c r="D186" t="s">
        <v>3535</v>
      </c>
      <c r="E186" t="s">
        <v>3536</v>
      </c>
      <c r="F186" t="s">
        <v>3105</v>
      </c>
      <c r="G186" t="s">
        <v>3537</v>
      </c>
    </row>
    <row r="187" spans="1:7" ht="11.25" customHeight="1">
      <c r="A187" s="306" t="s">
        <v>3</v>
      </c>
      <c r="B187" t="s">
        <v>1114</v>
      </c>
      <c r="C187" t="s">
        <v>3531</v>
      </c>
      <c r="D187" t="s">
        <v>3538</v>
      </c>
      <c r="E187" t="s">
        <v>3539</v>
      </c>
      <c r="F187" t="s">
        <v>3105</v>
      </c>
      <c r="G187" t="s">
        <v>3540</v>
      </c>
    </row>
    <row r="188" spans="1:7" ht="11.25" customHeight="1">
      <c r="A188" s="306" t="s">
        <v>3</v>
      </c>
      <c r="B188" t="s">
        <v>1114</v>
      </c>
      <c r="C188" t="s">
        <v>3531</v>
      </c>
      <c r="D188" t="s">
        <v>3541</v>
      </c>
      <c r="E188" t="s">
        <v>3542</v>
      </c>
      <c r="F188" t="s">
        <v>3105</v>
      </c>
      <c r="G188" t="s">
        <v>3543</v>
      </c>
    </row>
    <row r="189" spans="1:7" ht="11.25" customHeight="1">
      <c r="A189" s="306" t="s">
        <v>3</v>
      </c>
      <c r="B189" t="s">
        <v>1114</v>
      </c>
      <c r="C189" t="s">
        <v>3531</v>
      </c>
      <c r="D189" t="s">
        <v>3544</v>
      </c>
      <c r="E189" t="s">
        <v>3545</v>
      </c>
      <c r="F189" t="s">
        <v>3105</v>
      </c>
      <c r="G189" t="s">
        <v>3546</v>
      </c>
    </row>
    <row r="190" spans="1:7" ht="11.25" customHeight="1">
      <c r="A190" s="306" t="s">
        <v>3</v>
      </c>
      <c r="B190" t="s">
        <v>1114</v>
      </c>
      <c r="C190" t="s">
        <v>3531</v>
      </c>
      <c r="D190" t="s">
        <v>1114</v>
      </c>
      <c r="E190" t="s">
        <v>3531</v>
      </c>
      <c r="F190" t="s">
        <v>3099</v>
      </c>
      <c r="G190" t="s">
        <v>3547</v>
      </c>
    </row>
    <row r="191" spans="1:7" ht="11.25" customHeight="1">
      <c r="A191" s="306" t="s">
        <v>3</v>
      </c>
      <c r="B191" t="s">
        <v>1114</v>
      </c>
      <c r="C191" t="s">
        <v>3531</v>
      </c>
      <c r="D191" t="s">
        <v>1115</v>
      </c>
      <c r="E191" t="s">
        <v>1116</v>
      </c>
      <c r="F191" t="s">
        <v>3162</v>
      </c>
      <c r="G191" t="s">
        <v>3548</v>
      </c>
    </row>
    <row r="192" spans="1:7" ht="11.25" customHeight="1">
      <c r="A192" s="306" t="s">
        <v>3</v>
      </c>
      <c r="B192" t="s">
        <v>113</v>
      </c>
      <c r="C192" t="s">
        <v>114</v>
      </c>
      <c r="D192" t="s">
        <v>113</v>
      </c>
      <c r="E192" t="s">
        <v>114</v>
      </c>
      <c r="F192" t="s">
        <v>3096</v>
      </c>
      <c r="G192" t="s">
        <v>112</v>
      </c>
    </row>
    <row r="193" spans="1:7" ht="11.25" customHeight="1">
      <c r="A193" s="306" t="s">
        <v>3</v>
      </c>
      <c r="B193" t="s">
        <v>1047</v>
      </c>
      <c r="C193" t="s">
        <v>3549</v>
      </c>
      <c r="D193" t="s">
        <v>3550</v>
      </c>
      <c r="E193" t="s">
        <v>3551</v>
      </c>
      <c r="F193" t="s">
        <v>3105</v>
      </c>
      <c r="G193" t="s">
        <v>3552</v>
      </c>
    </row>
    <row r="194" spans="1:7" ht="11.25" customHeight="1">
      <c r="A194" s="306" t="s">
        <v>3</v>
      </c>
      <c r="B194" t="s">
        <v>1047</v>
      </c>
      <c r="C194" t="s">
        <v>3549</v>
      </c>
      <c r="D194" t="s">
        <v>3553</v>
      </c>
      <c r="E194" t="s">
        <v>3554</v>
      </c>
      <c r="F194" t="s">
        <v>3105</v>
      </c>
      <c r="G194" t="s">
        <v>3555</v>
      </c>
    </row>
    <row r="195" spans="1:7" ht="11.25" customHeight="1">
      <c r="A195" s="306" t="s">
        <v>3</v>
      </c>
      <c r="B195" t="s">
        <v>1047</v>
      </c>
      <c r="C195" t="s">
        <v>3549</v>
      </c>
      <c r="D195" t="s">
        <v>3556</v>
      </c>
      <c r="E195" t="s">
        <v>3557</v>
      </c>
      <c r="F195" t="s">
        <v>3105</v>
      </c>
      <c r="G195" t="s">
        <v>3558</v>
      </c>
    </row>
    <row r="196" spans="1:7" ht="11.25" customHeight="1">
      <c r="A196" s="306" t="s">
        <v>3</v>
      </c>
      <c r="B196" t="s">
        <v>1047</v>
      </c>
      <c r="C196" t="s">
        <v>3549</v>
      </c>
      <c r="D196" t="s">
        <v>3559</v>
      </c>
      <c r="E196" t="s">
        <v>3560</v>
      </c>
      <c r="F196" t="s">
        <v>3105</v>
      </c>
      <c r="G196" t="s">
        <v>3561</v>
      </c>
    </row>
    <row r="197" spans="1:7" ht="11.25" customHeight="1">
      <c r="A197" s="306" t="s">
        <v>3</v>
      </c>
      <c r="B197" t="s">
        <v>1047</v>
      </c>
      <c r="C197" t="s">
        <v>3549</v>
      </c>
      <c r="D197" t="s">
        <v>3562</v>
      </c>
      <c r="E197" t="s">
        <v>3563</v>
      </c>
      <c r="F197" t="s">
        <v>3105</v>
      </c>
      <c r="G197" t="s">
        <v>3564</v>
      </c>
    </row>
    <row r="198" spans="1:7" ht="11.25" customHeight="1">
      <c r="A198" s="306" t="s">
        <v>3</v>
      </c>
      <c r="B198" t="s">
        <v>1047</v>
      </c>
      <c r="C198" t="s">
        <v>3549</v>
      </c>
      <c r="D198" t="s">
        <v>3565</v>
      </c>
      <c r="E198" t="s">
        <v>3566</v>
      </c>
      <c r="F198" t="s">
        <v>3105</v>
      </c>
      <c r="G198" t="s">
        <v>3567</v>
      </c>
    </row>
    <row r="199" spans="1:7" ht="11.25" customHeight="1">
      <c r="A199" s="306" t="s">
        <v>3</v>
      </c>
      <c r="B199" t="s">
        <v>1047</v>
      </c>
      <c r="C199" t="s">
        <v>3549</v>
      </c>
      <c r="D199" t="s">
        <v>3568</v>
      </c>
      <c r="E199" t="s">
        <v>3569</v>
      </c>
      <c r="F199" t="s">
        <v>3105</v>
      </c>
      <c r="G199" t="s">
        <v>3570</v>
      </c>
    </row>
    <row r="200" spans="1:7" ht="11.25" customHeight="1">
      <c r="A200" s="306" t="s">
        <v>3</v>
      </c>
      <c r="B200" t="s">
        <v>1047</v>
      </c>
      <c r="C200" t="s">
        <v>3549</v>
      </c>
      <c r="D200" t="s">
        <v>1047</v>
      </c>
      <c r="E200" t="s">
        <v>3549</v>
      </c>
      <c r="F200" t="s">
        <v>3099</v>
      </c>
      <c r="G200" t="s">
        <v>3571</v>
      </c>
    </row>
    <row r="201" spans="1:7" ht="11.25" customHeight="1">
      <c r="A201" s="306" t="s">
        <v>3</v>
      </c>
      <c r="B201" t="s">
        <v>1047</v>
      </c>
      <c r="C201" t="s">
        <v>3549</v>
      </c>
      <c r="D201" t="s">
        <v>1048</v>
      </c>
      <c r="E201" t="s">
        <v>1049</v>
      </c>
      <c r="F201" t="s">
        <v>3162</v>
      </c>
      <c r="G201" t="s">
        <v>3572</v>
      </c>
    </row>
    <row r="202" spans="1:7" ht="11.25" customHeight="1">
      <c r="A202" s="306" t="s">
        <v>3</v>
      </c>
      <c r="B202" t="s">
        <v>143</v>
      </c>
      <c r="C202" t="s">
        <v>144</v>
      </c>
      <c r="D202" t="s">
        <v>143</v>
      </c>
      <c r="E202" t="s">
        <v>144</v>
      </c>
      <c r="F202" t="s">
        <v>3096</v>
      </c>
      <c r="G202" t="s">
        <v>142</v>
      </c>
    </row>
    <row r="203" spans="1:7" ht="11.25" customHeight="1">
      <c r="A203" s="306" t="s">
        <v>3</v>
      </c>
      <c r="B203" t="s">
        <v>3573</v>
      </c>
      <c r="C203" t="s">
        <v>3574</v>
      </c>
      <c r="D203" t="s">
        <v>3575</v>
      </c>
      <c r="E203" t="s">
        <v>3576</v>
      </c>
      <c r="F203" t="s">
        <v>3105</v>
      </c>
      <c r="G203" t="s">
        <v>3577</v>
      </c>
    </row>
    <row r="204" spans="1:7" ht="11.25" customHeight="1">
      <c r="A204" s="306" t="s">
        <v>3</v>
      </c>
      <c r="B204" t="s">
        <v>3573</v>
      </c>
      <c r="C204" t="s">
        <v>3574</v>
      </c>
      <c r="D204" t="s">
        <v>3578</v>
      </c>
      <c r="E204" t="s">
        <v>3579</v>
      </c>
      <c r="F204" t="s">
        <v>3105</v>
      </c>
      <c r="G204" t="s">
        <v>3580</v>
      </c>
    </row>
    <row r="205" spans="1:7" ht="11.25" customHeight="1">
      <c r="A205" s="306" t="s">
        <v>3</v>
      </c>
      <c r="B205" t="s">
        <v>3573</v>
      </c>
      <c r="C205" t="s">
        <v>3574</v>
      </c>
      <c r="D205" t="s">
        <v>3581</v>
      </c>
      <c r="E205" t="s">
        <v>3582</v>
      </c>
      <c r="F205" t="s">
        <v>3105</v>
      </c>
      <c r="G205" t="s">
        <v>3583</v>
      </c>
    </row>
    <row r="206" spans="1:7" ht="11.25" customHeight="1">
      <c r="A206" s="306" t="s">
        <v>3</v>
      </c>
      <c r="B206" t="s">
        <v>3573</v>
      </c>
      <c r="C206" t="s">
        <v>3574</v>
      </c>
      <c r="D206" t="s">
        <v>3584</v>
      </c>
      <c r="E206" t="s">
        <v>3585</v>
      </c>
      <c r="F206" t="s">
        <v>3105</v>
      </c>
      <c r="G206" t="s">
        <v>3586</v>
      </c>
    </row>
    <row r="207" spans="1:7" ht="11.25" customHeight="1">
      <c r="A207" s="306" t="s">
        <v>3</v>
      </c>
      <c r="B207" t="s">
        <v>3573</v>
      </c>
      <c r="C207" t="s">
        <v>3574</v>
      </c>
      <c r="D207" t="s">
        <v>3587</v>
      </c>
      <c r="E207" t="s">
        <v>3588</v>
      </c>
      <c r="F207" t="s">
        <v>3105</v>
      </c>
      <c r="G207" t="s">
        <v>3589</v>
      </c>
    </row>
    <row r="208" spans="1:7" ht="11.25" customHeight="1">
      <c r="A208" s="306" t="s">
        <v>3</v>
      </c>
      <c r="B208" t="s">
        <v>3573</v>
      </c>
      <c r="C208" t="s">
        <v>3574</v>
      </c>
      <c r="D208" t="s">
        <v>3573</v>
      </c>
      <c r="E208" t="s">
        <v>3574</v>
      </c>
      <c r="F208" t="s">
        <v>3099</v>
      </c>
      <c r="G208" t="s">
        <v>3590</v>
      </c>
    </row>
    <row r="209" spans="1:7" ht="11.25" customHeight="1">
      <c r="A209" s="306" t="s">
        <v>3</v>
      </c>
      <c r="B209" t="s">
        <v>3573</v>
      </c>
      <c r="C209" t="s">
        <v>3574</v>
      </c>
      <c r="D209" t="s">
        <v>3591</v>
      </c>
      <c r="E209" t="s">
        <v>3592</v>
      </c>
      <c r="F209" t="s">
        <v>3102</v>
      </c>
      <c r="G209" t="s">
        <v>3593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3"/>
  <sheetViews>
    <sheetView showGridLines="0" workbookViewId="0"/>
  </sheetViews>
  <sheetFormatPr defaultColWidth="9.140625" defaultRowHeight="11.25" customHeight="1"/>
  <cols>
    <col min="1" max="1" width="13.85546875" style="1478" customWidth="1"/>
    <col min="2" max="2" width="10.42578125" style="1478" customWidth="1"/>
    <col min="3" max="3" width="7.5703125" style="1478" customWidth="1"/>
    <col min="4" max="4" width="13.85546875" style="1478" customWidth="1"/>
    <col min="5" max="5" width="11.5703125" style="1478" customWidth="1"/>
    <col min="6" max="6" width="16.28515625" style="1478" customWidth="1"/>
    <col min="7" max="7" width="16" style="1478" customWidth="1"/>
    <col min="8" max="9" width="16.140625" style="1478" customWidth="1"/>
  </cols>
  <sheetData>
    <row r="1" spans="1:9" ht="11.25" customHeight="1">
      <c r="A1" s="734" t="s">
        <v>3594</v>
      </c>
      <c r="B1" s="734" t="s">
        <v>3595</v>
      </c>
      <c r="C1" s="960" t="s">
        <v>3596</v>
      </c>
      <c r="D1" s="734" t="s">
        <v>3597</v>
      </c>
      <c r="E1" s="734" t="s">
        <v>3598</v>
      </c>
      <c r="F1" s="960" t="s">
        <v>3599</v>
      </c>
      <c r="G1" s="960" t="s">
        <v>3600</v>
      </c>
      <c r="H1" s="960" t="s">
        <v>3601</v>
      </c>
      <c r="I1" s="960" t="s">
        <v>3602</v>
      </c>
    </row>
    <row r="2" spans="1:9" ht="11.25" customHeight="1">
      <c r="A2" s="1478" t="s">
        <v>161</v>
      </c>
      <c r="B2" s="1478" t="s">
        <v>990</v>
      </c>
      <c r="C2" s="1478" t="s">
        <v>3603</v>
      </c>
      <c r="D2" s="1478" t="s">
        <v>992</v>
      </c>
      <c r="E2" s="1478" t="s">
        <v>993</v>
      </c>
      <c r="F2" s="1478" t="s">
        <v>994</v>
      </c>
      <c r="G2" s="1478" t="s">
        <v>995</v>
      </c>
      <c r="H2" s="1478" t="s">
        <v>103</v>
      </c>
      <c r="I2" s="1478" t="s">
        <v>996</v>
      </c>
    </row>
    <row r="3" spans="1:9" ht="11.25" customHeight="1">
      <c r="A3" s="1478" t="s">
        <v>89</v>
      </c>
      <c r="B3" s="1478" t="s">
        <v>999</v>
      </c>
      <c r="C3" s="1478" t="s">
        <v>3604</v>
      </c>
      <c r="D3" s="1478" t="s">
        <v>1000</v>
      </c>
      <c r="E3" s="1478" t="s">
        <v>1001</v>
      </c>
      <c r="F3" s="1478" t="s">
        <v>1002</v>
      </c>
      <c r="G3" s="1478" t="s">
        <v>995</v>
      </c>
      <c r="H3" s="1478" t="s">
        <v>1003</v>
      </c>
      <c r="I3" s="1478" t="s">
        <v>1004</v>
      </c>
    </row>
    <row r="4" spans="1:9" ht="11.25" customHeight="1">
      <c r="A4" s="1478" t="s">
        <v>77</v>
      </c>
      <c r="B4" s="1478" t="s">
        <v>3605</v>
      </c>
      <c r="C4" s="1478" t="s">
        <v>3606</v>
      </c>
      <c r="D4" s="1478" t="s">
        <v>1000</v>
      </c>
      <c r="E4" s="1478" t="s">
        <v>1001</v>
      </c>
      <c r="F4" s="1478" t="s">
        <v>1002</v>
      </c>
      <c r="G4" s="1478" t="s">
        <v>995</v>
      </c>
      <c r="H4" s="1478" t="s">
        <v>1003</v>
      </c>
      <c r="I4" s="1478" t="s">
        <v>1004</v>
      </c>
    </row>
    <row r="5" spans="1:9" ht="11.25" customHeight="1">
      <c r="A5" s="1478" t="s">
        <v>78</v>
      </c>
      <c r="B5" s="1478" t="s">
        <v>1006</v>
      </c>
      <c r="C5" s="1478" t="s">
        <v>3607</v>
      </c>
      <c r="D5" s="1478" t="s">
        <v>1007</v>
      </c>
      <c r="E5" s="1478" t="s">
        <v>1008</v>
      </c>
      <c r="F5" s="1478" t="s">
        <v>1009</v>
      </c>
      <c r="G5" s="1478" t="s">
        <v>995</v>
      </c>
      <c r="H5" s="1478" t="s">
        <v>1010</v>
      </c>
      <c r="I5" s="1478" t="s">
        <v>1011</v>
      </c>
    </row>
    <row r="6" spans="1:9" ht="11.25" customHeight="1">
      <c r="A6" s="1478" t="s">
        <v>115</v>
      </c>
      <c r="B6" s="1478" t="s">
        <v>3608</v>
      </c>
      <c r="C6" s="1478" t="s">
        <v>3609</v>
      </c>
      <c r="D6" s="1478" t="s">
        <v>3610</v>
      </c>
      <c r="E6" s="1478" t="s">
        <v>3611</v>
      </c>
      <c r="F6" s="1478" t="s">
        <v>3612</v>
      </c>
      <c r="G6" s="1478" t="s">
        <v>995</v>
      </c>
      <c r="H6" s="1478" t="s">
        <v>1649</v>
      </c>
      <c r="I6" s="1478" t="s">
        <v>3613</v>
      </c>
    </row>
    <row r="7" spans="1:9" ht="11.25" customHeight="1">
      <c r="A7" s="1478" t="s">
        <v>79</v>
      </c>
      <c r="B7" s="1478" t="s">
        <v>3608</v>
      </c>
      <c r="C7" s="1478" t="s">
        <v>9</v>
      </c>
      <c r="D7" s="1478" t="s">
        <v>3610</v>
      </c>
      <c r="E7" s="1478" t="s">
        <v>3611</v>
      </c>
      <c r="F7" s="1478" t="s">
        <v>9</v>
      </c>
      <c r="G7" s="1478" t="s">
        <v>9</v>
      </c>
      <c r="H7" s="1478" t="s">
        <v>9</v>
      </c>
      <c r="I7" s="1478" t="s">
        <v>9</v>
      </c>
    </row>
    <row r="8" spans="1:9" ht="11.25" customHeight="1">
      <c r="A8" s="1478" t="s">
        <v>80</v>
      </c>
      <c r="B8" s="1478" t="s">
        <v>1013</v>
      </c>
      <c r="C8" s="1478" t="s">
        <v>3614</v>
      </c>
      <c r="D8" s="1478" t="s">
        <v>1014</v>
      </c>
      <c r="E8" s="1478" t="s">
        <v>993</v>
      </c>
      <c r="F8" s="1478" t="s">
        <v>1015</v>
      </c>
      <c r="G8" s="1478" t="s">
        <v>995</v>
      </c>
      <c r="H8" s="1478" t="s">
        <v>1016</v>
      </c>
      <c r="I8" s="1478" t="s">
        <v>1017</v>
      </c>
    </row>
    <row r="9" spans="1:9" ht="11.25" customHeight="1">
      <c r="A9" s="1478" t="s">
        <v>131</v>
      </c>
      <c r="B9" s="1478" t="s">
        <v>1019</v>
      </c>
      <c r="C9" s="1478" t="s">
        <v>3615</v>
      </c>
      <c r="D9" s="1478" t="s">
        <v>1020</v>
      </c>
      <c r="E9" s="1478" t="s">
        <v>1001</v>
      </c>
      <c r="F9" s="1478" t="s">
        <v>1021</v>
      </c>
      <c r="G9" s="1478" t="s">
        <v>995</v>
      </c>
      <c r="H9" s="1478" t="s">
        <v>1022</v>
      </c>
      <c r="I9" s="1478" t="s">
        <v>1023</v>
      </c>
    </row>
    <row r="10" spans="1:9" ht="11.25" customHeight="1">
      <c r="A10" s="1478" t="s">
        <v>133</v>
      </c>
      <c r="B10" s="1478" t="s">
        <v>1038</v>
      </c>
      <c r="C10" s="1478" t="s">
        <v>3616</v>
      </c>
      <c r="D10" s="1478" t="s">
        <v>1039</v>
      </c>
      <c r="E10" s="1478" t="s">
        <v>993</v>
      </c>
      <c r="F10" s="1478" t="s">
        <v>1040</v>
      </c>
      <c r="G10" s="1478" t="s">
        <v>995</v>
      </c>
      <c r="H10" s="1478" t="s">
        <v>1041</v>
      </c>
      <c r="I10" s="1478" t="s">
        <v>1042</v>
      </c>
    </row>
    <row r="11" spans="1:9" ht="11.25" customHeight="1">
      <c r="A11" s="1478" t="s">
        <v>138</v>
      </c>
      <c r="B11" s="1478" t="s">
        <v>1025</v>
      </c>
      <c r="C11" s="1478" t="s">
        <v>3617</v>
      </c>
      <c r="D11" s="1478" t="s">
        <v>1026</v>
      </c>
      <c r="E11" s="1478" t="s">
        <v>1008</v>
      </c>
      <c r="F11" s="1478" t="s">
        <v>1009</v>
      </c>
      <c r="G11" s="1478" t="s">
        <v>995</v>
      </c>
      <c r="H11" s="1478" t="s">
        <v>1010</v>
      </c>
      <c r="I11" s="1478" t="s">
        <v>1011</v>
      </c>
    </row>
    <row r="12" spans="1:9" ht="11.25" customHeight="1">
      <c r="A12" s="1478" t="s">
        <v>140</v>
      </c>
      <c r="B12" s="1478" t="s">
        <v>1028</v>
      </c>
      <c r="C12" s="1478" t="s">
        <v>3618</v>
      </c>
      <c r="D12" s="1478" t="s">
        <v>1029</v>
      </c>
      <c r="E12" s="1478" t="s">
        <v>1030</v>
      </c>
      <c r="F12" s="1478" t="s">
        <v>1031</v>
      </c>
      <c r="G12" s="1478" t="s">
        <v>995</v>
      </c>
      <c r="H12" s="1478" t="s">
        <v>1032</v>
      </c>
      <c r="I12" s="1478" t="s">
        <v>1029</v>
      </c>
    </row>
    <row r="13" spans="1:9" ht="11.25" customHeight="1">
      <c r="A13" s="1478" t="s">
        <v>145</v>
      </c>
      <c r="B13" s="1478" t="s">
        <v>1034</v>
      </c>
      <c r="C13" s="1478" t="s">
        <v>3619</v>
      </c>
      <c r="D13" s="1478" t="s">
        <v>992</v>
      </c>
      <c r="E13" s="1478" t="s">
        <v>1008</v>
      </c>
      <c r="F13" s="1478" t="s">
        <v>1035</v>
      </c>
      <c r="G13" s="1478" t="s">
        <v>995</v>
      </c>
      <c r="H13" s="1478" t="s">
        <v>1036</v>
      </c>
      <c r="I13" s="1478" t="s">
        <v>996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AL196"/>
  <sheetViews>
    <sheetView workbookViewId="0"/>
  </sheetViews>
  <sheetFormatPr defaultRowHeight="11.25" customHeight="1"/>
  <sheetData>
    <row r="1" spans="1:38" ht="11.25" customHeight="1">
      <c r="A1" t="s">
        <v>2290</v>
      </c>
      <c r="B1" t="s">
        <v>2291</v>
      </c>
      <c r="C1" t="s">
        <v>2292</v>
      </c>
      <c r="D1" t="s">
        <v>3620</v>
      </c>
      <c r="E1" t="s">
        <v>3621</v>
      </c>
      <c r="F1" t="s">
        <v>3622</v>
      </c>
      <c r="G1" t="s">
        <v>3623</v>
      </c>
      <c r="H1" t="s">
        <v>3624</v>
      </c>
      <c r="I1" t="s">
        <v>3625</v>
      </c>
      <c r="J1" t="s">
        <v>3626</v>
      </c>
      <c r="K1" t="s">
        <v>3627</v>
      </c>
      <c r="L1" t="s">
        <v>3628</v>
      </c>
      <c r="M1" t="s">
        <v>3629</v>
      </c>
      <c r="N1" t="s">
        <v>3630</v>
      </c>
      <c r="O1" t="s">
        <v>3088</v>
      </c>
      <c r="P1" t="s">
        <v>3090</v>
      </c>
      <c r="Q1" t="s">
        <v>3091</v>
      </c>
      <c r="R1" t="s">
        <v>3631</v>
      </c>
      <c r="S1" t="s">
        <v>3632</v>
      </c>
      <c r="T1" t="s">
        <v>3633</v>
      </c>
      <c r="U1" t="s">
        <v>3634</v>
      </c>
      <c r="V1" t="s">
        <v>3635</v>
      </c>
      <c r="W1" t="s">
        <v>3636</v>
      </c>
      <c r="X1" t="s">
        <v>3637</v>
      </c>
      <c r="Y1" t="s">
        <v>3638</v>
      </c>
      <c r="Z1" t="s">
        <v>3639</v>
      </c>
      <c r="AA1" t="s">
        <v>3640</v>
      </c>
      <c r="AB1" t="s">
        <v>3641</v>
      </c>
      <c r="AC1" t="s">
        <v>3642</v>
      </c>
      <c r="AD1" t="s">
        <v>3643</v>
      </c>
      <c r="AE1" t="s">
        <v>3644</v>
      </c>
      <c r="AF1" t="s">
        <v>3645</v>
      </c>
      <c r="AG1" t="s">
        <v>3646</v>
      </c>
      <c r="AH1" t="s">
        <v>3647</v>
      </c>
      <c r="AI1" t="s">
        <v>3648</v>
      </c>
      <c r="AJ1" t="s">
        <v>3649</v>
      </c>
      <c r="AK1" t="s">
        <v>3650</v>
      </c>
      <c r="AL1" t="s">
        <v>3651</v>
      </c>
    </row>
    <row r="2" spans="1:38" ht="11.25" customHeight="1">
      <c r="A2" t="s">
        <v>9</v>
      </c>
      <c r="B2" t="s">
        <v>35</v>
      </c>
      <c r="C2" t="s">
        <v>37</v>
      </c>
      <c r="D2" t="s">
        <v>9</v>
      </c>
      <c r="E2" t="s">
        <v>1106</v>
      </c>
      <c r="F2" t="s">
        <v>1046</v>
      </c>
      <c r="G2" t="s">
        <v>3110</v>
      </c>
      <c r="H2" t="s">
        <v>3112</v>
      </c>
      <c r="I2" t="s">
        <v>3113</v>
      </c>
      <c r="J2" t="s">
        <v>3652</v>
      </c>
      <c r="K2" t="s">
        <v>3653</v>
      </c>
      <c r="L2" t="s">
        <v>3654</v>
      </c>
      <c r="M2" t="s">
        <v>1053</v>
      </c>
      <c r="N2" t="s">
        <v>161</v>
      </c>
      <c r="O2" t="s">
        <v>3110</v>
      </c>
      <c r="P2" t="s">
        <v>3112</v>
      </c>
      <c r="Q2" t="s">
        <v>3113</v>
      </c>
      <c r="R2" t="s">
        <v>3652</v>
      </c>
      <c r="S2" t="s">
        <v>3653</v>
      </c>
      <c r="T2" t="s">
        <v>3655</v>
      </c>
      <c r="U2" t="s">
        <v>3656</v>
      </c>
      <c r="V2" t="s">
        <v>664</v>
      </c>
      <c r="W2" t="s">
        <v>3657</v>
      </c>
      <c r="X2" t="s">
        <v>3658</v>
      </c>
      <c r="Y2" t="s">
        <v>3659</v>
      </c>
      <c r="Z2" t="s">
        <v>1053</v>
      </c>
      <c r="AA2" t="s">
        <v>3660</v>
      </c>
      <c r="AB2" t="s">
        <v>664</v>
      </c>
      <c r="AC2" t="s">
        <v>52</v>
      </c>
      <c r="AD2" t="s">
        <v>52</v>
      </c>
      <c r="AE2" t="s">
        <v>52</v>
      </c>
      <c r="AF2" t="s">
        <v>77</v>
      </c>
      <c r="AG2" t="s">
        <v>3661</v>
      </c>
      <c r="AH2" t="s">
        <v>77</v>
      </c>
      <c r="AI2" t="s">
        <v>3661</v>
      </c>
      <c r="AJ2" t="s">
        <v>77</v>
      </c>
      <c r="AK2" t="s">
        <v>3661</v>
      </c>
      <c r="AL2" t="s">
        <v>3662</v>
      </c>
    </row>
    <row r="3" spans="1:38" ht="11.25" customHeight="1">
      <c r="A3" t="s">
        <v>9</v>
      </c>
      <c r="B3" t="s">
        <v>35</v>
      </c>
      <c r="C3" t="s">
        <v>37</v>
      </c>
      <c r="D3" t="s">
        <v>9</v>
      </c>
      <c r="E3" t="s">
        <v>3663</v>
      </c>
      <c r="F3" t="s">
        <v>1046</v>
      </c>
      <c r="G3" t="s">
        <v>3110</v>
      </c>
      <c r="H3" t="s">
        <v>3112</v>
      </c>
      <c r="I3" t="s">
        <v>3113</v>
      </c>
      <c r="J3" t="s">
        <v>3664</v>
      </c>
      <c r="K3" t="s">
        <v>3665</v>
      </c>
      <c r="L3" t="s">
        <v>3666</v>
      </c>
      <c r="M3" t="s">
        <v>1053</v>
      </c>
      <c r="N3" t="s">
        <v>161</v>
      </c>
      <c r="O3" t="s">
        <v>3110</v>
      </c>
      <c r="P3" t="s">
        <v>3112</v>
      </c>
      <c r="Q3" t="s">
        <v>3113</v>
      </c>
      <c r="R3" t="s">
        <v>3664</v>
      </c>
      <c r="S3" t="s">
        <v>3665</v>
      </c>
      <c r="T3" t="s">
        <v>3655</v>
      </c>
      <c r="U3" t="s">
        <v>3667</v>
      </c>
      <c r="V3" t="s">
        <v>664</v>
      </c>
      <c r="W3" t="s">
        <v>3657</v>
      </c>
      <c r="X3" t="s">
        <v>3658</v>
      </c>
      <c r="Y3" t="s">
        <v>3659</v>
      </c>
      <c r="Z3" t="s">
        <v>3668</v>
      </c>
      <c r="AA3" t="s">
        <v>3669</v>
      </c>
      <c r="AB3" t="s">
        <v>664</v>
      </c>
      <c r="AC3" t="s">
        <v>52</v>
      </c>
      <c r="AD3" t="s">
        <v>52</v>
      </c>
      <c r="AE3" t="s">
        <v>52</v>
      </c>
      <c r="AF3" t="s">
        <v>131</v>
      </c>
      <c r="AG3" t="s">
        <v>3670</v>
      </c>
      <c r="AH3" t="s">
        <v>131</v>
      </c>
      <c r="AI3" t="s">
        <v>3670</v>
      </c>
      <c r="AJ3" t="s">
        <v>131</v>
      </c>
      <c r="AK3" t="s">
        <v>3670</v>
      </c>
      <c r="AL3" t="s">
        <v>3662</v>
      </c>
    </row>
    <row r="4" spans="1:38" ht="11.25" customHeight="1">
      <c r="A4" t="s">
        <v>9</v>
      </c>
      <c r="B4" t="s">
        <v>35</v>
      </c>
      <c r="C4" t="s">
        <v>37</v>
      </c>
      <c r="D4" t="s">
        <v>9</v>
      </c>
      <c r="E4" t="s">
        <v>3671</v>
      </c>
      <c r="F4" t="s">
        <v>3672</v>
      </c>
      <c r="G4" t="s">
        <v>3110</v>
      </c>
      <c r="H4" t="s">
        <v>3112</v>
      </c>
      <c r="I4" t="s">
        <v>3113</v>
      </c>
      <c r="J4" t="s">
        <v>3664</v>
      </c>
      <c r="K4" t="s">
        <v>3665</v>
      </c>
      <c r="L4" t="s">
        <v>3666</v>
      </c>
      <c r="M4" t="s">
        <v>1053</v>
      </c>
      <c r="N4" t="s">
        <v>161</v>
      </c>
      <c r="O4" t="s">
        <v>3110</v>
      </c>
      <c r="P4" t="s">
        <v>3112</v>
      </c>
      <c r="Q4" t="s">
        <v>3113</v>
      </c>
      <c r="R4" t="s">
        <v>3664</v>
      </c>
      <c r="S4" t="s">
        <v>3665</v>
      </c>
      <c r="T4" t="s">
        <v>3655</v>
      </c>
      <c r="U4" t="s">
        <v>3667</v>
      </c>
      <c r="V4" t="s">
        <v>664</v>
      </c>
      <c r="W4" t="s">
        <v>3657</v>
      </c>
      <c r="X4" t="s">
        <v>3658</v>
      </c>
      <c r="Y4" t="s">
        <v>3659</v>
      </c>
      <c r="Z4" t="s">
        <v>3668</v>
      </c>
      <c r="AA4" t="s">
        <v>3669</v>
      </c>
      <c r="AB4" t="s">
        <v>664</v>
      </c>
      <c r="AC4" t="s">
        <v>6</v>
      </c>
      <c r="AD4" t="s">
        <v>52</v>
      </c>
      <c r="AE4" t="s">
        <v>6</v>
      </c>
      <c r="AF4" t="s">
        <v>9</v>
      </c>
      <c r="AG4" t="s">
        <v>9</v>
      </c>
      <c r="AH4" t="s">
        <v>131</v>
      </c>
      <c r="AI4" t="s">
        <v>3670</v>
      </c>
      <c r="AJ4" t="s">
        <v>131</v>
      </c>
      <c r="AK4" t="s">
        <v>3670</v>
      </c>
      <c r="AL4" t="s">
        <v>9</v>
      </c>
    </row>
    <row r="5" spans="1:38" ht="11.25" customHeight="1">
      <c r="A5" t="s">
        <v>9</v>
      </c>
      <c r="B5" t="s">
        <v>35</v>
      </c>
      <c r="C5" t="s">
        <v>37</v>
      </c>
      <c r="D5" t="s">
        <v>9</v>
      </c>
      <c r="E5" t="s">
        <v>1045</v>
      </c>
      <c r="F5" t="s">
        <v>1046</v>
      </c>
      <c r="G5" t="s">
        <v>3110</v>
      </c>
      <c r="H5" t="s">
        <v>3114</v>
      </c>
      <c r="I5" t="s">
        <v>3115</v>
      </c>
      <c r="J5" t="s">
        <v>3673</v>
      </c>
      <c r="K5" t="s">
        <v>3674</v>
      </c>
      <c r="L5" t="s">
        <v>3675</v>
      </c>
      <c r="M5" t="s">
        <v>3676</v>
      </c>
      <c r="N5" t="s">
        <v>161</v>
      </c>
      <c r="O5" t="s">
        <v>3110</v>
      </c>
      <c r="P5" t="s">
        <v>3114</v>
      </c>
      <c r="Q5" t="s">
        <v>3115</v>
      </c>
      <c r="R5" t="s">
        <v>3673</v>
      </c>
      <c r="S5" t="s">
        <v>3674</v>
      </c>
      <c r="T5" t="s">
        <v>3677</v>
      </c>
      <c r="U5" t="s">
        <v>3678</v>
      </c>
      <c r="V5" t="s">
        <v>664</v>
      </c>
      <c r="W5" t="s">
        <v>3657</v>
      </c>
      <c r="X5" t="s">
        <v>3679</v>
      </c>
      <c r="Y5" t="s">
        <v>3680</v>
      </c>
      <c r="Z5" t="s">
        <v>3681</v>
      </c>
      <c r="AA5" t="s">
        <v>3682</v>
      </c>
      <c r="AB5" t="s">
        <v>664</v>
      </c>
      <c r="AC5" t="s">
        <v>52</v>
      </c>
      <c r="AD5" t="s">
        <v>52</v>
      </c>
      <c r="AE5" t="s">
        <v>52</v>
      </c>
      <c r="AF5" t="s">
        <v>1533</v>
      </c>
      <c r="AG5" t="s">
        <v>3683</v>
      </c>
      <c r="AH5" t="s">
        <v>1533</v>
      </c>
      <c r="AI5" t="s">
        <v>3683</v>
      </c>
      <c r="AJ5" t="s">
        <v>1533</v>
      </c>
      <c r="AK5" t="s">
        <v>3683</v>
      </c>
      <c r="AL5" t="s">
        <v>3662</v>
      </c>
    </row>
    <row r="6" spans="1:38" ht="11.25" customHeight="1">
      <c r="A6" t="s">
        <v>9</v>
      </c>
      <c r="B6" t="s">
        <v>35</v>
      </c>
      <c r="C6" t="s">
        <v>37</v>
      </c>
      <c r="D6" t="s">
        <v>9</v>
      </c>
      <c r="E6" t="s">
        <v>3684</v>
      </c>
      <c r="F6" t="s">
        <v>3672</v>
      </c>
      <c r="G6" t="s">
        <v>3110</v>
      </c>
      <c r="H6" t="s">
        <v>3114</v>
      </c>
      <c r="I6" t="s">
        <v>3115</v>
      </c>
      <c r="J6" t="s">
        <v>3673</v>
      </c>
      <c r="K6" t="s">
        <v>3674</v>
      </c>
      <c r="L6" t="s">
        <v>3675</v>
      </c>
      <c r="M6" t="s">
        <v>3676</v>
      </c>
      <c r="N6" t="s">
        <v>161</v>
      </c>
      <c r="O6" t="s">
        <v>3110</v>
      </c>
      <c r="P6" t="s">
        <v>3114</v>
      </c>
      <c r="Q6" t="s">
        <v>3115</v>
      </c>
      <c r="R6" t="s">
        <v>3673</v>
      </c>
      <c r="S6" t="s">
        <v>3674</v>
      </c>
      <c r="T6" t="s">
        <v>3677</v>
      </c>
      <c r="U6" t="s">
        <v>3678</v>
      </c>
      <c r="V6" t="s">
        <v>664</v>
      </c>
      <c r="W6" t="s">
        <v>3657</v>
      </c>
      <c r="X6" t="s">
        <v>3679</v>
      </c>
      <c r="Y6" t="s">
        <v>3680</v>
      </c>
      <c r="Z6" t="s">
        <v>3681</v>
      </c>
      <c r="AA6" t="s">
        <v>3682</v>
      </c>
      <c r="AB6" t="s">
        <v>664</v>
      </c>
      <c r="AC6" t="s">
        <v>6</v>
      </c>
      <c r="AD6" t="s">
        <v>52</v>
      </c>
      <c r="AE6" t="s">
        <v>6</v>
      </c>
      <c r="AF6" t="s">
        <v>9</v>
      </c>
      <c r="AG6" t="s">
        <v>9</v>
      </c>
      <c r="AH6" t="s">
        <v>1533</v>
      </c>
      <c r="AI6" t="s">
        <v>3685</v>
      </c>
      <c r="AJ6" t="s">
        <v>1533</v>
      </c>
      <c r="AK6" t="s">
        <v>3685</v>
      </c>
      <c r="AL6" t="s">
        <v>9</v>
      </c>
    </row>
    <row r="7" spans="1:38" ht="11.25" customHeight="1">
      <c r="A7" t="s">
        <v>9</v>
      </c>
      <c r="B7" t="s">
        <v>35</v>
      </c>
      <c r="C7" t="s">
        <v>37</v>
      </c>
      <c r="D7" t="s">
        <v>9</v>
      </c>
      <c r="E7" t="s">
        <v>1058</v>
      </c>
      <c r="F7" t="s">
        <v>1046</v>
      </c>
      <c r="G7" t="s">
        <v>3110</v>
      </c>
      <c r="H7" t="s">
        <v>3114</v>
      </c>
      <c r="I7" t="s">
        <v>3115</v>
      </c>
      <c r="J7" t="s">
        <v>3673</v>
      </c>
      <c r="K7" t="s">
        <v>3674</v>
      </c>
      <c r="L7" t="s">
        <v>3675</v>
      </c>
      <c r="M7" t="s">
        <v>3686</v>
      </c>
      <c r="N7" t="s">
        <v>161</v>
      </c>
      <c r="O7" t="s">
        <v>3110</v>
      </c>
      <c r="P7" t="s">
        <v>3114</v>
      </c>
      <c r="Q7" t="s">
        <v>3115</v>
      </c>
      <c r="R7" t="s">
        <v>3673</v>
      </c>
      <c r="S7" t="s">
        <v>3674</v>
      </c>
      <c r="T7" t="s">
        <v>3677</v>
      </c>
      <c r="U7" t="s">
        <v>3678</v>
      </c>
      <c r="V7" t="s">
        <v>664</v>
      </c>
      <c r="W7" t="s">
        <v>3657</v>
      </c>
      <c r="X7" t="s">
        <v>3679</v>
      </c>
      <c r="Y7" t="s">
        <v>3680</v>
      </c>
      <c r="Z7" t="s">
        <v>3687</v>
      </c>
      <c r="AA7" t="s">
        <v>3688</v>
      </c>
      <c r="AB7" t="s">
        <v>664</v>
      </c>
      <c r="AC7" t="s">
        <v>52</v>
      </c>
      <c r="AD7" t="s">
        <v>52</v>
      </c>
      <c r="AE7" t="s">
        <v>52</v>
      </c>
      <c r="AF7" t="s">
        <v>3689</v>
      </c>
      <c r="AG7" t="s">
        <v>3690</v>
      </c>
      <c r="AH7" t="s">
        <v>3689</v>
      </c>
      <c r="AI7" t="s">
        <v>3690</v>
      </c>
      <c r="AJ7" t="s">
        <v>3689</v>
      </c>
      <c r="AK7" t="s">
        <v>3690</v>
      </c>
      <c r="AL7" t="s">
        <v>3662</v>
      </c>
    </row>
    <row r="8" spans="1:38" ht="11.25" customHeight="1">
      <c r="A8" t="s">
        <v>9</v>
      </c>
      <c r="B8" t="s">
        <v>35</v>
      </c>
      <c r="C8" t="s">
        <v>37</v>
      </c>
      <c r="D8" t="s">
        <v>9</v>
      </c>
      <c r="E8" t="s">
        <v>3691</v>
      </c>
      <c r="F8" t="s">
        <v>3672</v>
      </c>
      <c r="G8" t="s">
        <v>3110</v>
      </c>
      <c r="H8" t="s">
        <v>3114</v>
      </c>
      <c r="I8" t="s">
        <v>3115</v>
      </c>
      <c r="J8" t="s">
        <v>3673</v>
      </c>
      <c r="K8" t="s">
        <v>3674</v>
      </c>
      <c r="L8" t="s">
        <v>3692</v>
      </c>
      <c r="M8" t="s">
        <v>3686</v>
      </c>
      <c r="N8" t="s">
        <v>161</v>
      </c>
      <c r="O8" t="s">
        <v>3110</v>
      </c>
      <c r="P8" t="s">
        <v>3114</v>
      </c>
      <c r="Q8" t="s">
        <v>3115</v>
      </c>
      <c r="R8" t="s">
        <v>3673</v>
      </c>
      <c r="S8" t="s">
        <v>3674</v>
      </c>
      <c r="T8" t="s">
        <v>3677</v>
      </c>
      <c r="U8" t="s">
        <v>3678</v>
      </c>
      <c r="V8" t="s">
        <v>664</v>
      </c>
      <c r="W8" t="s">
        <v>3657</v>
      </c>
      <c r="X8" t="s">
        <v>3679</v>
      </c>
      <c r="Y8" t="s">
        <v>3680</v>
      </c>
      <c r="Z8" t="s">
        <v>3687</v>
      </c>
      <c r="AA8" t="s">
        <v>3688</v>
      </c>
      <c r="AB8" t="s">
        <v>664</v>
      </c>
      <c r="AC8" t="s">
        <v>6</v>
      </c>
      <c r="AD8" t="s">
        <v>52</v>
      </c>
      <c r="AE8" t="s">
        <v>6</v>
      </c>
      <c r="AF8" t="s">
        <v>9</v>
      </c>
      <c r="AG8" t="s">
        <v>9</v>
      </c>
      <c r="AH8" t="s">
        <v>3689</v>
      </c>
      <c r="AI8" t="s">
        <v>3690</v>
      </c>
      <c r="AJ8" t="s">
        <v>3689</v>
      </c>
      <c r="AK8" t="s">
        <v>3690</v>
      </c>
      <c r="AL8" t="s">
        <v>9</v>
      </c>
    </row>
    <row r="9" spans="1:38" ht="11.25" customHeight="1">
      <c r="A9" t="s">
        <v>9</v>
      </c>
      <c r="B9" t="s">
        <v>35</v>
      </c>
      <c r="C9" t="s">
        <v>37</v>
      </c>
      <c r="D9" t="s">
        <v>9</v>
      </c>
      <c r="E9" t="s">
        <v>3693</v>
      </c>
      <c r="F9" t="s">
        <v>3672</v>
      </c>
      <c r="G9" t="s">
        <v>3110</v>
      </c>
      <c r="H9" t="s">
        <v>3114</v>
      </c>
      <c r="I9" t="s">
        <v>3115</v>
      </c>
      <c r="J9" t="s">
        <v>3673</v>
      </c>
      <c r="K9" t="s">
        <v>3674</v>
      </c>
      <c r="L9" t="s">
        <v>3694</v>
      </c>
      <c r="M9" t="s">
        <v>3695</v>
      </c>
      <c r="N9" t="s">
        <v>161</v>
      </c>
      <c r="O9" t="s">
        <v>3110</v>
      </c>
      <c r="P9" t="s">
        <v>3114</v>
      </c>
      <c r="Q9" t="s">
        <v>3115</v>
      </c>
      <c r="R9" t="s">
        <v>3673</v>
      </c>
      <c r="S9" t="s">
        <v>3674</v>
      </c>
      <c r="T9" t="s">
        <v>3677</v>
      </c>
      <c r="U9" t="s">
        <v>3678</v>
      </c>
      <c r="V9" t="s">
        <v>664</v>
      </c>
      <c r="W9" t="s">
        <v>3657</v>
      </c>
      <c r="X9" t="s">
        <v>3679</v>
      </c>
      <c r="Y9" t="s">
        <v>3680</v>
      </c>
      <c r="Z9" t="s">
        <v>3696</v>
      </c>
      <c r="AA9" t="s">
        <v>3697</v>
      </c>
      <c r="AB9" t="s">
        <v>664</v>
      </c>
      <c r="AC9" t="s">
        <v>6</v>
      </c>
      <c r="AD9" t="s">
        <v>52</v>
      </c>
      <c r="AE9" t="s">
        <v>6</v>
      </c>
      <c r="AF9" t="s">
        <v>9</v>
      </c>
      <c r="AG9" t="s">
        <v>9</v>
      </c>
      <c r="AH9" t="s">
        <v>955</v>
      </c>
      <c r="AI9" t="s">
        <v>3698</v>
      </c>
      <c r="AJ9" t="s">
        <v>955</v>
      </c>
      <c r="AK9" t="s">
        <v>3698</v>
      </c>
      <c r="AL9" t="s">
        <v>9</v>
      </c>
    </row>
    <row r="10" spans="1:38" ht="11.25" customHeight="1">
      <c r="A10" t="s">
        <v>9</v>
      </c>
      <c r="B10" t="s">
        <v>35</v>
      </c>
      <c r="C10" t="s">
        <v>37</v>
      </c>
      <c r="D10" t="s">
        <v>9</v>
      </c>
      <c r="E10" t="s">
        <v>3699</v>
      </c>
      <c r="F10" t="s">
        <v>1046</v>
      </c>
      <c r="G10" t="s">
        <v>3110</v>
      </c>
      <c r="H10" t="s">
        <v>3114</v>
      </c>
      <c r="I10" t="s">
        <v>3115</v>
      </c>
      <c r="J10" t="s">
        <v>3673</v>
      </c>
      <c r="K10" t="s">
        <v>3674</v>
      </c>
      <c r="L10" t="s">
        <v>3700</v>
      </c>
      <c r="M10" t="s">
        <v>1053</v>
      </c>
      <c r="N10" t="s">
        <v>161</v>
      </c>
      <c r="O10" t="s">
        <v>3110</v>
      </c>
      <c r="P10" t="s">
        <v>3114</v>
      </c>
      <c r="Q10" t="s">
        <v>3115</v>
      </c>
      <c r="R10" t="s">
        <v>3673</v>
      </c>
      <c r="S10" t="s">
        <v>3674</v>
      </c>
      <c r="T10" t="s">
        <v>3655</v>
      </c>
      <c r="U10" t="s">
        <v>3656</v>
      </c>
      <c r="V10" t="s">
        <v>664</v>
      </c>
      <c r="W10" t="s">
        <v>3657</v>
      </c>
      <c r="X10" t="s">
        <v>3658</v>
      </c>
      <c r="Y10" t="s">
        <v>3659</v>
      </c>
      <c r="Z10" t="s">
        <v>3701</v>
      </c>
      <c r="AA10" t="s">
        <v>3702</v>
      </c>
      <c r="AB10" t="s">
        <v>664</v>
      </c>
      <c r="AC10" t="s">
        <v>52</v>
      </c>
      <c r="AD10" t="s">
        <v>52</v>
      </c>
      <c r="AE10" t="s">
        <v>52</v>
      </c>
      <c r="AF10" t="s">
        <v>3703</v>
      </c>
      <c r="AG10" t="s">
        <v>3704</v>
      </c>
      <c r="AH10" t="s">
        <v>3703</v>
      </c>
      <c r="AI10" t="s">
        <v>3705</v>
      </c>
      <c r="AJ10" t="s">
        <v>3703</v>
      </c>
      <c r="AK10" t="s">
        <v>3705</v>
      </c>
      <c r="AL10" t="s">
        <v>3662</v>
      </c>
    </row>
    <row r="11" spans="1:38" ht="11.25" customHeight="1">
      <c r="A11" t="s">
        <v>9</v>
      </c>
      <c r="B11" t="s">
        <v>35</v>
      </c>
      <c r="C11" t="s">
        <v>37</v>
      </c>
      <c r="D11" t="s">
        <v>9</v>
      </c>
      <c r="E11" t="s">
        <v>3706</v>
      </c>
      <c r="F11" t="s">
        <v>1046</v>
      </c>
      <c r="G11" t="s">
        <v>3110</v>
      </c>
      <c r="H11" t="s">
        <v>3114</v>
      </c>
      <c r="I11" t="s">
        <v>3115</v>
      </c>
      <c r="J11" t="s">
        <v>3673</v>
      </c>
      <c r="K11" t="s">
        <v>3674</v>
      </c>
      <c r="L11" t="s">
        <v>3707</v>
      </c>
      <c r="M11" t="s">
        <v>3708</v>
      </c>
      <c r="N11" t="s">
        <v>161</v>
      </c>
      <c r="O11" t="s">
        <v>3110</v>
      </c>
      <c r="P11" t="s">
        <v>3114</v>
      </c>
      <c r="Q11" t="s">
        <v>3115</v>
      </c>
      <c r="R11" t="s">
        <v>3673</v>
      </c>
      <c r="S11" t="s">
        <v>3674</v>
      </c>
      <c r="T11" t="s">
        <v>3677</v>
      </c>
      <c r="U11" t="s">
        <v>3678</v>
      </c>
      <c r="V11" t="s">
        <v>664</v>
      </c>
      <c r="W11" t="s">
        <v>3657</v>
      </c>
      <c r="X11" t="s">
        <v>3679</v>
      </c>
      <c r="Y11" t="s">
        <v>3680</v>
      </c>
      <c r="Z11" t="s">
        <v>3709</v>
      </c>
      <c r="AA11" t="s">
        <v>3710</v>
      </c>
      <c r="AB11" t="s">
        <v>664</v>
      </c>
      <c r="AC11" t="s">
        <v>52</v>
      </c>
      <c r="AD11" t="s">
        <v>52</v>
      </c>
      <c r="AE11" t="s">
        <v>52</v>
      </c>
      <c r="AF11" t="s">
        <v>150</v>
      </c>
      <c r="AG11" t="s">
        <v>3711</v>
      </c>
      <c r="AH11" t="s">
        <v>150</v>
      </c>
      <c r="AI11" t="s">
        <v>3711</v>
      </c>
      <c r="AJ11" t="s">
        <v>150</v>
      </c>
      <c r="AK11" t="s">
        <v>3711</v>
      </c>
      <c r="AL11" t="s">
        <v>3662</v>
      </c>
    </row>
    <row r="12" spans="1:38" ht="11.25" customHeight="1">
      <c r="A12" t="s">
        <v>9</v>
      </c>
      <c r="B12" t="s">
        <v>35</v>
      </c>
      <c r="C12" t="s">
        <v>37</v>
      </c>
      <c r="D12" t="s">
        <v>9</v>
      </c>
      <c r="E12" t="s">
        <v>3712</v>
      </c>
      <c r="F12" t="s">
        <v>3672</v>
      </c>
      <c r="G12" t="s">
        <v>3110</v>
      </c>
      <c r="H12" t="s">
        <v>3114</v>
      </c>
      <c r="I12" t="s">
        <v>3115</v>
      </c>
      <c r="J12" t="s">
        <v>3673</v>
      </c>
      <c r="K12" t="s">
        <v>3674</v>
      </c>
      <c r="L12" t="s">
        <v>3707</v>
      </c>
      <c r="M12" t="s">
        <v>3708</v>
      </c>
      <c r="N12" t="s">
        <v>161</v>
      </c>
      <c r="O12" t="s">
        <v>3110</v>
      </c>
      <c r="P12" t="s">
        <v>3114</v>
      </c>
      <c r="Q12" t="s">
        <v>3115</v>
      </c>
      <c r="R12" t="s">
        <v>3673</v>
      </c>
      <c r="S12" t="s">
        <v>3674</v>
      </c>
      <c r="T12" t="s">
        <v>3677</v>
      </c>
      <c r="U12" t="s">
        <v>3678</v>
      </c>
      <c r="V12" t="s">
        <v>664</v>
      </c>
      <c r="W12" t="s">
        <v>3657</v>
      </c>
      <c r="X12" t="s">
        <v>3679</v>
      </c>
      <c r="Y12" t="s">
        <v>3680</v>
      </c>
      <c r="Z12" t="s">
        <v>3709</v>
      </c>
      <c r="AA12" t="s">
        <v>3710</v>
      </c>
      <c r="AB12" t="s">
        <v>664</v>
      </c>
      <c r="AC12" t="s">
        <v>6</v>
      </c>
      <c r="AD12" t="s">
        <v>52</v>
      </c>
      <c r="AE12" t="s">
        <v>6</v>
      </c>
      <c r="AF12" t="s">
        <v>9</v>
      </c>
      <c r="AG12" t="s">
        <v>9</v>
      </c>
      <c r="AH12" t="s">
        <v>150</v>
      </c>
      <c r="AI12" t="s">
        <v>3711</v>
      </c>
      <c r="AJ12" t="s">
        <v>150</v>
      </c>
      <c r="AK12" t="s">
        <v>3711</v>
      </c>
      <c r="AL12" t="s">
        <v>9</v>
      </c>
    </row>
    <row r="13" spans="1:38" ht="11.25" customHeight="1">
      <c r="A13" t="s">
        <v>9</v>
      </c>
      <c r="B13" t="s">
        <v>35</v>
      </c>
      <c r="C13" t="s">
        <v>37</v>
      </c>
      <c r="D13" t="s">
        <v>9</v>
      </c>
      <c r="E13" t="s">
        <v>3713</v>
      </c>
      <c r="F13" t="s">
        <v>3672</v>
      </c>
      <c r="G13" t="s">
        <v>3110</v>
      </c>
      <c r="H13" t="s">
        <v>3114</v>
      </c>
      <c r="I13" t="s">
        <v>3115</v>
      </c>
      <c r="J13" t="s">
        <v>3673</v>
      </c>
      <c r="K13" t="s">
        <v>3674</v>
      </c>
      <c r="L13" t="s">
        <v>3707</v>
      </c>
      <c r="M13" t="s">
        <v>3708</v>
      </c>
      <c r="N13" t="s">
        <v>161</v>
      </c>
      <c r="O13" t="s">
        <v>3110</v>
      </c>
      <c r="P13" t="s">
        <v>3114</v>
      </c>
      <c r="Q13" t="s">
        <v>3115</v>
      </c>
      <c r="R13" t="s">
        <v>3673</v>
      </c>
      <c r="S13" t="s">
        <v>3674</v>
      </c>
      <c r="T13" t="s">
        <v>3677</v>
      </c>
      <c r="U13" t="s">
        <v>3678</v>
      </c>
      <c r="V13" t="s">
        <v>664</v>
      </c>
      <c r="W13" t="s">
        <v>3657</v>
      </c>
      <c r="X13" t="s">
        <v>3679</v>
      </c>
      <c r="Y13" t="s">
        <v>3680</v>
      </c>
      <c r="Z13" t="s">
        <v>3709</v>
      </c>
      <c r="AA13" t="s">
        <v>3710</v>
      </c>
      <c r="AB13" t="s">
        <v>664</v>
      </c>
      <c r="AC13" t="s">
        <v>6</v>
      </c>
      <c r="AD13" t="s">
        <v>52</v>
      </c>
      <c r="AE13" t="s">
        <v>6</v>
      </c>
      <c r="AF13" t="s">
        <v>9</v>
      </c>
      <c r="AG13" t="s">
        <v>9</v>
      </c>
      <c r="AH13" t="s">
        <v>150</v>
      </c>
      <c r="AI13" t="s">
        <v>3711</v>
      </c>
      <c r="AJ13" t="s">
        <v>150</v>
      </c>
      <c r="AK13" t="s">
        <v>3711</v>
      </c>
      <c r="AL13" t="s">
        <v>9</v>
      </c>
    </row>
    <row r="14" spans="1:38" ht="11.25" customHeight="1">
      <c r="A14" t="s">
        <v>9</v>
      </c>
      <c r="B14" t="s">
        <v>35</v>
      </c>
      <c r="C14" t="s">
        <v>37</v>
      </c>
      <c r="D14" t="s">
        <v>9</v>
      </c>
      <c r="E14" t="s">
        <v>3714</v>
      </c>
      <c r="F14" t="s">
        <v>1046</v>
      </c>
      <c r="G14" t="s">
        <v>3110</v>
      </c>
      <c r="H14" t="s">
        <v>3114</v>
      </c>
      <c r="I14" t="s">
        <v>3115</v>
      </c>
      <c r="J14" t="s">
        <v>3673</v>
      </c>
      <c r="K14" t="s">
        <v>3674</v>
      </c>
      <c r="L14" t="s">
        <v>3715</v>
      </c>
      <c r="M14" t="s">
        <v>3716</v>
      </c>
      <c r="N14" t="s">
        <v>161</v>
      </c>
      <c r="O14" t="s">
        <v>3110</v>
      </c>
      <c r="P14" t="s">
        <v>3114</v>
      </c>
      <c r="Q14" t="s">
        <v>3115</v>
      </c>
      <c r="R14" t="s">
        <v>3673</v>
      </c>
      <c r="S14" t="s">
        <v>3674</v>
      </c>
      <c r="T14" t="s">
        <v>3677</v>
      </c>
      <c r="U14" t="s">
        <v>3678</v>
      </c>
      <c r="V14" t="s">
        <v>664</v>
      </c>
      <c r="W14" t="s">
        <v>3657</v>
      </c>
      <c r="X14" t="s">
        <v>3679</v>
      </c>
      <c r="Y14" t="s">
        <v>3680</v>
      </c>
      <c r="Z14" t="s">
        <v>3717</v>
      </c>
      <c r="AA14" t="s">
        <v>3718</v>
      </c>
      <c r="AB14" t="s">
        <v>664</v>
      </c>
      <c r="AC14" t="s">
        <v>52</v>
      </c>
      <c r="AD14" t="s">
        <v>52</v>
      </c>
      <c r="AE14" t="s">
        <v>52</v>
      </c>
      <c r="AF14" t="s">
        <v>3719</v>
      </c>
      <c r="AG14" t="s">
        <v>3720</v>
      </c>
      <c r="AH14" t="s">
        <v>3719</v>
      </c>
      <c r="AI14" t="s">
        <v>3720</v>
      </c>
      <c r="AJ14" t="s">
        <v>3719</v>
      </c>
      <c r="AK14" t="s">
        <v>3720</v>
      </c>
      <c r="AL14" t="s">
        <v>3662</v>
      </c>
    </row>
    <row r="15" spans="1:38" ht="11.25" customHeight="1">
      <c r="A15" t="s">
        <v>9</v>
      </c>
      <c r="B15" t="s">
        <v>35</v>
      </c>
      <c r="C15" t="s">
        <v>37</v>
      </c>
      <c r="D15" t="s">
        <v>9</v>
      </c>
      <c r="E15" t="s">
        <v>3721</v>
      </c>
      <c r="F15" t="s">
        <v>3672</v>
      </c>
      <c r="G15" t="s">
        <v>3110</v>
      </c>
      <c r="H15" t="s">
        <v>3114</v>
      </c>
      <c r="I15" t="s">
        <v>3115</v>
      </c>
      <c r="J15" t="s">
        <v>3673</v>
      </c>
      <c r="K15" t="s">
        <v>3674</v>
      </c>
      <c r="L15" t="s">
        <v>3715</v>
      </c>
      <c r="M15" t="s">
        <v>3716</v>
      </c>
      <c r="N15" t="s">
        <v>161</v>
      </c>
      <c r="O15" t="s">
        <v>3110</v>
      </c>
      <c r="P15" t="s">
        <v>3114</v>
      </c>
      <c r="Q15" t="s">
        <v>3115</v>
      </c>
      <c r="R15" t="s">
        <v>3673</v>
      </c>
      <c r="S15" t="s">
        <v>3674</v>
      </c>
      <c r="T15" t="s">
        <v>3677</v>
      </c>
      <c r="U15" t="s">
        <v>3678</v>
      </c>
      <c r="V15" t="s">
        <v>664</v>
      </c>
      <c r="W15" t="s">
        <v>3657</v>
      </c>
      <c r="X15" t="s">
        <v>3679</v>
      </c>
      <c r="Y15" t="s">
        <v>3680</v>
      </c>
      <c r="Z15" t="s">
        <v>3717</v>
      </c>
      <c r="AA15" t="s">
        <v>3718</v>
      </c>
      <c r="AB15" t="s">
        <v>664</v>
      </c>
      <c r="AC15" t="s">
        <v>6</v>
      </c>
      <c r="AD15" t="s">
        <v>52</v>
      </c>
      <c r="AE15" t="s">
        <v>6</v>
      </c>
      <c r="AF15" t="s">
        <v>9</v>
      </c>
      <c r="AG15" t="s">
        <v>9</v>
      </c>
      <c r="AH15" t="s">
        <v>3719</v>
      </c>
      <c r="AI15" t="s">
        <v>3720</v>
      </c>
      <c r="AJ15" t="s">
        <v>3719</v>
      </c>
      <c r="AK15" t="s">
        <v>3720</v>
      </c>
      <c r="AL15" t="s">
        <v>9</v>
      </c>
    </row>
    <row r="16" spans="1:38" ht="11.25" customHeight="1">
      <c r="A16" t="s">
        <v>9</v>
      </c>
      <c r="B16" t="s">
        <v>35</v>
      </c>
      <c r="C16" t="s">
        <v>37</v>
      </c>
      <c r="D16" t="s">
        <v>9</v>
      </c>
      <c r="E16" t="s">
        <v>3722</v>
      </c>
      <c r="F16" t="s">
        <v>3672</v>
      </c>
      <c r="G16" t="s">
        <v>3110</v>
      </c>
      <c r="H16" t="s">
        <v>3114</v>
      </c>
      <c r="I16" t="s">
        <v>3115</v>
      </c>
      <c r="J16" t="s">
        <v>3673</v>
      </c>
      <c r="K16" t="s">
        <v>3674</v>
      </c>
      <c r="L16" t="s">
        <v>3715</v>
      </c>
      <c r="M16" t="s">
        <v>3723</v>
      </c>
      <c r="N16" t="s">
        <v>161</v>
      </c>
      <c r="O16" t="s">
        <v>3110</v>
      </c>
      <c r="P16" t="s">
        <v>3114</v>
      </c>
      <c r="Q16" t="s">
        <v>3115</v>
      </c>
      <c r="R16" t="s">
        <v>3673</v>
      </c>
      <c r="S16" t="s">
        <v>3674</v>
      </c>
      <c r="T16" t="s">
        <v>3677</v>
      </c>
      <c r="U16" t="s">
        <v>3678</v>
      </c>
      <c r="V16" t="s">
        <v>664</v>
      </c>
      <c r="W16" t="s">
        <v>3657</v>
      </c>
      <c r="X16" t="s">
        <v>3679</v>
      </c>
      <c r="Y16" t="s">
        <v>3680</v>
      </c>
      <c r="Z16" t="s">
        <v>3717</v>
      </c>
      <c r="AA16" t="s">
        <v>3718</v>
      </c>
      <c r="AB16" t="s">
        <v>664</v>
      </c>
      <c r="AC16" t="s">
        <v>6</v>
      </c>
      <c r="AD16" t="s">
        <v>52</v>
      </c>
      <c r="AE16" t="s">
        <v>6</v>
      </c>
      <c r="AF16" t="s">
        <v>9</v>
      </c>
      <c r="AG16" t="s">
        <v>9</v>
      </c>
      <c r="AH16" t="s">
        <v>3719</v>
      </c>
      <c r="AI16" t="s">
        <v>3720</v>
      </c>
      <c r="AJ16" t="s">
        <v>3719</v>
      </c>
      <c r="AK16" t="s">
        <v>3720</v>
      </c>
      <c r="AL16" t="s">
        <v>9</v>
      </c>
    </row>
    <row r="17" spans="1:38" ht="11.25" customHeight="1">
      <c r="A17" t="s">
        <v>9</v>
      </c>
      <c r="B17" t="s">
        <v>35</v>
      </c>
      <c r="C17" t="s">
        <v>37</v>
      </c>
      <c r="D17" t="s">
        <v>9</v>
      </c>
      <c r="E17" t="s">
        <v>1062</v>
      </c>
      <c r="F17" t="s">
        <v>1046</v>
      </c>
      <c r="G17" t="s">
        <v>3110</v>
      </c>
      <c r="H17" t="s">
        <v>3114</v>
      </c>
      <c r="I17" t="s">
        <v>3115</v>
      </c>
      <c r="J17" t="s">
        <v>3673</v>
      </c>
      <c r="K17" t="s">
        <v>3674</v>
      </c>
      <c r="L17" t="s">
        <v>3724</v>
      </c>
      <c r="M17" t="s">
        <v>3725</v>
      </c>
      <c r="N17" t="s">
        <v>161</v>
      </c>
      <c r="O17" t="s">
        <v>3110</v>
      </c>
      <c r="P17" t="s">
        <v>3114</v>
      </c>
      <c r="Q17" t="s">
        <v>3115</v>
      </c>
      <c r="R17" t="s">
        <v>3673</v>
      </c>
      <c r="S17" t="s">
        <v>3674</v>
      </c>
      <c r="T17" t="s">
        <v>3677</v>
      </c>
      <c r="U17" t="s">
        <v>3678</v>
      </c>
      <c r="V17" t="s">
        <v>664</v>
      </c>
      <c r="W17" t="s">
        <v>3657</v>
      </c>
      <c r="X17" t="s">
        <v>3679</v>
      </c>
      <c r="Y17" t="s">
        <v>3680</v>
      </c>
      <c r="Z17" t="s">
        <v>3726</v>
      </c>
      <c r="AA17" t="s">
        <v>3727</v>
      </c>
      <c r="AB17" t="s">
        <v>664</v>
      </c>
      <c r="AC17" t="s">
        <v>52</v>
      </c>
      <c r="AD17" t="s">
        <v>52</v>
      </c>
      <c r="AE17" t="s">
        <v>52</v>
      </c>
      <c r="AF17" t="s">
        <v>3689</v>
      </c>
      <c r="AG17" t="s">
        <v>3728</v>
      </c>
      <c r="AH17" t="s">
        <v>3689</v>
      </c>
      <c r="AI17" t="s">
        <v>3728</v>
      </c>
      <c r="AJ17" t="s">
        <v>3689</v>
      </c>
      <c r="AK17" t="s">
        <v>3728</v>
      </c>
      <c r="AL17" t="s">
        <v>3662</v>
      </c>
    </row>
    <row r="18" spans="1:38" ht="11.25" customHeight="1">
      <c r="A18" t="s">
        <v>9</v>
      </c>
      <c r="B18" t="s">
        <v>35</v>
      </c>
      <c r="C18" t="s">
        <v>37</v>
      </c>
      <c r="D18" t="s">
        <v>9</v>
      </c>
      <c r="E18" t="s">
        <v>3729</v>
      </c>
      <c r="F18" t="s">
        <v>3672</v>
      </c>
      <c r="G18" t="s">
        <v>3110</v>
      </c>
      <c r="H18" t="s">
        <v>3114</v>
      </c>
      <c r="I18" t="s">
        <v>3115</v>
      </c>
      <c r="J18" t="s">
        <v>3673</v>
      </c>
      <c r="K18" t="s">
        <v>3674</v>
      </c>
      <c r="L18" t="s">
        <v>3724</v>
      </c>
      <c r="M18" t="s">
        <v>3686</v>
      </c>
      <c r="N18" t="s">
        <v>161</v>
      </c>
      <c r="O18" t="s">
        <v>3110</v>
      </c>
      <c r="P18" t="s">
        <v>3114</v>
      </c>
      <c r="Q18" t="s">
        <v>3115</v>
      </c>
      <c r="R18" t="s">
        <v>3673</v>
      </c>
      <c r="S18" t="s">
        <v>3674</v>
      </c>
      <c r="T18" t="s">
        <v>3677</v>
      </c>
      <c r="U18" t="s">
        <v>3678</v>
      </c>
      <c r="V18" t="s">
        <v>664</v>
      </c>
      <c r="W18" t="s">
        <v>3657</v>
      </c>
      <c r="X18" t="s">
        <v>3679</v>
      </c>
      <c r="Y18" t="s">
        <v>3680</v>
      </c>
      <c r="Z18" t="s">
        <v>3726</v>
      </c>
      <c r="AA18" t="s">
        <v>3727</v>
      </c>
      <c r="AB18" t="s">
        <v>664</v>
      </c>
      <c r="AC18" t="s">
        <v>6</v>
      </c>
      <c r="AD18" t="s">
        <v>52</v>
      </c>
      <c r="AE18" t="s">
        <v>6</v>
      </c>
      <c r="AF18" t="s">
        <v>9</v>
      </c>
      <c r="AG18" t="s">
        <v>9</v>
      </c>
      <c r="AH18" t="s">
        <v>3689</v>
      </c>
      <c r="AI18" t="s">
        <v>3730</v>
      </c>
      <c r="AJ18" t="s">
        <v>3689</v>
      </c>
      <c r="AK18" t="s">
        <v>3730</v>
      </c>
      <c r="AL18" t="s">
        <v>9</v>
      </c>
    </row>
    <row r="19" spans="1:38" ht="11.25" customHeight="1">
      <c r="A19" t="s">
        <v>9</v>
      </c>
      <c r="B19" t="s">
        <v>35</v>
      </c>
      <c r="C19" t="s">
        <v>37</v>
      </c>
      <c r="D19" t="s">
        <v>9</v>
      </c>
      <c r="E19" t="s">
        <v>3731</v>
      </c>
      <c r="F19" t="s">
        <v>1046</v>
      </c>
      <c r="G19" t="s">
        <v>3110</v>
      </c>
      <c r="H19" t="s">
        <v>3114</v>
      </c>
      <c r="I19" t="s">
        <v>3115</v>
      </c>
      <c r="J19" t="s">
        <v>3673</v>
      </c>
      <c r="K19" t="s">
        <v>3674</v>
      </c>
      <c r="L19" t="s">
        <v>3732</v>
      </c>
      <c r="M19" t="s">
        <v>1053</v>
      </c>
      <c r="N19" t="s">
        <v>161</v>
      </c>
      <c r="O19" t="s">
        <v>3110</v>
      </c>
      <c r="P19" t="s">
        <v>3114</v>
      </c>
      <c r="Q19" t="s">
        <v>3115</v>
      </c>
      <c r="R19" t="s">
        <v>3673</v>
      </c>
      <c r="S19" t="s">
        <v>3674</v>
      </c>
      <c r="T19" t="s">
        <v>3677</v>
      </c>
      <c r="U19" t="s">
        <v>3678</v>
      </c>
      <c r="V19" t="s">
        <v>664</v>
      </c>
      <c r="W19" t="s">
        <v>3657</v>
      </c>
      <c r="X19" t="s">
        <v>3679</v>
      </c>
      <c r="Y19" t="s">
        <v>3680</v>
      </c>
      <c r="Z19" t="s">
        <v>3733</v>
      </c>
      <c r="AA19" t="s">
        <v>3734</v>
      </c>
      <c r="AB19" t="s">
        <v>664</v>
      </c>
      <c r="AC19" t="s">
        <v>52</v>
      </c>
      <c r="AD19" t="s">
        <v>52</v>
      </c>
      <c r="AE19" t="s">
        <v>52</v>
      </c>
      <c r="AF19" t="s">
        <v>140</v>
      </c>
      <c r="AG19" t="s">
        <v>843</v>
      </c>
      <c r="AH19" t="s">
        <v>954</v>
      </c>
      <c r="AI19" t="s">
        <v>843</v>
      </c>
      <c r="AJ19" t="s">
        <v>954</v>
      </c>
      <c r="AK19" t="s">
        <v>843</v>
      </c>
      <c r="AL19" t="s">
        <v>3662</v>
      </c>
    </row>
    <row r="20" spans="1:38" ht="11.25" customHeight="1">
      <c r="A20" t="s">
        <v>9</v>
      </c>
      <c r="B20" t="s">
        <v>35</v>
      </c>
      <c r="C20" t="s">
        <v>37</v>
      </c>
      <c r="D20" t="s">
        <v>9</v>
      </c>
      <c r="E20" t="s">
        <v>3735</v>
      </c>
      <c r="F20" t="s">
        <v>3672</v>
      </c>
      <c r="G20" t="s">
        <v>3110</v>
      </c>
      <c r="H20" t="s">
        <v>3114</v>
      </c>
      <c r="I20" t="s">
        <v>3115</v>
      </c>
      <c r="J20" t="s">
        <v>3673</v>
      </c>
      <c r="K20" t="s">
        <v>3674</v>
      </c>
      <c r="L20" t="s">
        <v>3732</v>
      </c>
      <c r="M20" t="s">
        <v>1053</v>
      </c>
      <c r="N20" t="s">
        <v>161</v>
      </c>
      <c r="O20" t="s">
        <v>3110</v>
      </c>
      <c r="P20" t="s">
        <v>3114</v>
      </c>
      <c r="Q20" t="s">
        <v>3115</v>
      </c>
      <c r="R20" t="s">
        <v>3673</v>
      </c>
      <c r="S20" t="s">
        <v>3674</v>
      </c>
      <c r="T20" t="s">
        <v>3677</v>
      </c>
      <c r="U20" t="s">
        <v>3678</v>
      </c>
      <c r="V20" t="s">
        <v>664</v>
      </c>
      <c r="W20" t="s">
        <v>3657</v>
      </c>
      <c r="X20" t="s">
        <v>3679</v>
      </c>
      <c r="Y20" t="s">
        <v>3680</v>
      </c>
      <c r="Z20" t="s">
        <v>3733</v>
      </c>
      <c r="AA20" t="s">
        <v>3734</v>
      </c>
      <c r="AB20" t="s">
        <v>664</v>
      </c>
      <c r="AC20" t="s">
        <v>6</v>
      </c>
      <c r="AD20" t="s">
        <v>52</v>
      </c>
      <c r="AE20" t="s">
        <v>6</v>
      </c>
      <c r="AF20" t="s">
        <v>9</v>
      </c>
      <c r="AG20" t="s">
        <v>9</v>
      </c>
      <c r="AH20" t="s">
        <v>954</v>
      </c>
      <c r="AI20" t="s">
        <v>843</v>
      </c>
      <c r="AJ20" t="s">
        <v>954</v>
      </c>
      <c r="AK20" t="s">
        <v>843</v>
      </c>
      <c r="AL20" t="s">
        <v>9</v>
      </c>
    </row>
    <row r="21" spans="1:38" ht="11.25" customHeight="1">
      <c r="A21" t="s">
        <v>9</v>
      </c>
      <c r="B21" t="s">
        <v>35</v>
      </c>
      <c r="C21" t="s">
        <v>37</v>
      </c>
      <c r="D21" t="s">
        <v>9</v>
      </c>
      <c r="E21" t="s">
        <v>3736</v>
      </c>
      <c r="F21" t="s">
        <v>1063</v>
      </c>
      <c r="G21" t="s">
        <v>3110</v>
      </c>
      <c r="H21" t="s">
        <v>3114</v>
      </c>
      <c r="I21" t="s">
        <v>3115</v>
      </c>
      <c r="J21" t="s">
        <v>3673</v>
      </c>
      <c r="K21" t="s">
        <v>3674</v>
      </c>
      <c r="L21" t="s">
        <v>3737</v>
      </c>
      <c r="M21" t="s">
        <v>3738</v>
      </c>
      <c r="N21" t="s">
        <v>161</v>
      </c>
      <c r="O21" t="s">
        <v>3110</v>
      </c>
      <c r="P21" t="s">
        <v>3114</v>
      </c>
      <c r="Q21" t="s">
        <v>3115</v>
      </c>
      <c r="R21" t="s">
        <v>3673</v>
      </c>
      <c r="S21" t="s">
        <v>3674</v>
      </c>
      <c r="T21" t="s">
        <v>3677</v>
      </c>
      <c r="U21" t="s">
        <v>3678</v>
      </c>
      <c r="V21" t="s">
        <v>664</v>
      </c>
      <c r="W21" t="s">
        <v>3657</v>
      </c>
      <c r="X21" t="s">
        <v>3679</v>
      </c>
      <c r="Y21" t="s">
        <v>3680</v>
      </c>
      <c r="Z21" t="s">
        <v>3739</v>
      </c>
      <c r="AA21" t="s">
        <v>3740</v>
      </c>
      <c r="AB21" t="s">
        <v>664</v>
      </c>
      <c r="AC21" t="s">
        <v>52</v>
      </c>
      <c r="AD21" t="s">
        <v>6</v>
      </c>
      <c r="AE21" t="s">
        <v>6</v>
      </c>
      <c r="AF21" t="s">
        <v>1145</v>
      </c>
      <c r="AG21" t="s">
        <v>3741</v>
      </c>
      <c r="AH21" t="s">
        <v>9</v>
      </c>
      <c r="AI21" t="s">
        <v>9</v>
      </c>
      <c r="AJ21" t="s">
        <v>9</v>
      </c>
      <c r="AK21" t="s">
        <v>9</v>
      </c>
      <c r="AL21" t="s">
        <v>3662</v>
      </c>
    </row>
    <row r="22" spans="1:38" ht="11.25" customHeight="1">
      <c r="A22" t="s">
        <v>9</v>
      </c>
      <c r="B22" t="s">
        <v>35</v>
      </c>
      <c r="C22" t="s">
        <v>37</v>
      </c>
      <c r="D22" t="s">
        <v>9</v>
      </c>
      <c r="E22" t="s">
        <v>1098</v>
      </c>
      <c r="F22" t="s">
        <v>1046</v>
      </c>
      <c r="G22" t="s">
        <v>3110</v>
      </c>
      <c r="H22" t="s">
        <v>3114</v>
      </c>
      <c r="I22" t="s">
        <v>3115</v>
      </c>
      <c r="J22" t="s">
        <v>3673</v>
      </c>
      <c r="K22" t="s">
        <v>3674</v>
      </c>
      <c r="L22" t="s">
        <v>3742</v>
      </c>
      <c r="M22" t="s">
        <v>3743</v>
      </c>
      <c r="N22" t="s">
        <v>161</v>
      </c>
      <c r="O22" t="s">
        <v>3110</v>
      </c>
      <c r="P22" t="s">
        <v>3114</v>
      </c>
      <c r="Q22" t="s">
        <v>3115</v>
      </c>
      <c r="R22" t="s">
        <v>3673</v>
      </c>
      <c r="S22" t="s">
        <v>3674</v>
      </c>
      <c r="T22" t="s">
        <v>3655</v>
      </c>
      <c r="U22" t="s">
        <v>3667</v>
      </c>
      <c r="V22" t="s">
        <v>664</v>
      </c>
      <c r="W22" t="s">
        <v>3657</v>
      </c>
      <c r="X22" t="s">
        <v>3658</v>
      </c>
      <c r="Y22" t="s">
        <v>3659</v>
      </c>
      <c r="Z22" t="s">
        <v>3744</v>
      </c>
      <c r="AA22" t="s">
        <v>3702</v>
      </c>
      <c r="AB22" t="s">
        <v>664</v>
      </c>
      <c r="AC22" t="s">
        <v>52</v>
      </c>
      <c r="AD22" t="s">
        <v>52</v>
      </c>
      <c r="AE22" t="s">
        <v>52</v>
      </c>
      <c r="AF22" t="s">
        <v>1649</v>
      </c>
      <c r="AG22" t="s">
        <v>3745</v>
      </c>
      <c r="AH22" t="s">
        <v>1649</v>
      </c>
      <c r="AI22" t="s">
        <v>3745</v>
      </c>
      <c r="AJ22" t="s">
        <v>1649</v>
      </c>
      <c r="AK22" t="s">
        <v>3745</v>
      </c>
      <c r="AL22" t="s">
        <v>3662</v>
      </c>
    </row>
    <row r="23" spans="1:38" ht="11.25" customHeight="1">
      <c r="A23" t="s">
        <v>9</v>
      </c>
      <c r="B23" t="s">
        <v>35</v>
      </c>
      <c r="C23" t="s">
        <v>37</v>
      </c>
      <c r="D23" t="s">
        <v>9</v>
      </c>
      <c r="E23" t="s">
        <v>3746</v>
      </c>
      <c r="F23" t="s">
        <v>3672</v>
      </c>
      <c r="G23" t="s">
        <v>3110</v>
      </c>
      <c r="H23" t="s">
        <v>3114</v>
      </c>
      <c r="I23" t="s">
        <v>3115</v>
      </c>
      <c r="J23" t="s">
        <v>3673</v>
      </c>
      <c r="K23" t="s">
        <v>3674</v>
      </c>
      <c r="L23" t="s">
        <v>3742</v>
      </c>
      <c r="M23" t="s">
        <v>3743</v>
      </c>
      <c r="N23" t="s">
        <v>161</v>
      </c>
      <c r="O23" t="s">
        <v>3110</v>
      </c>
      <c r="P23" t="s">
        <v>3114</v>
      </c>
      <c r="Q23" t="s">
        <v>3115</v>
      </c>
      <c r="R23" t="s">
        <v>3673</v>
      </c>
      <c r="S23" t="s">
        <v>3674</v>
      </c>
      <c r="T23" t="s">
        <v>3655</v>
      </c>
      <c r="U23" t="s">
        <v>3667</v>
      </c>
      <c r="V23" t="s">
        <v>664</v>
      </c>
      <c r="W23" t="s">
        <v>3657</v>
      </c>
      <c r="X23" t="s">
        <v>3658</v>
      </c>
      <c r="Y23" t="s">
        <v>3659</v>
      </c>
      <c r="Z23" t="s">
        <v>3744</v>
      </c>
      <c r="AA23" t="s">
        <v>3702</v>
      </c>
      <c r="AB23" t="s">
        <v>664</v>
      </c>
      <c r="AC23" t="s">
        <v>6</v>
      </c>
      <c r="AD23" t="s">
        <v>52</v>
      </c>
      <c r="AE23" t="s">
        <v>6</v>
      </c>
      <c r="AF23" t="s">
        <v>9</v>
      </c>
      <c r="AG23" t="s">
        <v>9</v>
      </c>
      <c r="AH23" t="s">
        <v>1649</v>
      </c>
      <c r="AI23" t="s">
        <v>3745</v>
      </c>
      <c r="AJ23" t="s">
        <v>1649</v>
      </c>
      <c r="AK23" t="s">
        <v>3745</v>
      </c>
      <c r="AL23" t="s">
        <v>9</v>
      </c>
    </row>
    <row r="24" spans="1:38" ht="11.25" customHeight="1">
      <c r="A24" t="s">
        <v>9</v>
      </c>
      <c r="B24" t="s">
        <v>35</v>
      </c>
      <c r="C24" t="s">
        <v>37</v>
      </c>
      <c r="D24" t="s">
        <v>9</v>
      </c>
      <c r="E24" t="s">
        <v>3747</v>
      </c>
      <c r="F24" t="s">
        <v>3672</v>
      </c>
      <c r="G24" t="s">
        <v>3110</v>
      </c>
      <c r="H24" t="s">
        <v>3114</v>
      </c>
      <c r="I24" t="s">
        <v>3115</v>
      </c>
      <c r="J24" t="s">
        <v>3673</v>
      </c>
      <c r="K24" t="s">
        <v>3674</v>
      </c>
      <c r="L24" t="s">
        <v>3742</v>
      </c>
      <c r="M24" t="s">
        <v>3743</v>
      </c>
      <c r="N24" t="s">
        <v>161</v>
      </c>
      <c r="O24" t="s">
        <v>3110</v>
      </c>
      <c r="P24" t="s">
        <v>3114</v>
      </c>
      <c r="Q24" t="s">
        <v>3115</v>
      </c>
      <c r="R24" t="s">
        <v>3673</v>
      </c>
      <c r="S24" t="s">
        <v>3674</v>
      </c>
      <c r="T24" t="s">
        <v>3655</v>
      </c>
      <c r="U24" t="s">
        <v>3667</v>
      </c>
      <c r="V24" t="s">
        <v>664</v>
      </c>
      <c r="W24" t="s">
        <v>3657</v>
      </c>
      <c r="X24" t="s">
        <v>3658</v>
      </c>
      <c r="Y24" t="s">
        <v>3659</v>
      </c>
      <c r="Z24" t="s">
        <v>3744</v>
      </c>
      <c r="AA24" t="s">
        <v>3702</v>
      </c>
      <c r="AB24" t="s">
        <v>664</v>
      </c>
      <c r="AC24" t="s">
        <v>6</v>
      </c>
      <c r="AD24" t="s">
        <v>52</v>
      </c>
      <c r="AE24" t="s">
        <v>6</v>
      </c>
      <c r="AF24" t="s">
        <v>9</v>
      </c>
      <c r="AG24" t="s">
        <v>9</v>
      </c>
      <c r="AH24" t="s">
        <v>1649</v>
      </c>
      <c r="AI24" t="s">
        <v>3745</v>
      </c>
      <c r="AJ24" t="s">
        <v>1649</v>
      </c>
      <c r="AK24" t="s">
        <v>3745</v>
      </c>
      <c r="AL24" t="s">
        <v>9</v>
      </c>
    </row>
    <row r="25" spans="1:38" ht="11.25" customHeight="1">
      <c r="A25" t="s">
        <v>9</v>
      </c>
      <c r="B25" t="s">
        <v>35</v>
      </c>
      <c r="C25" t="s">
        <v>37</v>
      </c>
      <c r="D25" t="s">
        <v>9</v>
      </c>
      <c r="E25" t="s">
        <v>1100</v>
      </c>
      <c r="F25" t="s">
        <v>1046</v>
      </c>
      <c r="G25" t="s">
        <v>3110</v>
      </c>
      <c r="H25" t="s">
        <v>3114</v>
      </c>
      <c r="I25" t="s">
        <v>3115</v>
      </c>
      <c r="J25" t="s">
        <v>3673</v>
      </c>
      <c r="K25" t="s">
        <v>3674</v>
      </c>
      <c r="L25" t="s">
        <v>3748</v>
      </c>
      <c r="M25" t="s">
        <v>1053</v>
      </c>
      <c r="N25" t="s">
        <v>161</v>
      </c>
      <c r="O25" t="s">
        <v>3110</v>
      </c>
      <c r="P25" t="s">
        <v>3114</v>
      </c>
      <c r="Q25" t="s">
        <v>3115</v>
      </c>
      <c r="R25" t="s">
        <v>3673</v>
      </c>
      <c r="S25" t="s">
        <v>3674</v>
      </c>
      <c r="T25" t="s">
        <v>3655</v>
      </c>
      <c r="U25" t="s">
        <v>3667</v>
      </c>
      <c r="V25" t="s">
        <v>664</v>
      </c>
      <c r="W25" t="s">
        <v>3657</v>
      </c>
      <c r="X25" t="s">
        <v>3658</v>
      </c>
      <c r="Y25" t="s">
        <v>3659</v>
      </c>
      <c r="Z25" t="s">
        <v>3744</v>
      </c>
      <c r="AA25" t="s">
        <v>3702</v>
      </c>
      <c r="AB25" t="s">
        <v>664</v>
      </c>
      <c r="AC25" t="s">
        <v>52</v>
      </c>
      <c r="AD25" t="s">
        <v>52</v>
      </c>
      <c r="AE25" t="s">
        <v>52</v>
      </c>
      <c r="AF25" t="s">
        <v>3749</v>
      </c>
      <c r="AG25" t="s">
        <v>3750</v>
      </c>
      <c r="AH25" t="s">
        <v>3749</v>
      </c>
      <c r="AI25" t="s">
        <v>3750</v>
      </c>
      <c r="AJ25" t="s">
        <v>3749</v>
      </c>
      <c r="AK25" t="s">
        <v>3750</v>
      </c>
      <c r="AL25" t="s">
        <v>3662</v>
      </c>
    </row>
    <row r="26" spans="1:38" ht="11.25" customHeight="1">
      <c r="A26" t="s">
        <v>9</v>
      </c>
      <c r="B26" t="s">
        <v>35</v>
      </c>
      <c r="C26" t="s">
        <v>37</v>
      </c>
      <c r="D26" t="s">
        <v>9</v>
      </c>
      <c r="E26" t="s">
        <v>3751</v>
      </c>
      <c r="F26" t="s">
        <v>3672</v>
      </c>
      <c r="G26" t="s">
        <v>3110</v>
      </c>
      <c r="H26" t="s">
        <v>3114</v>
      </c>
      <c r="I26" t="s">
        <v>3115</v>
      </c>
      <c r="J26" t="s">
        <v>3673</v>
      </c>
      <c r="K26" t="s">
        <v>3674</v>
      </c>
      <c r="L26" t="s">
        <v>3748</v>
      </c>
      <c r="M26" t="s">
        <v>1053</v>
      </c>
      <c r="N26" t="s">
        <v>161</v>
      </c>
      <c r="O26" t="s">
        <v>3110</v>
      </c>
      <c r="P26" t="s">
        <v>3114</v>
      </c>
      <c r="Q26" t="s">
        <v>3115</v>
      </c>
      <c r="R26" t="s">
        <v>3673</v>
      </c>
      <c r="S26" t="s">
        <v>3674</v>
      </c>
      <c r="T26" t="s">
        <v>3655</v>
      </c>
      <c r="U26" t="s">
        <v>3667</v>
      </c>
      <c r="V26" t="s">
        <v>664</v>
      </c>
      <c r="W26" t="s">
        <v>3657</v>
      </c>
      <c r="X26" t="s">
        <v>3658</v>
      </c>
      <c r="Y26" t="s">
        <v>3659</v>
      </c>
      <c r="Z26" t="s">
        <v>3744</v>
      </c>
      <c r="AA26" t="s">
        <v>3702</v>
      </c>
      <c r="AB26" t="s">
        <v>664</v>
      </c>
      <c r="AC26" t="s">
        <v>6</v>
      </c>
      <c r="AD26" t="s">
        <v>52</v>
      </c>
      <c r="AE26" t="s">
        <v>6</v>
      </c>
      <c r="AF26" t="s">
        <v>9</v>
      </c>
      <c r="AG26" t="s">
        <v>9</v>
      </c>
      <c r="AH26" t="s">
        <v>3749</v>
      </c>
      <c r="AI26" t="s">
        <v>3750</v>
      </c>
      <c r="AJ26" t="s">
        <v>3749</v>
      </c>
      <c r="AK26" t="s">
        <v>3750</v>
      </c>
      <c r="AL26" t="s">
        <v>9</v>
      </c>
    </row>
    <row r="27" spans="1:38" ht="11.25" customHeight="1">
      <c r="A27" t="s">
        <v>9</v>
      </c>
      <c r="B27" t="s">
        <v>35</v>
      </c>
      <c r="C27" t="s">
        <v>37</v>
      </c>
      <c r="D27" t="s">
        <v>9</v>
      </c>
      <c r="E27" t="s">
        <v>3752</v>
      </c>
      <c r="F27" t="s">
        <v>3672</v>
      </c>
      <c r="G27" t="s">
        <v>3110</v>
      </c>
      <c r="H27" t="s">
        <v>3114</v>
      </c>
      <c r="I27" t="s">
        <v>3115</v>
      </c>
      <c r="J27" t="s">
        <v>3673</v>
      </c>
      <c r="K27" t="s">
        <v>3674</v>
      </c>
      <c r="L27" t="s">
        <v>3748</v>
      </c>
      <c r="M27" t="s">
        <v>1053</v>
      </c>
      <c r="N27" t="s">
        <v>161</v>
      </c>
      <c r="O27" t="s">
        <v>3110</v>
      </c>
      <c r="P27" t="s">
        <v>3114</v>
      </c>
      <c r="Q27" t="s">
        <v>3115</v>
      </c>
      <c r="R27" t="s">
        <v>3673</v>
      </c>
      <c r="S27" t="s">
        <v>3674</v>
      </c>
      <c r="T27" t="s">
        <v>3655</v>
      </c>
      <c r="U27" t="s">
        <v>3667</v>
      </c>
      <c r="V27" t="s">
        <v>664</v>
      </c>
      <c r="W27" t="s">
        <v>3657</v>
      </c>
      <c r="X27" t="s">
        <v>3658</v>
      </c>
      <c r="Y27" t="s">
        <v>3659</v>
      </c>
      <c r="Z27" t="s">
        <v>3744</v>
      </c>
      <c r="AA27" t="s">
        <v>3702</v>
      </c>
      <c r="AB27" t="s">
        <v>664</v>
      </c>
      <c r="AC27" t="s">
        <v>6</v>
      </c>
      <c r="AD27" t="s">
        <v>52</v>
      </c>
      <c r="AE27" t="s">
        <v>6</v>
      </c>
      <c r="AF27" t="s">
        <v>9</v>
      </c>
      <c r="AG27" t="s">
        <v>9</v>
      </c>
      <c r="AH27" t="s">
        <v>3749</v>
      </c>
      <c r="AI27" t="s">
        <v>3750</v>
      </c>
      <c r="AJ27" t="s">
        <v>3749</v>
      </c>
      <c r="AK27" t="s">
        <v>3750</v>
      </c>
      <c r="AL27" t="s">
        <v>9</v>
      </c>
    </row>
    <row r="28" spans="1:38" ht="11.25" customHeight="1">
      <c r="A28" t="s">
        <v>9</v>
      </c>
      <c r="B28" t="s">
        <v>35</v>
      </c>
      <c r="C28" t="s">
        <v>37</v>
      </c>
      <c r="D28" t="s">
        <v>9</v>
      </c>
      <c r="E28" t="s">
        <v>1091</v>
      </c>
      <c r="F28" t="s">
        <v>1046</v>
      </c>
      <c r="G28" t="s">
        <v>3110</v>
      </c>
      <c r="H28" t="s">
        <v>3114</v>
      </c>
      <c r="I28" t="s">
        <v>3115</v>
      </c>
      <c r="J28" t="s">
        <v>3673</v>
      </c>
      <c r="K28" t="s">
        <v>3674</v>
      </c>
      <c r="L28" t="s">
        <v>3753</v>
      </c>
      <c r="M28" t="s">
        <v>1053</v>
      </c>
      <c r="N28" t="s">
        <v>161</v>
      </c>
      <c r="O28" t="s">
        <v>3110</v>
      </c>
      <c r="P28" t="s">
        <v>3114</v>
      </c>
      <c r="Q28" t="s">
        <v>3115</v>
      </c>
      <c r="R28" t="s">
        <v>3673</v>
      </c>
      <c r="S28" t="s">
        <v>3674</v>
      </c>
      <c r="T28" t="s">
        <v>3655</v>
      </c>
      <c r="U28" t="s">
        <v>3667</v>
      </c>
      <c r="V28" t="s">
        <v>664</v>
      </c>
      <c r="W28" t="s">
        <v>3657</v>
      </c>
      <c r="X28" t="s">
        <v>3658</v>
      </c>
      <c r="Y28" t="s">
        <v>3659</v>
      </c>
      <c r="Z28" t="s">
        <v>3744</v>
      </c>
      <c r="AA28" t="s">
        <v>3702</v>
      </c>
      <c r="AB28" t="s">
        <v>664</v>
      </c>
      <c r="AC28" t="s">
        <v>52</v>
      </c>
      <c r="AD28" t="s">
        <v>52</v>
      </c>
      <c r="AE28" t="s">
        <v>52</v>
      </c>
      <c r="AF28" t="s">
        <v>131</v>
      </c>
      <c r="AG28" t="s">
        <v>3754</v>
      </c>
      <c r="AH28" t="s">
        <v>131</v>
      </c>
      <c r="AI28" t="s">
        <v>3754</v>
      </c>
      <c r="AJ28" t="s">
        <v>131</v>
      </c>
      <c r="AK28" t="s">
        <v>3754</v>
      </c>
      <c r="AL28" t="s">
        <v>3662</v>
      </c>
    </row>
    <row r="29" spans="1:38" ht="11.25" customHeight="1">
      <c r="A29" t="s">
        <v>9</v>
      </c>
      <c r="B29" t="s">
        <v>35</v>
      </c>
      <c r="C29" t="s">
        <v>37</v>
      </c>
      <c r="D29" t="s">
        <v>9</v>
      </c>
      <c r="E29" t="s">
        <v>3755</v>
      </c>
      <c r="F29" t="s">
        <v>3672</v>
      </c>
      <c r="G29" t="s">
        <v>3110</v>
      </c>
      <c r="H29" t="s">
        <v>3114</v>
      </c>
      <c r="I29" t="s">
        <v>3115</v>
      </c>
      <c r="J29" t="s">
        <v>3673</v>
      </c>
      <c r="K29" t="s">
        <v>3674</v>
      </c>
      <c r="L29" t="s">
        <v>3753</v>
      </c>
      <c r="M29" t="s">
        <v>1053</v>
      </c>
      <c r="N29" t="s">
        <v>161</v>
      </c>
      <c r="O29" t="s">
        <v>3110</v>
      </c>
      <c r="P29" t="s">
        <v>3114</v>
      </c>
      <c r="Q29" t="s">
        <v>3115</v>
      </c>
      <c r="R29" t="s">
        <v>3673</v>
      </c>
      <c r="S29" t="s">
        <v>3674</v>
      </c>
      <c r="T29" t="s">
        <v>3655</v>
      </c>
      <c r="U29" t="s">
        <v>3667</v>
      </c>
      <c r="V29" t="s">
        <v>664</v>
      </c>
      <c r="W29" t="s">
        <v>3657</v>
      </c>
      <c r="X29" t="s">
        <v>3658</v>
      </c>
      <c r="Y29" t="s">
        <v>3659</v>
      </c>
      <c r="Z29" t="s">
        <v>3744</v>
      </c>
      <c r="AA29" t="s">
        <v>3702</v>
      </c>
      <c r="AB29" t="s">
        <v>664</v>
      </c>
      <c r="AC29" t="s">
        <v>6</v>
      </c>
      <c r="AD29" t="s">
        <v>52</v>
      </c>
      <c r="AE29" t="s">
        <v>6</v>
      </c>
      <c r="AF29" t="s">
        <v>9</v>
      </c>
      <c r="AG29" t="s">
        <v>9</v>
      </c>
      <c r="AH29" t="s">
        <v>131</v>
      </c>
      <c r="AI29" t="s">
        <v>3754</v>
      </c>
      <c r="AJ29" t="s">
        <v>131</v>
      </c>
      <c r="AK29" t="s">
        <v>3754</v>
      </c>
      <c r="AL29" t="s">
        <v>9</v>
      </c>
    </row>
    <row r="30" spans="1:38" ht="11.25" customHeight="1">
      <c r="A30" t="s">
        <v>9</v>
      </c>
      <c r="B30" t="s">
        <v>35</v>
      </c>
      <c r="C30" t="s">
        <v>37</v>
      </c>
      <c r="D30" t="s">
        <v>9</v>
      </c>
      <c r="E30" t="s">
        <v>1082</v>
      </c>
      <c r="F30" t="s">
        <v>1063</v>
      </c>
      <c r="G30" t="s">
        <v>3110</v>
      </c>
      <c r="H30" t="s">
        <v>3114</v>
      </c>
      <c r="I30" t="s">
        <v>3115</v>
      </c>
      <c r="J30" t="s">
        <v>3673</v>
      </c>
      <c r="K30" t="s">
        <v>3674</v>
      </c>
      <c r="L30" t="s">
        <v>3756</v>
      </c>
      <c r="M30" t="s">
        <v>1053</v>
      </c>
      <c r="N30" t="s">
        <v>161</v>
      </c>
      <c r="O30" t="s">
        <v>3110</v>
      </c>
      <c r="P30" t="s">
        <v>3114</v>
      </c>
      <c r="Q30" t="s">
        <v>3115</v>
      </c>
      <c r="R30" t="s">
        <v>3673</v>
      </c>
      <c r="S30" t="s">
        <v>3674</v>
      </c>
      <c r="T30" t="s">
        <v>3655</v>
      </c>
      <c r="U30" t="s">
        <v>3659</v>
      </c>
      <c r="V30" t="s">
        <v>664</v>
      </c>
      <c r="W30" t="s">
        <v>3657</v>
      </c>
      <c r="X30" t="s">
        <v>3658</v>
      </c>
      <c r="Y30" t="s">
        <v>3659</v>
      </c>
      <c r="Z30" t="s">
        <v>1053</v>
      </c>
      <c r="AA30" t="s">
        <v>3757</v>
      </c>
      <c r="AB30" t="s">
        <v>664</v>
      </c>
      <c r="AC30" t="s">
        <v>52</v>
      </c>
      <c r="AD30" t="s">
        <v>6</v>
      </c>
      <c r="AE30" t="s">
        <v>6</v>
      </c>
      <c r="AF30" t="s">
        <v>3758</v>
      </c>
      <c r="AG30" t="s">
        <v>3759</v>
      </c>
      <c r="AH30" t="s">
        <v>9</v>
      </c>
      <c r="AI30" t="s">
        <v>9</v>
      </c>
      <c r="AJ30" t="s">
        <v>9</v>
      </c>
      <c r="AK30" t="s">
        <v>9</v>
      </c>
      <c r="AL30" t="s">
        <v>3662</v>
      </c>
    </row>
    <row r="31" spans="1:38" ht="11.25" customHeight="1">
      <c r="A31" t="s">
        <v>9</v>
      </c>
      <c r="B31" t="s">
        <v>35</v>
      </c>
      <c r="C31" t="s">
        <v>37</v>
      </c>
      <c r="D31" t="s">
        <v>9</v>
      </c>
      <c r="E31" t="s">
        <v>3760</v>
      </c>
      <c r="F31" t="s">
        <v>1046</v>
      </c>
      <c r="G31" t="s">
        <v>3110</v>
      </c>
      <c r="H31" t="s">
        <v>3114</v>
      </c>
      <c r="I31" t="s">
        <v>3115</v>
      </c>
      <c r="J31" t="s">
        <v>3673</v>
      </c>
      <c r="K31" t="s">
        <v>3674</v>
      </c>
      <c r="L31" t="s">
        <v>3694</v>
      </c>
      <c r="M31" t="s">
        <v>3695</v>
      </c>
      <c r="N31" t="s">
        <v>161</v>
      </c>
      <c r="O31" t="s">
        <v>3110</v>
      </c>
      <c r="P31" t="s">
        <v>3114</v>
      </c>
      <c r="Q31" t="s">
        <v>3115</v>
      </c>
      <c r="R31" t="s">
        <v>3673</v>
      </c>
      <c r="S31" t="s">
        <v>3674</v>
      </c>
      <c r="T31" t="s">
        <v>3677</v>
      </c>
      <c r="U31" t="s">
        <v>3678</v>
      </c>
      <c r="V31" t="s">
        <v>664</v>
      </c>
      <c r="W31" t="s">
        <v>3657</v>
      </c>
      <c r="X31" t="s">
        <v>3679</v>
      </c>
      <c r="Y31" t="s">
        <v>3680</v>
      </c>
      <c r="Z31" t="s">
        <v>3696</v>
      </c>
      <c r="AA31" t="s">
        <v>3697</v>
      </c>
      <c r="AB31" t="s">
        <v>664</v>
      </c>
      <c r="AC31" t="s">
        <v>52</v>
      </c>
      <c r="AD31" t="s">
        <v>52</v>
      </c>
      <c r="AE31" t="s">
        <v>52</v>
      </c>
      <c r="AF31" t="s">
        <v>955</v>
      </c>
      <c r="AG31" t="s">
        <v>3698</v>
      </c>
      <c r="AH31" t="s">
        <v>955</v>
      </c>
      <c r="AI31" t="s">
        <v>3698</v>
      </c>
      <c r="AJ31" t="s">
        <v>955</v>
      </c>
      <c r="AK31" t="s">
        <v>3698</v>
      </c>
      <c r="AL31" t="s">
        <v>3662</v>
      </c>
    </row>
    <row r="32" spans="1:38" ht="11.25" customHeight="1">
      <c r="A32" t="s">
        <v>9</v>
      </c>
      <c r="B32" t="s">
        <v>35</v>
      </c>
      <c r="C32" t="s">
        <v>37</v>
      </c>
      <c r="D32" t="s">
        <v>9</v>
      </c>
      <c r="E32" t="s">
        <v>3761</v>
      </c>
      <c r="F32" t="s">
        <v>1046</v>
      </c>
      <c r="G32" t="s">
        <v>3110</v>
      </c>
      <c r="H32" t="s">
        <v>3120</v>
      </c>
      <c r="I32" t="s">
        <v>3121</v>
      </c>
      <c r="J32" t="s">
        <v>3762</v>
      </c>
      <c r="K32" t="s">
        <v>3763</v>
      </c>
      <c r="L32" t="s">
        <v>3764</v>
      </c>
      <c r="M32" t="s">
        <v>1053</v>
      </c>
      <c r="N32" t="s">
        <v>161</v>
      </c>
      <c r="O32" t="s">
        <v>3110</v>
      </c>
      <c r="P32" t="s">
        <v>3120</v>
      </c>
      <c r="Q32" t="s">
        <v>3121</v>
      </c>
      <c r="R32" t="s">
        <v>3762</v>
      </c>
      <c r="S32" t="s">
        <v>3763</v>
      </c>
      <c r="T32" t="s">
        <v>3655</v>
      </c>
      <c r="U32" t="s">
        <v>3765</v>
      </c>
      <c r="V32" t="s">
        <v>664</v>
      </c>
      <c r="W32" t="s">
        <v>3657</v>
      </c>
      <c r="X32" t="s">
        <v>3658</v>
      </c>
      <c r="Y32" t="s">
        <v>3659</v>
      </c>
      <c r="Z32" t="s">
        <v>3766</v>
      </c>
      <c r="AA32" t="s">
        <v>3767</v>
      </c>
      <c r="AB32" t="s">
        <v>664</v>
      </c>
      <c r="AC32" t="s">
        <v>52</v>
      </c>
      <c r="AD32" t="s">
        <v>52</v>
      </c>
      <c r="AE32" t="s">
        <v>52</v>
      </c>
      <c r="AF32" t="s">
        <v>79</v>
      </c>
      <c r="AG32" t="s">
        <v>3768</v>
      </c>
      <c r="AH32" t="s">
        <v>79</v>
      </c>
      <c r="AI32" t="s">
        <v>3768</v>
      </c>
      <c r="AJ32" t="s">
        <v>79</v>
      </c>
      <c r="AK32" t="s">
        <v>3768</v>
      </c>
      <c r="AL32" t="s">
        <v>3662</v>
      </c>
    </row>
    <row r="33" spans="1:38" ht="11.25" customHeight="1">
      <c r="A33" t="s">
        <v>9</v>
      </c>
      <c r="B33" t="s">
        <v>35</v>
      </c>
      <c r="C33" t="s">
        <v>37</v>
      </c>
      <c r="D33" t="s">
        <v>9</v>
      </c>
      <c r="E33" t="s">
        <v>3769</v>
      </c>
      <c r="F33" t="s">
        <v>1046</v>
      </c>
      <c r="G33" t="s">
        <v>3110</v>
      </c>
      <c r="H33" t="s">
        <v>3122</v>
      </c>
      <c r="I33" t="s">
        <v>3123</v>
      </c>
      <c r="J33" t="s">
        <v>3770</v>
      </c>
      <c r="K33" t="s">
        <v>3771</v>
      </c>
      <c r="L33" t="s">
        <v>3772</v>
      </c>
      <c r="M33" t="s">
        <v>1053</v>
      </c>
      <c r="N33" t="s">
        <v>161</v>
      </c>
      <c r="O33" t="s">
        <v>3110</v>
      </c>
      <c r="P33" t="s">
        <v>3122</v>
      </c>
      <c r="Q33" t="s">
        <v>3123</v>
      </c>
      <c r="R33" t="s">
        <v>3770</v>
      </c>
      <c r="S33" t="s">
        <v>3771</v>
      </c>
      <c r="T33" t="s">
        <v>3655</v>
      </c>
      <c r="U33" t="s">
        <v>3656</v>
      </c>
      <c r="V33" t="s">
        <v>664</v>
      </c>
      <c r="W33" t="s">
        <v>3657</v>
      </c>
      <c r="X33" t="s">
        <v>3658</v>
      </c>
      <c r="Y33" t="s">
        <v>3659</v>
      </c>
      <c r="Z33" t="s">
        <v>3766</v>
      </c>
      <c r="AA33" t="s">
        <v>3773</v>
      </c>
      <c r="AB33" t="s">
        <v>664</v>
      </c>
      <c r="AC33" t="s">
        <v>52</v>
      </c>
      <c r="AD33" t="s">
        <v>52</v>
      </c>
      <c r="AE33" t="s">
        <v>52</v>
      </c>
      <c r="AF33" t="s">
        <v>77</v>
      </c>
      <c r="AG33" t="s">
        <v>3758</v>
      </c>
      <c r="AH33" t="s">
        <v>77</v>
      </c>
      <c r="AI33" t="s">
        <v>3758</v>
      </c>
      <c r="AJ33" t="s">
        <v>77</v>
      </c>
      <c r="AK33" t="s">
        <v>3758</v>
      </c>
      <c r="AL33" t="s">
        <v>3774</v>
      </c>
    </row>
    <row r="34" spans="1:38" ht="11.25" customHeight="1">
      <c r="A34" t="s">
        <v>9</v>
      </c>
      <c r="B34" t="s">
        <v>35</v>
      </c>
      <c r="C34" t="s">
        <v>37</v>
      </c>
      <c r="D34" t="s">
        <v>9</v>
      </c>
      <c r="E34" t="s">
        <v>3775</v>
      </c>
      <c r="F34" t="s">
        <v>1046</v>
      </c>
      <c r="G34" t="s">
        <v>3110</v>
      </c>
      <c r="H34" t="s">
        <v>3122</v>
      </c>
      <c r="I34" t="s">
        <v>3123</v>
      </c>
      <c r="J34" t="s">
        <v>3776</v>
      </c>
      <c r="K34" t="s">
        <v>3777</v>
      </c>
      <c r="L34" t="s">
        <v>3778</v>
      </c>
      <c r="M34" t="s">
        <v>1053</v>
      </c>
      <c r="N34" t="s">
        <v>161</v>
      </c>
      <c r="O34" t="s">
        <v>3110</v>
      </c>
      <c r="P34" t="s">
        <v>3122</v>
      </c>
      <c r="Q34" t="s">
        <v>3123</v>
      </c>
      <c r="R34" t="s">
        <v>3776</v>
      </c>
      <c r="S34" t="s">
        <v>3777</v>
      </c>
      <c r="T34" t="s">
        <v>3655</v>
      </c>
      <c r="U34" t="s">
        <v>3659</v>
      </c>
      <c r="V34" t="s">
        <v>664</v>
      </c>
      <c r="W34" t="s">
        <v>3657</v>
      </c>
      <c r="X34" t="s">
        <v>3658</v>
      </c>
      <c r="Y34" t="s">
        <v>3659</v>
      </c>
      <c r="Z34" t="s">
        <v>3766</v>
      </c>
      <c r="AA34" t="s">
        <v>3779</v>
      </c>
      <c r="AB34" t="s">
        <v>664</v>
      </c>
      <c r="AC34" t="s">
        <v>52</v>
      </c>
      <c r="AD34" t="s">
        <v>52</v>
      </c>
      <c r="AE34" t="s">
        <v>52</v>
      </c>
      <c r="AF34" t="s">
        <v>1155</v>
      </c>
      <c r="AG34" t="s">
        <v>3780</v>
      </c>
      <c r="AH34" t="s">
        <v>1155</v>
      </c>
      <c r="AI34" t="s">
        <v>3780</v>
      </c>
      <c r="AJ34" t="s">
        <v>1155</v>
      </c>
      <c r="AK34" t="s">
        <v>3780</v>
      </c>
      <c r="AL34" t="s">
        <v>3662</v>
      </c>
    </row>
    <row r="35" spans="1:38" ht="11.25" customHeight="1">
      <c r="A35" t="s">
        <v>9</v>
      </c>
      <c r="B35" t="s">
        <v>35</v>
      </c>
      <c r="C35" t="s">
        <v>37</v>
      </c>
      <c r="D35" t="s">
        <v>9</v>
      </c>
      <c r="E35" t="s">
        <v>3781</v>
      </c>
      <c r="F35" t="s">
        <v>3672</v>
      </c>
      <c r="G35" t="s">
        <v>3110</v>
      </c>
      <c r="H35" t="s">
        <v>3122</v>
      </c>
      <c r="I35" t="s">
        <v>3123</v>
      </c>
      <c r="J35" t="s">
        <v>3776</v>
      </c>
      <c r="K35" t="s">
        <v>3777</v>
      </c>
      <c r="L35" t="s">
        <v>3778</v>
      </c>
      <c r="M35" t="s">
        <v>1053</v>
      </c>
      <c r="N35" t="s">
        <v>161</v>
      </c>
      <c r="O35" t="s">
        <v>3110</v>
      </c>
      <c r="P35" t="s">
        <v>3122</v>
      </c>
      <c r="Q35" t="s">
        <v>3123</v>
      </c>
      <c r="R35" t="s">
        <v>3776</v>
      </c>
      <c r="S35" t="s">
        <v>3777</v>
      </c>
      <c r="T35" t="s">
        <v>3655</v>
      </c>
      <c r="U35" t="s">
        <v>3659</v>
      </c>
      <c r="V35" t="s">
        <v>664</v>
      </c>
      <c r="W35" t="s">
        <v>3657</v>
      </c>
      <c r="X35" t="s">
        <v>3658</v>
      </c>
      <c r="Y35" t="s">
        <v>3659</v>
      </c>
      <c r="Z35" t="s">
        <v>3766</v>
      </c>
      <c r="AA35" t="s">
        <v>3779</v>
      </c>
      <c r="AB35" t="s">
        <v>664</v>
      </c>
      <c r="AC35" t="s">
        <v>6</v>
      </c>
      <c r="AD35" t="s">
        <v>52</v>
      </c>
      <c r="AE35" t="s">
        <v>6</v>
      </c>
      <c r="AF35" t="s">
        <v>9</v>
      </c>
      <c r="AG35" t="s">
        <v>9</v>
      </c>
      <c r="AH35" t="s">
        <v>1155</v>
      </c>
      <c r="AI35" t="s">
        <v>3780</v>
      </c>
      <c r="AJ35" t="s">
        <v>1155</v>
      </c>
      <c r="AK35" t="s">
        <v>3780</v>
      </c>
      <c r="AL35" t="s">
        <v>9</v>
      </c>
    </row>
    <row r="36" spans="1:38" ht="11.25" customHeight="1">
      <c r="A36" t="s">
        <v>9</v>
      </c>
      <c r="B36" t="s">
        <v>35</v>
      </c>
      <c r="C36" t="s">
        <v>37</v>
      </c>
      <c r="D36" t="s">
        <v>9</v>
      </c>
      <c r="E36" t="s">
        <v>3782</v>
      </c>
      <c r="F36" t="s">
        <v>3672</v>
      </c>
      <c r="G36" t="s">
        <v>3110</v>
      </c>
      <c r="H36" t="s">
        <v>3124</v>
      </c>
      <c r="I36" t="s">
        <v>3125</v>
      </c>
      <c r="J36" t="s">
        <v>3783</v>
      </c>
      <c r="K36" t="s">
        <v>3784</v>
      </c>
      <c r="L36" t="s">
        <v>3785</v>
      </c>
      <c r="M36" t="s">
        <v>1053</v>
      </c>
      <c r="N36" t="s">
        <v>161</v>
      </c>
      <c r="O36" t="s">
        <v>3110</v>
      </c>
      <c r="P36" t="s">
        <v>3124</v>
      </c>
      <c r="Q36" t="s">
        <v>3125</v>
      </c>
      <c r="R36" t="s">
        <v>3783</v>
      </c>
      <c r="S36" t="s">
        <v>3784</v>
      </c>
      <c r="T36" t="s">
        <v>3677</v>
      </c>
      <c r="U36" t="s">
        <v>3678</v>
      </c>
      <c r="V36" t="s">
        <v>664</v>
      </c>
      <c r="W36" t="s">
        <v>3657</v>
      </c>
      <c r="X36" t="s">
        <v>3679</v>
      </c>
      <c r="Y36" t="s">
        <v>3680</v>
      </c>
      <c r="Z36" t="s">
        <v>3786</v>
      </c>
      <c r="AA36" t="s">
        <v>3787</v>
      </c>
      <c r="AB36" t="s">
        <v>664</v>
      </c>
      <c r="AC36" t="s">
        <v>6</v>
      </c>
      <c r="AD36" t="s">
        <v>52</v>
      </c>
      <c r="AE36" t="s">
        <v>6</v>
      </c>
      <c r="AF36" t="s">
        <v>9</v>
      </c>
      <c r="AG36" t="s">
        <v>9</v>
      </c>
      <c r="AH36" t="s">
        <v>3788</v>
      </c>
      <c r="AI36" t="s">
        <v>3789</v>
      </c>
      <c r="AJ36" t="s">
        <v>3788</v>
      </c>
      <c r="AK36" t="s">
        <v>3789</v>
      </c>
      <c r="AL36" t="s">
        <v>9</v>
      </c>
    </row>
    <row r="37" spans="1:38" ht="11.25" customHeight="1">
      <c r="A37" t="s">
        <v>9</v>
      </c>
      <c r="B37" t="s">
        <v>35</v>
      </c>
      <c r="C37" t="s">
        <v>37</v>
      </c>
      <c r="D37" t="s">
        <v>9</v>
      </c>
      <c r="E37" t="s">
        <v>1121</v>
      </c>
      <c r="F37" t="s">
        <v>1046</v>
      </c>
      <c r="G37" t="s">
        <v>3110</v>
      </c>
      <c r="H37" t="s">
        <v>3124</v>
      </c>
      <c r="I37" t="s">
        <v>3125</v>
      </c>
      <c r="J37" t="s">
        <v>3783</v>
      </c>
      <c r="K37" t="s">
        <v>3784</v>
      </c>
      <c r="L37" t="s">
        <v>3785</v>
      </c>
      <c r="M37" t="s">
        <v>1053</v>
      </c>
      <c r="N37" t="s">
        <v>161</v>
      </c>
      <c r="O37" t="s">
        <v>3110</v>
      </c>
      <c r="P37" t="s">
        <v>3124</v>
      </c>
      <c r="Q37" t="s">
        <v>3125</v>
      </c>
      <c r="R37" t="s">
        <v>3783</v>
      </c>
      <c r="S37" t="s">
        <v>3784</v>
      </c>
      <c r="T37" t="s">
        <v>3677</v>
      </c>
      <c r="U37" t="s">
        <v>3678</v>
      </c>
      <c r="V37" t="s">
        <v>664</v>
      </c>
      <c r="W37" t="s">
        <v>3657</v>
      </c>
      <c r="X37" t="s">
        <v>3679</v>
      </c>
      <c r="Y37" t="s">
        <v>3680</v>
      </c>
      <c r="Z37" t="s">
        <v>3786</v>
      </c>
      <c r="AA37" t="s">
        <v>3787</v>
      </c>
      <c r="AB37" t="s">
        <v>664</v>
      </c>
      <c r="AC37" t="s">
        <v>52</v>
      </c>
      <c r="AD37" t="s">
        <v>52</v>
      </c>
      <c r="AE37" t="s">
        <v>52</v>
      </c>
      <c r="AF37" t="s">
        <v>391</v>
      </c>
      <c r="AG37" t="s">
        <v>3790</v>
      </c>
      <c r="AH37" t="s">
        <v>391</v>
      </c>
      <c r="AI37" t="s">
        <v>3789</v>
      </c>
      <c r="AJ37" t="s">
        <v>391</v>
      </c>
      <c r="AK37" t="s">
        <v>3789</v>
      </c>
      <c r="AL37" t="s">
        <v>3662</v>
      </c>
    </row>
    <row r="38" spans="1:38" ht="11.25" customHeight="1">
      <c r="A38" t="s">
        <v>9</v>
      </c>
      <c r="B38" t="s">
        <v>35</v>
      </c>
      <c r="C38" t="s">
        <v>37</v>
      </c>
      <c r="D38" t="s">
        <v>9</v>
      </c>
      <c r="E38" t="s">
        <v>1102</v>
      </c>
      <c r="F38" t="s">
        <v>1046</v>
      </c>
      <c r="G38" t="s">
        <v>1092</v>
      </c>
      <c r="H38" t="s">
        <v>1093</v>
      </c>
      <c r="I38" t="s">
        <v>1094</v>
      </c>
      <c r="J38" t="s">
        <v>1095</v>
      </c>
      <c r="K38" t="s">
        <v>1096</v>
      </c>
      <c r="L38" t="s">
        <v>1103</v>
      </c>
      <c r="M38" t="s">
        <v>1104</v>
      </c>
      <c r="N38" t="s">
        <v>161</v>
      </c>
      <c r="O38" t="s">
        <v>1092</v>
      </c>
      <c r="P38" t="s">
        <v>1093</v>
      </c>
      <c r="Q38" t="s">
        <v>1094</v>
      </c>
      <c r="R38" t="s">
        <v>1095</v>
      </c>
      <c r="S38" t="s">
        <v>1096</v>
      </c>
      <c r="T38" t="s">
        <v>3677</v>
      </c>
      <c r="U38" t="s">
        <v>3678</v>
      </c>
      <c r="V38" t="s">
        <v>664</v>
      </c>
      <c r="W38" t="s">
        <v>3657</v>
      </c>
      <c r="X38" t="s">
        <v>3679</v>
      </c>
      <c r="Y38" t="s">
        <v>3680</v>
      </c>
      <c r="Z38" t="s">
        <v>3791</v>
      </c>
      <c r="AA38" t="s">
        <v>3792</v>
      </c>
      <c r="AB38" t="s">
        <v>664</v>
      </c>
      <c r="AC38" t="s">
        <v>52</v>
      </c>
      <c r="AD38" t="s">
        <v>52</v>
      </c>
      <c r="AE38" t="s">
        <v>52</v>
      </c>
      <c r="AF38" t="s">
        <v>3793</v>
      </c>
      <c r="AG38" t="s">
        <v>3794</v>
      </c>
      <c r="AH38" t="s">
        <v>3793</v>
      </c>
      <c r="AI38" t="s">
        <v>3794</v>
      </c>
      <c r="AJ38" t="s">
        <v>3793</v>
      </c>
      <c r="AK38" t="s">
        <v>3794</v>
      </c>
      <c r="AL38" t="s">
        <v>3795</v>
      </c>
    </row>
    <row r="39" spans="1:38" ht="11.25" customHeight="1">
      <c r="A39" t="s">
        <v>9</v>
      </c>
      <c r="B39" t="s">
        <v>35</v>
      </c>
      <c r="C39" t="s">
        <v>37</v>
      </c>
      <c r="D39" t="s">
        <v>9</v>
      </c>
      <c r="E39" t="s">
        <v>3796</v>
      </c>
      <c r="F39" t="s">
        <v>3672</v>
      </c>
      <c r="G39" t="s">
        <v>1092</v>
      </c>
      <c r="H39" t="s">
        <v>1093</v>
      </c>
      <c r="I39" t="s">
        <v>1094</v>
      </c>
      <c r="J39" t="s">
        <v>1095</v>
      </c>
      <c r="K39" t="s">
        <v>1096</v>
      </c>
      <c r="L39" t="s">
        <v>1103</v>
      </c>
      <c r="M39" t="s">
        <v>1104</v>
      </c>
      <c r="N39" t="s">
        <v>161</v>
      </c>
      <c r="O39" t="s">
        <v>1092</v>
      </c>
      <c r="P39" t="s">
        <v>1093</v>
      </c>
      <c r="Q39" t="s">
        <v>1094</v>
      </c>
      <c r="R39" t="s">
        <v>1095</v>
      </c>
      <c r="S39" t="s">
        <v>1096</v>
      </c>
      <c r="T39" t="s">
        <v>3677</v>
      </c>
      <c r="U39" t="s">
        <v>3678</v>
      </c>
      <c r="V39" t="s">
        <v>664</v>
      </c>
      <c r="W39" t="s">
        <v>3657</v>
      </c>
      <c r="X39" t="s">
        <v>3679</v>
      </c>
      <c r="Y39" t="s">
        <v>3680</v>
      </c>
      <c r="Z39" t="s">
        <v>3791</v>
      </c>
      <c r="AA39" t="s">
        <v>3792</v>
      </c>
      <c r="AB39" t="s">
        <v>664</v>
      </c>
      <c r="AC39" t="s">
        <v>6</v>
      </c>
      <c r="AD39" t="s">
        <v>52</v>
      </c>
      <c r="AE39" t="s">
        <v>6</v>
      </c>
      <c r="AF39" t="s">
        <v>9</v>
      </c>
      <c r="AG39" t="s">
        <v>9</v>
      </c>
      <c r="AH39" t="s">
        <v>3793</v>
      </c>
      <c r="AI39" t="s">
        <v>3797</v>
      </c>
      <c r="AJ39" t="s">
        <v>3793</v>
      </c>
      <c r="AK39" t="s">
        <v>3797</v>
      </c>
      <c r="AL39" t="s">
        <v>9</v>
      </c>
    </row>
    <row r="40" spans="1:38" ht="11.25" customHeight="1">
      <c r="A40" t="s">
        <v>9</v>
      </c>
      <c r="B40" t="s">
        <v>35</v>
      </c>
      <c r="C40" t="s">
        <v>37</v>
      </c>
      <c r="D40" t="s">
        <v>9</v>
      </c>
      <c r="E40" t="s">
        <v>3798</v>
      </c>
      <c r="F40" t="s">
        <v>3672</v>
      </c>
      <c r="G40" t="s">
        <v>1092</v>
      </c>
      <c r="H40" t="s">
        <v>1093</v>
      </c>
      <c r="I40" t="s">
        <v>1094</v>
      </c>
      <c r="J40" t="s">
        <v>1095</v>
      </c>
      <c r="K40" t="s">
        <v>1096</v>
      </c>
      <c r="L40" t="s">
        <v>1103</v>
      </c>
      <c r="M40" t="s">
        <v>1104</v>
      </c>
      <c r="N40" t="s">
        <v>161</v>
      </c>
      <c r="O40" t="s">
        <v>1092</v>
      </c>
      <c r="P40" t="s">
        <v>1093</v>
      </c>
      <c r="Q40" t="s">
        <v>1094</v>
      </c>
      <c r="R40" t="s">
        <v>1095</v>
      </c>
      <c r="S40" t="s">
        <v>1096</v>
      </c>
      <c r="T40" t="s">
        <v>3677</v>
      </c>
      <c r="U40" t="s">
        <v>3678</v>
      </c>
      <c r="V40" t="s">
        <v>664</v>
      </c>
      <c r="W40" t="s">
        <v>3657</v>
      </c>
      <c r="X40" t="s">
        <v>3679</v>
      </c>
      <c r="Y40" t="s">
        <v>3680</v>
      </c>
      <c r="Z40" t="s">
        <v>3791</v>
      </c>
      <c r="AA40" t="s">
        <v>3792</v>
      </c>
      <c r="AB40" t="s">
        <v>664</v>
      </c>
      <c r="AC40" t="s">
        <v>6</v>
      </c>
      <c r="AD40" t="s">
        <v>52</v>
      </c>
      <c r="AE40" t="s">
        <v>6</v>
      </c>
      <c r="AF40" t="s">
        <v>9</v>
      </c>
      <c r="AG40" t="s">
        <v>9</v>
      </c>
      <c r="AH40" t="s">
        <v>3793</v>
      </c>
      <c r="AI40" t="s">
        <v>3797</v>
      </c>
      <c r="AJ40" t="s">
        <v>3793</v>
      </c>
      <c r="AK40" t="s">
        <v>3797</v>
      </c>
      <c r="AL40" t="s">
        <v>9</v>
      </c>
    </row>
    <row r="41" spans="1:38" ht="11.25" customHeight="1">
      <c r="A41" t="s">
        <v>9</v>
      </c>
      <c r="B41" t="s">
        <v>35</v>
      </c>
      <c r="C41" t="s">
        <v>37</v>
      </c>
      <c r="D41" t="s">
        <v>9</v>
      </c>
      <c r="E41" t="s">
        <v>3799</v>
      </c>
      <c r="F41" t="s">
        <v>3672</v>
      </c>
      <c r="G41" t="s">
        <v>1092</v>
      </c>
      <c r="H41" t="s">
        <v>1093</v>
      </c>
      <c r="I41" t="s">
        <v>1094</v>
      </c>
      <c r="J41" t="s">
        <v>1095</v>
      </c>
      <c r="K41" t="s">
        <v>1096</v>
      </c>
      <c r="L41" t="s">
        <v>3800</v>
      </c>
      <c r="M41" t="s">
        <v>3801</v>
      </c>
      <c r="N41" t="s">
        <v>161</v>
      </c>
      <c r="O41" t="s">
        <v>1092</v>
      </c>
      <c r="P41" t="s">
        <v>1093</v>
      </c>
      <c r="Q41" t="s">
        <v>1094</v>
      </c>
      <c r="R41" t="s">
        <v>1095</v>
      </c>
      <c r="S41" t="s">
        <v>1096</v>
      </c>
      <c r="T41" t="s">
        <v>3677</v>
      </c>
      <c r="U41" t="s">
        <v>3678</v>
      </c>
      <c r="V41" t="s">
        <v>664</v>
      </c>
      <c r="W41" t="s">
        <v>3657</v>
      </c>
      <c r="X41" t="s">
        <v>3679</v>
      </c>
      <c r="Y41" t="s">
        <v>3680</v>
      </c>
      <c r="Z41" t="s">
        <v>3802</v>
      </c>
      <c r="AA41" t="s">
        <v>3803</v>
      </c>
      <c r="AB41" t="s">
        <v>664</v>
      </c>
      <c r="AC41" t="s">
        <v>6</v>
      </c>
      <c r="AD41" t="s">
        <v>52</v>
      </c>
      <c r="AE41" t="s">
        <v>6</v>
      </c>
      <c r="AF41" t="s">
        <v>9</v>
      </c>
      <c r="AG41" t="s">
        <v>9</v>
      </c>
      <c r="AH41" t="s">
        <v>3804</v>
      </c>
      <c r="AI41" t="s">
        <v>3805</v>
      </c>
      <c r="AJ41" t="s">
        <v>3804</v>
      </c>
      <c r="AK41" t="s">
        <v>3805</v>
      </c>
      <c r="AL41" t="s">
        <v>9</v>
      </c>
    </row>
    <row r="42" spans="1:38" ht="11.25" customHeight="1">
      <c r="A42" t="s">
        <v>9</v>
      </c>
      <c r="B42" t="s">
        <v>35</v>
      </c>
      <c r="C42" t="s">
        <v>37</v>
      </c>
      <c r="D42" t="s">
        <v>9</v>
      </c>
      <c r="E42" t="s">
        <v>3806</v>
      </c>
      <c r="F42" t="s">
        <v>1046</v>
      </c>
      <c r="G42" t="s">
        <v>1092</v>
      </c>
      <c r="H42" t="s">
        <v>1093</v>
      </c>
      <c r="I42" t="s">
        <v>1094</v>
      </c>
      <c r="J42" t="s">
        <v>1095</v>
      </c>
      <c r="K42" t="s">
        <v>1096</v>
      </c>
      <c r="L42" t="s">
        <v>3800</v>
      </c>
      <c r="M42" t="s">
        <v>3801</v>
      </c>
      <c r="N42" t="s">
        <v>161</v>
      </c>
      <c r="O42" t="s">
        <v>1092</v>
      </c>
      <c r="P42" t="s">
        <v>1093</v>
      </c>
      <c r="Q42" t="s">
        <v>1094</v>
      </c>
      <c r="R42" t="s">
        <v>1095</v>
      </c>
      <c r="S42" t="s">
        <v>1096</v>
      </c>
      <c r="T42" t="s">
        <v>3677</v>
      </c>
      <c r="U42" t="s">
        <v>3678</v>
      </c>
      <c r="V42" t="s">
        <v>664</v>
      </c>
      <c r="W42" t="s">
        <v>3657</v>
      </c>
      <c r="X42" t="s">
        <v>3679</v>
      </c>
      <c r="Y42" t="s">
        <v>3680</v>
      </c>
      <c r="Z42" t="s">
        <v>3802</v>
      </c>
      <c r="AA42" t="s">
        <v>3803</v>
      </c>
      <c r="AB42" t="s">
        <v>664</v>
      </c>
      <c r="AC42" t="s">
        <v>52</v>
      </c>
      <c r="AD42" t="s">
        <v>52</v>
      </c>
      <c r="AE42" t="s">
        <v>52</v>
      </c>
      <c r="AF42" t="s">
        <v>3804</v>
      </c>
      <c r="AG42" t="s">
        <v>3805</v>
      </c>
      <c r="AH42" t="s">
        <v>3804</v>
      </c>
      <c r="AI42" t="s">
        <v>3805</v>
      </c>
      <c r="AJ42" t="s">
        <v>3804</v>
      </c>
      <c r="AK42" t="s">
        <v>3805</v>
      </c>
      <c r="AL42" t="s">
        <v>3662</v>
      </c>
    </row>
    <row r="43" spans="1:38" ht="11.25" customHeight="1">
      <c r="A43" t="s">
        <v>9</v>
      </c>
      <c r="B43" t="s">
        <v>35</v>
      </c>
      <c r="C43" t="s">
        <v>37</v>
      </c>
      <c r="D43" t="s">
        <v>9</v>
      </c>
      <c r="E43" t="s">
        <v>3807</v>
      </c>
      <c r="F43" t="s">
        <v>1046</v>
      </c>
      <c r="G43" t="s">
        <v>1092</v>
      </c>
      <c r="H43" t="s">
        <v>1093</v>
      </c>
      <c r="I43" t="s">
        <v>1094</v>
      </c>
      <c r="J43" t="s">
        <v>1095</v>
      </c>
      <c r="K43" t="s">
        <v>1096</v>
      </c>
      <c r="L43" t="s">
        <v>1052</v>
      </c>
      <c r="M43" t="s">
        <v>3808</v>
      </c>
      <c r="N43" t="s">
        <v>161</v>
      </c>
      <c r="O43" t="s">
        <v>1092</v>
      </c>
      <c r="P43" t="s">
        <v>1093</v>
      </c>
      <c r="Q43" t="s">
        <v>1094</v>
      </c>
      <c r="R43" t="s">
        <v>1095</v>
      </c>
      <c r="S43" t="s">
        <v>1096</v>
      </c>
      <c r="T43" t="s">
        <v>3677</v>
      </c>
      <c r="U43" t="s">
        <v>3678</v>
      </c>
      <c r="V43" t="s">
        <v>664</v>
      </c>
      <c r="W43" t="s">
        <v>3657</v>
      </c>
      <c r="X43" t="s">
        <v>3679</v>
      </c>
      <c r="Y43" t="s">
        <v>3680</v>
      </c>
      <c r="Z43" t="s">
        <v>3809</v>
      </c>
      <c r="AA43" t="s">
        <v>3810</v>
      </c>
      <c r="AB43" t="s">
        <v>664</v>
      </c>
      <c r="AC43" t="s">
        <v>52</v>
      </c>
      <c r="AD43" t="s">
        <v>52</v>
      </c>
      <c r="AE43" t="s">
        <v>52</v>
      </c>
      <c r="AF43" t="s">
        <v>955</v>
      </c>
      <c r="AG43" t="s">
        <v>3811</v>
      </c>
      <c r="AH43" t="s">
        <v>955</v>
      </c>
      <c r="AI43" t="s">
        <v>3811</v>
      </c>
      <c r="AJ43" t="s">
        <v>955</v>
      </c>
      <c r="AK43" t="s">
        <v>3811</v>
      </c>
      <c r="AL43" t="s">
        <v>3662</v>
      </c>
    </row>
    <row r="44" spans="1:38" ht="11.25" customHeight="1">
      <c r="A44" t="s">
        <v>9</v>
      </c>
      <c r="B44" t="s">
        <v>35</v>
      </c>
      <c r="C44" t="s">
        <v>37</v>
      </c>
      <c r="D44" t="s">
        <v>9</v>
      </c>
      <c r="E44" t="s">
        <v>3812</v>
      </c>
      <c r="F44" t="s">
        <v>3672</v>
      </c>
      <c r="G44" t="s">
        <v>1092</v>
      </c>
      <c r="H44" t="s">
        <v>1093</v>
      </c>
      <c r="I44" t="s">
        <v>1094</v>
      </c>
      <c r="J44" t="s">
        <v>1095</v>
      </c>
      <c r="K44" t="s">
        <v>1096</v>
      </c>
      <c r="L44" t="s">
        <v>1052</v>
      </c>
      <c r="M44" t="s">
        <v>3808</v>
      </c>
      <c r="N44" t="s">
        <v>161</v>
      </c>
      <c r="O44" t="s">
        <v>1092</v>
      </c>
      <c r="P44" t="s">
        <v>1093</v>
      </c>
      <c r="Q44" t="s">
        <v>1094</v>
      </c>
      <c r="R44" t="s">
        <v>1095</v>
      </c>
      <c r="S44" t="s">
        <v>1096</v>
      </c>
      <c r="T44" t="s">
        <v>3677</v>
      </c>
      <c r="U44" t="s">
        <v>3678</v>
      </c>
      <c r="V44" t="s">
        <v>664</v>
      </c>
      <c r="W44" t="s">
        <v>3657</v>
      </c>
      <c r="X44" t="s">
        <v>3679</v>
      </c>
      <c r="Y44" t="s">
        <v>3680</v>
      </c>
      <c r="Z44" t="s">
        <v>3809</v>
      </c>
      <c r="AA44" t="s">
        <v>3810</v>
      </c>
      <c r="AB44" t="s">
        <v>664</v>
      </c>
      <c r="AC44" t="s">
        <v>6</v>
      </c>
      <c r="AD44" t="s">
        <v>52</v>
      </c>
      <c r="AE44" t="s">
        <v>6</v>
      </c>
      <c r="AF44" t="s">
        <v>9</v>
      </c>
      <c r="AG44" t="s">
        <v>9</v>
      </c>
      <c r="AH44" t="s">
        <v>955</v>
      </c>
      <c r="AI44" t="s">
        <v>3811</v>
      </c>
      <c r="AJ44" t="s">
        <v>955</v>
      </c>
      <c r="AK44" t="s">
        <v>3811</v>
      </c>
      <c r="AL44" t="s">
        <v>9</v>
      </c>
    </row>
    <row r="45" spans="1:38" ht="11.25" customHeight="1">
      <c r="A45" t="s">
        <v>9</v>
      </c>
      <c r="B45" t="s">
        <v>35</v>
      </c>
      <c r="C45" t="s">
        <v>37</v>
      </c>
      <c r="D45" t="s">
        <v>9</v>
      </c>
      <c r="E45" t="s">
        <v>3813</v>
      </c>
      <c r="F45" t="s">
        <v>3672</v>
      </c>
      <c r="G45" t="s">
        <v>1092</v>
      </c>
      <c r="H45" t="s">
        <v>1093</v>
      </c>
      <c r="I45" t="s">
        <v>1094</v>
      </c>
      <c r="J45" t="s">
        <v>1095</v>
      </c>
      <c r="K45" t="s">
        <v>1096</v>
      </c>
      <c r="L45" t="s">
        <v>3814</v>
      </c>
      <c r="M45" t="s">
        <v>3815</v>
      </c>
      <c r="N45" t="s">
        <v>161</v>
      </c>
      <c r="O45" t="s">
        <v>1092</v>
      </c>
      <c r="P45" t="s">
        <v>1093</v>
      </c>
      <c r="Q45" t="s">
        <v>1094</v>
      </c>
      <c r="R45" t="s">
        <v>1095</v>
      </c>
      <c r="S45" t="s">
        <v>1096</v>
      </c>
      <c r="T45" t="s">
        <v>3677</v>
      </c>
      <c r="U45" t="s">
        <v>3678</v>
      </c>
      <c r="V45" t="s">
        <v>664</v>
      </c>
      <c r="W45" t="s">
        <v>3657</v>
      </c>
      <c r="X45" t="s">
        <v>3679</v>
      </c>
      <c r="Y45" t="s">
        <v>3680</v>
      </c>
      <c r="Z45" t="s">
        <v>3816</v>
      </c>
      <c r="AA45" t="s">
        <v>3803</v>
      </c>
      <c r="AB45" t="s">
        <v>664</v>
      </c>
      <c r="AC45" t="s">
        <v>6</v>
      </c>
      <c r="AD45" t="s">
        <v>52</v>
      </c>
      <c r="AE45" t="s">
        <v>6</v>
      </c>
      <c r="AF45" t="s">
        <v>9</v>
      </c>
      <c r="AG45" t="s">
        <v>9</v>
      </c>
      <c r="AH45" t="s">
        <v>823</v>
      </c>
      <c r="AI45" t="s">
        <v>3817</v>
      </c>
      <c r="AJ45" t="s">
        <v>823</v>
      </c>
      <c r="AK45" t="s">
        <v>3817</v>
      </c>
      <c r="AL45" t="s">
        <v>9</v>
      </c>
    </row>
    <row r="46" spans="1:38" ht="11.25" customHeight="1">
      <c r="A46" t="s">
        <v>9</v>
      </c>
      <c r="B46" t="s">
        <v>35</v>
      </c>
      <c r="C46" t="s">
        <v>37</v>
      </c>
      <c r="D46" t="s">
        <v>9</v>
      </c>
      <c r="E46" t="s">
        <v>3818</v>
      </c>
      <c r="F46" t="s">
        <v>1046</v>
      </c>
      <c r="G46" t="s">
        <v>1092</v>
      </c>
      <c r="H46" t="s">
        <v>1093</v>
      </c>
      <c r="I46" t="s">
        <v>1094</v>
      </c>
      <c r="J46" t="s">
        <v>1095</v>
      </c>
      <c r="K46" t="s">
        <v>1096</v>
      </c>
      <c r="L46" t="s">
        <v>3814</v>
      </c>
      <c r="M46" t="s">
        <v>3815</v>
      </c>
      <c r="N46" t="s">
        <v>161</v>
      </c>
      <c r="O46" t="s">
        <v>1092</v>
      </c>
      <c r="P46" t="s">
        <v>1093</v>
      </c>
      <c r="Q46" t="s">
        <v>1094</v>
      </c>
      <c r="R46" t="s">
        <v>1095</v>
      </c>
      <c r="S46" t="s">
        <v>1096</v>
      </c>
      <c r="T46" t="s">
        <v>3677</v>
      </c>
      <c r="U46" t="s">
        <v>3678</v>
      </c>
      <c r="V46" t="s">
        <v>664</v>
      </c>
      <c r="W46" t="s">
        <v>3657</v>
      </c>
      <c r="X46" t="s">
        <v>3679</v>
      </c>
      <c r="Y46" t="s">
        <v>3680</v>
      </c>
      <c r="Z46" t="s">
        <v>3816</v>
      </c>
      <c r="AA46" t="s">
        <v>3803</v>
      </c>
      <c r="AB46" t="s">
        <v>664</v>
      </c>
      <c r="AC46" t="s">
        <v>52</v>
      </c>
      <c r="AD46" t="s">
        <v>52</v>
      </c>
      <c r="AE46" t="s">
        <v>52</v>
      </c>
      <c r="AF46" t="s">
        <v>823</v>
      </c>
      <c r="AG46" t="s">
        <v>3817</v>
      </c>
      <c r="AH46" t="s">
        <v>823</v>
      </c>
      <c r="AI46" t="s">
        <v>3817</v>
      </c>
      <c r="AJ46" t="s">
        <v>823</v>
      </c>
      <c r="AK46" t="s">
        <v>3817</v>
      </c>
      <c r="AL46" t="s">
        <v>3662</v>
      </c>
    </row>
    <row r="47" spans="1:38" ht="11.25" customHeight="1">
      <c r="A47" t="s">
        <v>9</v>
      </c>
      <c r="B47" t="s">
        <v>35</v>
      </c>
      <c r="C47" t="s">
        <v>37</v>
      </c>
      <c r="D47" t="s">
        <v>9</v>
      </c>
      <c r="E47" t="s">
        <v>3736</v>
      </c>
      <c r="F47" t="s">
        <v>1046</v>
      </c>
      <c r="G47" t="s">
        <v>1092</v>
      </c>
      <c r="H47" t="s">
        <v>1093</v>
      </c>
      <c r="I47" t="s">
        <v>1094</v>
      </c>
      <c r="J47" t="s">
        <v>1095</v>
      </c>
      <c r="K47" t="s">
        <v>1096</v>
      </c>
      <c r="L47" t="s">
        <v>3819</v>
      </c>
      <c r="M47" t="s">
        <v>3815</v>
      </c>
      <c r="N47" t="s">
        <v>161</v>
      </c>
      <c r="O47" t="s">
        <v>1092</v>
      </c>
      <c r="P47" t="s">
        <v>1093</v>
      </c>
      <c r="Q47" t="s">
        <v>1094</v>
      </c>
      <c r="R47" t="s">
        <v>1095</v>
      </c>
      <c r="S47" t="s">
        <v>1096</v>
      </c>
      <c r="T47" t="s">
        <v>3655</v>
      </c>
      <c r="U47" t="s">
        <v>3659</v>
      </c>
      <c r="V47" t="s">
        <v>664</v>
      </c>
      <c r="W47" t="s">
        <v>3657</v>
      </c>
      <c r="X47" t="s">
        <v>3658</v>
      </c>
      <c r="Y47" t="s">
        <v>3659</v>
      </c>
      <c r="Z47" t="s">
        <v>3820</v>
      </c>
      <c r="AA47" t="s">
        <v>3821</v>
      </c>
      <c r="AB47" t="s">
        <v>664</v>
      </c>
      <c r="AC47" t="s">
        <v>52</v>
      </c>
      <c r="AD47" t="s">
        <v>52</v>
      </c>
      <c r="AE47" t="s">
        <v>52</v>
      </c>
      <c r="AF47" t="s">
        <v>3822</v>
      </c>
      <c r="AG47" t="s">
        <v>3823</v>
      </c>
      <c r="AH47" t="s">
        <v>3822</v>
      </c>
      <c r="AI47" t="s">
        <v>3823</v>
      </c>
      <c r="AJ47" t="s">
        <v>3822</v>
      </c>
      <c r="AK47" t="s">
        <v>3823</v>
      </c>
      <c r="AL47" t="s">
        <v>3662</v>
      </c>
    </row>
    <row r="48" spans="1:38" ht="11.25" customHeight="1">
      <c r="A48" t="s">
        <v>9</v>
      </c>
      <c r="B48" t="s">
        <v>35</v>
      </c>
      <c r="C48" t="s">
        <v>37</v>
      </c>
      <c r="D48" t="s">
        <v>9</v>
      </c>
      <c r="E48" t="s">
        <v>1098</v>
      </c>
      <c r="F48" t="s">
        <v>1046</v>
      </c>
      <c r="G48" t="s">
        <v>1092</v>
      </c>
      <c r="H48" t="s">
        <v>1093</v>
      </c>
      <c r="I48" t="s">
        <v>1094</v>
      </c>
      <c r="J48" t="s">
        <v>1095</v>
      </c>
      <c r="K48" t="s">
        <v>1096</v>
      </c>
      <c r="L48" t="s">
        <v>1087</v>
      </c>
      <c r="M48" t="s">
        <v>1099</v>
      </c>
      <c r="N48" t="s">
        <v>161</v>
      </c>
      <c r="O48" t="s">
        <v>1092</v>
      </c>
      <c r="P48" t="s">
        <v>1093</v>
      </c>
      <c r="Q48" t="s">
        <v>1094</v>
      </c>
      <c r="R48" t="s">
        <v>1095</v>
      </c>
      <c r="S48" t="s">
        <v>1096</v>
      </c>
      <c r="T48" t="s">
        <v>3677</v>
      </c>
      <c r="U48" t="s">
        <v>3678</v>
      </c>
      <c r="V48" t="s">
        <v>664</v>
      </c>
      <c r="W48" t="s">
        <v>3657</v>
      </c>
      <c r="X48" t="s">
        <v>3824</v>
      </c>
      <c r="Y48" t="s">
        <v>3680</v>
      </c>
      <c r="Z48" t="s">
        <v>1053</v>
      </c>
      <c r="AA48" t="s">
        <v>996</v>
      </c>
      <c r="AB48" t="s">
        <v>664</v>
      </c>
      <c r="AC48" t="s">
        <v>52</v>
      </c>
      <c r="AD48" t="s">
        <v>52</v>
      </c>
      <c r="AE48" t="s">
        <v>52</v>
      </c>
      <c r="AF48" t="s">
        <v>131</v>
      </c>
      <c r="AG48" t="s">
        <v>3825</v>
      </c>
      <c r="AH48" t="s">
        <v>131</v>
      </c>
      <c r="AI48" t="s">
        <v>3825</v>
      </c>
      <c r="AJ48" t="s">
        <v>131</v>
      </c>
      <c r="AK48" t="s">
        <v>3825</v>
      </c>
      <c r="AL48" t="s">
        <v>3662</v>
      </c>
    </row>
    <row r="49" spans="1:38" ht="11.25" customHeight="1">
      <c r="A49" t="s">
        <v>9</v>
      </c>
      <c r="B49" t="s">
        <v>35</v>
      </c>
      <c r="C49" t="s">
        <v>37</v>
      </c>
      <c r="D49" t="s">
        <v>9</v>
      </c>
      <c r="E49" t="s">
        <v>1098</v>
      </c>
      <c r="F49" t="s">
        <v>3672</v>
      </c>
      <c r="G49" t="s">
        <v>1092</v>
      </c>
      <c r="H49" t="s">
        <v>1093</v>
      </c>
      <c r="I49" t="s">
        <v>1094</v>
      </c>
      <c r="J49" t="s">
        <v>1095</v>
      </c>
      <c r="K49" t="s">
        <v>1096</v>
      </c>
      <c r="L49" t="s">
        <v>1087</v>
      </c>
      <c r="M49" t="s">
        <v>1099</v>
      </c>
      <c r="N49" t="s">
        <v>161</v>
      </c>
      <c r="O49" t="s">
        <v>1092</v>
      </c>
      <c r="P49" t="s">
        <v>1093</v>
      </c>
      <c r="Q49" t="s">
        <v>1094</v>
      </c>
      <c r="R49" t="s">
        <v>1095</v>
      </c>
      <c r="S49" t="s">
        <v>1096</v>
      </c>
      <c r="T49" t="s">
        <v>3677</v>
      </c>
      <c r="U49" t="s">
        <v>3678</v>
      </c>
      <c r="V49" t="s">
        <v>664</v>
      </c>
      <c r="W49" t="s">
        <v>3657</v>
      </c>
      <c r="X49" t="s">
        <v>3824</v>
      </c>
      <c r="Y49" t="s">
        <v>3680</v>
      </c>
      <c r="Z49" t="s">
        <v>1053</v>
      </c>
      <c r="AA49" t="s">
        <v>996</v>
      </c>
      <c r="AB49" t="s">
        <v>664</v>
      </c>
      <c r="AC49" t="s">
        <v>6</v>
      </c>
      <c r="AD49" t="s">
        <v>52</v>
      </c>
      <c r="AE49" t="s">
        <v>6</v>
      </c>
      <c r="AF49" t="s">
        <v>9</v>
      </c>
      <c r="AG49" t="s">
        <v>9</v>
      </c>
      <c r="AH49" t="s">
        <v>131</v>
      </c>
      <c r="AI49" t="s">
        <v>3825</v>
      </c>
      <c r="AJ49" t="s">
        <v>131</v>
      </c>
      <c r="AK49" t="s">
        <v>3825</v>
      </c>
      <c r="AL49" t="s">
        <v>9</v>
      </c>
    </row>
    <row r="50" spans="1:38" ht="11.25" customHeight="1">
      <c r="A50" t="s">
        <v>9</v>
      </c>
      <c r="B50" t="s">
        <v>35</v>
      </c>
      <c r="C50" t="s">
        <v>37</v>
      </c>
      <c r="D50" t="s">
        <v>9</v>
      </c>
      <c r="E50" t="s">
        <v>1100</v>
      </c>
      <c r="F50" t="s">
        <v>1046</v>
      </c>
      <c r="G50" t="s">
        <v>1092</v>
      </c>
      <c r="H50" t="s">
        <v>1093</v>
      </c>
      <c r="I50" t="s">
        <v>1094</v>
      </c>
      <c r="J50" t="s">
        <v>1095</v>
      </c>
      <c r="K50" t="s">
        <v>1096</v>
      </c>
      <c r="L50" t="s">
        <v>1101</v>
      </c>
      <c r="M50" t="s">
        <v>1053</v>
      </c>
      <c r="N50" t="s">
        <v>161</v>
      </c>
      <c r="O50" t="s">
        <v>1092</v>
      </c>
      <c r="P50" t="s">
        <v>1093</v>
      </c>
      <c r="Q50" t="s">
        <v>1094</v>
      </c>
      <c r="R50" t="s">
        <v>1095</v>
      </c>
      <c r="S50" t="s">
        <v>1096</v>
      </c>
      <c r="T50" t="s">
        <v>3677</v>
      </c>
      <c r="U50" t="s">
        <v>3678</v>
      </c>
      <c r="V50" t="s">
        <v>664</v>
      </c>
      <c r="W50" t="s">
        <v>3657</v>
      </c>
      <c r="X50" t="s">
        <v>3824</v>
      </c>
      <c r="Y50" t="s">
        <v>3680</v>
      </c>
      <c r="Z50" t="s">
        <v>1053</v>
      </c>
      <c r="AA50" t="s">
        <v>3826</v>
      </c>
      <c r="AB50" t="s">
        <v>664</v>
      </c>
      <c r="AC50" t="s">
        <v>52</v>
      </c>
      <c r="AD50" t="s">
        <v>52</v>
      </c>
      <c r="AE50" t="s">
        <v>52</v>
      </c>
      <c r="AF50" t="s">
        <v>856</v>
      </c>
      <c r="AG50" t="s">
        <v>3827</v>
      </c>
      <c r="AH50" t="s">
        <v>856</v>
      </c>
      <c r="AI50" t="s">
        <v>3827</v>
      </c>
      <c r="AJ50" t="s">
        <v>856</v>
      </c>
      <c r="AK50" t="s">
        <v>3827</v>
      </c>
      <c r="AL50" t="s">
        <v>3662</v>
      </c>
    </row>
    <row r="51" spans="1:38" ht="11.25" customHeight="1">
      <c r="A51" t="s">
        <v>9</v>
      </c>
      <c r="B51" t="s">
        <v>35</v>
      </c>
      <c r="C51" t="s">
        <v>37</v>
      </c>
      <c r="D51" t="s">
        <v>9</v>
      </c>
      <c r="E51" t="s">
        <v>1100</v>
      </c>
      <c r="F51" t="s">
        <v>3672</v>
      </c>
      <c r="G51" t="s">
        <v>1092</v>
      </c>
      <c r="H51" t="s">
        <v>1093</v>
      </c>
      <c r="I51" t="s">
        <v>1094</v>
      </c>
      <c r="J51" t="s">
        <v>1095</v>
      </c>
      <c r="K51" t="s">
        <v>1096</v>
      </c>
      <c r="L51" t="s">
        <v>1101</v>
      </c>
      <c r="M51" t="s">
        <v>1053</v>
      </c>
      <c r="N51" t="s">
        <v>161</v>
      </c>
      <c r="O51" t="s">
        <v>1092</v>
      </c>
      <c r="P51" t="s">
        <v>1093</v>
      </c>
      <c r="Q51" t="s">
        <v>1094</v>
      </c>
      <c r="R51" t="s">
        <v>1095</v>
      </c>
      <c r="S51" t="s">
        <v>1096</v>
      </c>
      <c r="T51" t="s">
        <v>3677</v>
      </c>
      <c r="U51" t="s">
        <v>3678</v>
      </c>
      <c r="V51" t="s">
        <v>664</v>
      </c>
      <c r="W51" t="s">
        <v>3657</v>
      </c>
      <c r="X51" t="s">
        <v>3824</v>
      </c>
      <c r="Y51" t="s">
        <v>3680</v>
      </c>
      <c r="Z51" t="s">
        <v>1053</v>
      </c>
      <c r="AA51" t="s">
        <v>3826</v>
      </c>
      <c r="AB51" t="s">
        <v>664</v>
      </c>
      <c r="AC51" t="s">
        <v>6</v>
      </c>
      <c r="AD51" t="s">
        <v>52</v>
      </c>
      <c r="AE51" t="s">
        <v>6</v>
      </c>
      <c r="AF51" t="s">
        <v>9</v>
      </c>
      <c r="AG51" t="s">
        <v>9</v>
      </c>
      <c r="AH51" t="s">
        <v>856</v>
      </c>
      <c r="AI51" t="s">
        <v>3828</v>
      </c>
      <c r="AJ51" t="s">
        <v>856</v>
      </c>
      <c r="AK51" t="s">
        <v>3828</v>
      </c>
      <c r="AL51" t="s">
        <v>9</v>
      </c>
    </row>
    <row r="52" spans="1:38" ht="11.25" customHeight="1">
      <c r="A52" t="s">
        <v>9</v>
      </c>
      <c r="B52" t="s">
        <v>35</v>
      </c>
      <c r="C52" t="s">
        <v>37</v>
      </c>
      <c r="D52" t="s">
        <v>9</v>
      </c>
      <c r="E52" t="s">
        <v>1091</v>
      </c>
      <c r="F52" t="s">
        <v>1046</v>
      </c>
      <c r="G52" t="s">
        <v>1092</v>
      </c>
      <c r="H52" t="s">
        <v>1093</v>
      </c>
      <c r="I52" t="s">
        <v>1094</v>
      </c>
      <c r="J52" t="s">
        <v>1095</v>
      </c>
      <c r="K52" t="s">
        <v>1096</v>
      </c>
      <c r="L52" t="s">
        <v>1083</v>
      </c>
      <c r="M52" t="s">
        <v>1097</v>
      </c>
      <c r="N52" t="s">
        <v>161</v>
      </c>
      <c r="O52" t="s">
        <v>1092</v>
      </c>
      <c r="P52" t="s">
        <v>1093</v>
      </c>
      <c r="Q52" t="s">
        <v>1094</v>
      </c>
      <c r="R52" t="s">
        <v>1095</v>
      </c>
      <c r="S52" t="s">
        <v>1096</v>
      </c>
      <c r="T52" t="s">
        <v>3677</v>
      </c>
      <c r="U52" t="s">
        <v>3678</v>
      </c>
      <c r="V52" t="s">
        <v>664</v>
      </c>
      <c r="W52" t="s">
        <v>3657</v>
      </c>
      <c r="X52" t="s">
        <v>3824</v>
      </c>
      <c r="Y52" t="s">
        <v>3680</v>
      </c>
      <c r="Z52" t="s">
        <v>1053</v>
      </c>
      <c r="AA52" t="s">
        <v>3829</v>
      </c>
      <c r="AB52" t="s">
        <v>664</v>
      </c>
      <c r="AC52" t="s">
        <v>52</v>
      </c>
      <c r="AD52" t="s">
        <v>52</v>
      </c>
      <c r="AE52" t="s">
        <v>52</v>
      </c>
      <c r="AF52" t="s">
        <v>131</v>
      </c>
      <c r="AG52" t="s">
        <v>3830</v>
      </c>
      <c r="AH52" t="s">
        <v>131</v>
      </c>
      <c r="AI52" t="s">
        <v>3830</v>
      </c>
      <c r="AJ52" t="s">
        <v>131</v>
      </c>
      <c r="AK52" t="s">
        <v>3830</v>
      </c>
      <c r="AL52" t="s">
        <v>3662</v>
      </c>
    </row>
    <row r="53" spans="1:38" ht="11.25" customHeight="1">
      <c r="A53" t="s">
        <v>9</v>
      </c>
      <c r="B53" t="s">
        <v>35</v>
      </c>
      <c r="C53" t="s">
        <v>37</v>
      </c>
      <c r="D53" t="s">
        <v>9</v>
      </c>
      <c r="E53" t="s">
        <v>3831</v>
      </c>
      <c r="F53" t="s">
        <v>1046</v>
      </c>
      <c r="G53" t="s">
        <v>1092</v>
      </c>
      <c r="H53" t="s">
        <v>3131</v>
      </c>
      <c r="I53" t="s">
        <v>3132</v>
      </c>
      <c r="J53" t="s">
        <v>3832</v>
      </c>
      <c r="K53" t="s">
        <v>3833</v>
      </c>
      <c r="L53" t="s">
        <v>3834</v>
      </c>
      <c r="M53" t="s">
        <v>3835</v>
      </c>
      <c r="N53" t="s">
        <v>161</v>
      </c>
      <c r="O53" t="s">
        <v>1092</v>
      </c>
      <c r="P53" t="s">
        <v>3131</v>
      </c>
      <c r="Q53" t="s">
        <v>3132</v>
      </c>
      <c r="R53" t="s">
        <v>3832</v>
      </c>
      <c r="S53" t="s">
        <v>3833</v>
      </c>
      <c r="T53" t="s">
        <v>3655</v>
      </c>
      <c r="U53" t="s">
        <v>3659</v>
      </c>
      <c r="V53" t="s">
        <v>664</v>
      </c>
      <c r="W53" t="s">
        <v>3657</v>
      </c>
      <c r="X53" t="s">
        <v>3658</v>
      </c>
      <c r="Y53" t="s">
        <v>3659</v>
      </c>
      <c r="Z53" t="s">
        <v>3836</v>
      </c>
      <c r="AA53" t="s">
        <v>3837</v>
      </c>
      <c r="AB53" t="s">
        <v>664</v>
      </c>
      <c r="AC53" t="s">
        <v>52</v>
      </c>
      <c r="AD53" t="s">
        <v>52</v>
      </c>
      <c r="AE53" t="s">
        <v>52</v>
      </c>
      <c r="AF53" t="s">
        <v>3838</v>
      </c>
      <c r="AG53" t="s">
        <v>3839</v>
      </c>
      <c r="AH53" t="s">
        <v>3838</v>
      </c>
      <c r="AI53" t="s">
        <v>3839</v>
      </c>
      <c r="AJ53" t="s">
        <v>3838</v>
      </c>
      <c r="AK53" t="s">
        <v>3839</v>
      </c>
      <c r="AL53" t="s">
        <v>3662</v>
      </c>
    </row>
    <row r="54" spans="1:38" ht="11.25" customHeight="1">
      <c r="A54" t="s">
        <v>9</v>
      </c>
      <c r="B54" t="s">
        <v>35</v>
      </c>
      <c r="C54" t="s">
        <v>37</v>
      </c>
      <c r="D54" t="s">
        <v>9</v>
      </c>
      <c r="E54" t="s">
        <v>3731</v>
      </c>
      <c r="F54" t="s">
        <v>1046</v>
      </c>
      <c r="G54" t="s">
        <v>1092</v>
      </c>
      <c r="H54" t="s">
        <v>3131</v>
      </c>
      <c r="I54" t="s">
        <v>3132</v>
      </c>
      <c r="J54" t="s">
        <v>3832</v>
      </c>
      <c r="K54" t="s">
        <v>3833</v>
      </c>
      <c r="L54" t="s">
        <v>3840</v>
      </c>
      <c r="M54" t="s">
        <v>3841</v>
      </c>
      <c r="N54" t="s">
        <v>161</v>
      </c>
      <c r="O54" t="s">
        <v>1092</v>
      </c>
      <c r="P54" t="s">
        <v>3131</v>
      </c>
      <c r="Q54" t="s">
        <v>3132</v>
      </c>
      <c r="R54" t="s">
        <v>3832</v>
      </c>
      <c r="S54" t="s">
        <v>3833</v>
      </c>
      <c r="T54" t="s">
        <v>3655</v>
      </c>
      <c r="U54" t="s">
        <v>3656</v>
      </c>
      <c r="V54" t="s">
        <v>664</v>
      </c>
      <c r="W54" t="s">
        <v>3657</v>
      </c>
      <c r="X54" t="s">
        <v>3658</v>
      </c>
      <c r="Y54" t="s">
        <v>3659</v>
      </c>
      <c r="Z54" t="s">
        <v>3842</v>
      </c>
      <c r="AA54" t="s">
        <v>3843</v>
      </c>
      <c r="AB54" t="s">
        <v>664</v>
      </c>
      <c r="AC54" t="s">
        <v>52</v>
      </c>
      <c r="AD54" t="s">
        <v>52</v>
      </c>
      <c r="AE54" t="s">
        <v>52</v>
      </c>
      <c r="AF54" t="s">
        <v>3844</v>
      </c>
      <c r="AG54" t="s">
        <v>3845</v>
      </c>
      <c r="AH54" t="s">
        <v>3844</v>
      </c>
      <c r="AI54" t="s">
        <v>3845</v>
      </c>
      <c r="AJ54" t="s">
        <v>3844</v>
      </c>
      <c r="AK54" t="s">
        <v>3845</v>
      </c>
      <c r="AL54" t="s">
        <v>3662</v>
      </c>
    </row>
    <row r="55" spans="1:38" ht="11.25" customHeight="1">
      <c r="A55" t="s">
        <v>9</v>
      </c>
      <c r="B55" t="s">
        <v>35</v>
      </c>
      <c r="C55" t="s">
        <v>37</v>
      </c>
      <c r="D55" t="s">
        <v>9</v>
      </c>
      <c r="E55" t="s">
        <v>3846</v>
      </c>
      <c r="F55" t="s">
        <v>3672</v>
      </c>
      <c r="G55" t="s">
        <v>1092</v>
      </c>
      <c r="H55" t="s">
        <v>3131</v>
      </c>
      <c r="I55" t="s">
        <v>3132</v>
      </c>
      <c r="J55" t="s">
        <v>3832</v>
      </c>
      <c r="K55" t="s">
        <v>3833</v>
      </c>
      <c r="L55" t="s">
        <v>3847</v>
      </c>
      <c r="M55" t="s">
        <v>1053</v>
      </c>
      <c r="N55" t="s">
        <v>161</v>
      </c>
      <c r="O55" t="s">
        <v>1092</v>
      </c>
      <c r="P55" t="s">
        <v>3131</v>
      </c>
      <c r="Q55" t="s">
        <v>3132</v>
      </c>
      <c r="R55" t="s">
        <v>3832</v>
      </c>
      <c r="S55" t="s">
        <v>3833</v>
      </c>
      <c r="T55" t="s">
        <v>3655</v>
      </c>
      <c r="U55" t="s">
        <v>3656</v>
      </c>
      <c r="V55" t="s">
        <v>664</v>
      </c>
      <c r="W55" t="s">
        <v>3657</v>
      </c>
      <c r="X55" t="s">
        <v>3658</v>
      </c>
      <c r="Y55" t="s">
        <v>3659</v>
      </c>
      <c r="Z55" t="s">
        <v>3842</v>
      </c>
      <c r="AA55" t="s">
        <v>3843</v>
      </c>
      <c r="AB55" t="s">
        <v>664</v>
      </c>
      <c r="AC55" t="s">
        <v>6</v>
      </c>
      <c r="AD55" t="s">
        <v>52</v>
      </c>
      <c r="AE55" t="s">
        <v>6</v>
      </c>
      <c r="AF55" t="s">
        <v>9</v>
      </c>
      <c r="AG55" t="s">
        <v>9</v>
      </c>
      <c r="AH55" t="s">
        <v>3844</v>
      </c>
      <c r="AI55" t="s">
        <v>3845</v>
      </c>
      <c r="AJ55" t="s">
        <v>3844</v>
      </c>
      <c r="AK55" t="s">
        <v>3845</v>
      </c>
      <c r="AL55" t="s">
        <v>9</v>
      </c>
    </row>
    <row r="56" spans="1:38" ht="11.25" customHeight="1">
      <c r="A56" t="s">
        <v>9</v>
      </c>
      <c r="B56" t="s">
        <v>35</v>
      </c>
      <c r="C56" t="s">
        <v>37</v>
      </c>
      <c r="D56" t="s">
        <v>9</v>
      </c>
      <c r="E56" t="s">
        <v>3848</v>
      </c>
      <c r="F56" t="s">
        <v>3672</v>
      </c>
      <c r="G56" t="s">
        <v>1092</v>
      </c>
      <c r="H56" t="s">
        <v>3131</v>
      </c>
      <c r="I56" t="s">
        <v>3132</v>
      </c>
      <c r="J56" t="s">
        <v>3832</v>
      </c>
      <c r="K56" t="s">
        <v>3833</v>
      </c>
      <c r="L56" t="s">
        <v>3847</v>
      </c>
      <c r="M56" t="s">
        <v>1053</v>
      </c>
      <c r="N56" t="s">
        <v>161</v>
      </c>
      <c r="O56" t="s">
        <v>1092</v>
      </c>
      <c r="P56" t="s">
        <v>3131</v>
      </c>
      <c r="Q56" t="s">
        <v>3132</v>
      </c>
      <c r="R56" t="s">
        <v>3832</v>
      </c>
      <c r="S56" t="s">
        <v>3833</v>
      </c>
      <c r="T56" t="s">
        <v>3655</v>
      </c>
      <c r="U56" t="s">
        <v>3656</v>
      </c>
      <c r="V56" t="s">
        <v>664</v>
      </c>
      <c r="W56" t="s">
        <v>3657</v>
      </c>
      <c r="X56" t="s">
        <v>3658</v>
      </c>
      <c r="Y56" t="s">
        <v>3659</v>
      </c>
      <c r="Z56" t="s">
        <v>3842</v>
      </c>
      <c r="AA56" t="s">
        <v>3843</v>
      </c>
      <c r="AB56" t="s">
        <v>664</v>
      </c>
      <c r="AC56" t="s">
        <v>6</v>
      </c>
      <c r="AD56" t="s">
        <v>52</v>
      </c>
      <c r="AE56" t="s">
        <v>6</v>
      </c>
      <c r="AF56" t="s">
        <v>9</v>
      </c>
      <c r="AG56" t="s">
        <v>9</v>
      </c>
      <c r="AH56" t="s">
        <v>3844</v>
      </c>
      <c r="AI56" t="s">
        <v>3845</v>
      </c>
      <c r="AJ56" t="s">
        <v>3844</v>
      </c>
      <c r="AK56" t="s">
        <v>3845</v>
      </c>
      <c r="AL56" t="s">
        <v>9</v>
      </c>
    </row>
    <row r="57" spans="1:38" ht="11.25" customHeight="1">
      <c r="A57" t="s">
        <v>9</v>
      </c>
      <c r="B57" t="s">
        <v>35</v>
      </c>
      <c r="C57" t="s">
        <v>37</v>
      </c>
      <c r="D57" t="s">
        <v>9</v>
      </c>
      <c r="E57" t="s">
        <v>1045</v>
      </c>
      <c r="F57" t="s">
        <v>1046</v>
      </c>
      <c r="G57" t="s">
        <v>3167</v>
      </c>
      <c r="H57" t="s">
        <v>3175</v>
      </c>
      <c r="I57" t="s">
        <v>3176</v>
      </c>
      <c r="J57" t="s">
        <v>3849</v>
      </c>
      <c r="K57" t="s">
        <v>3850</v>
      </c>
      <c r="L57" t="s">
        <v>3175</v>
      </c>
      <c r="M57" t="s">
        <v>1053</v>
      </c>
      <c r="N57" t="s">
        <v>161</v>
      </c>
      <c r="O57" t="s">
        <v>3167</v>
      </c>
      <c r="P57" t="s">
        <v>3175</v>
      </c>
      <c r="Q57" t="s">
        <v>3176</v>
      </c>
      <c r="R57" t="s">
        <v>3849</v>
      </c>
      <c r="S57" t="s">
        <v>3850</v>
      </c>
      <c r="T57" t="s">
        <v>3677</v>
      </c>
      <c r="U57" t="s">
        <v>3678</v>
      </c>
      <c r="V57" t="s">
        <v>664</v>
      </c>
      <c r="W57" t="s">
        <v>3657</v>
      </c>
      <c r="X57" t="s">
        <v>3824</v>
      </c>
      <c r="Y57" t="s">
        <v>3680</v>
      </c>
      <c r="Z57" t="s">
        <v>3851</v>
      </c>
      <c r="AA57" t="s">
        <v>3852</v>
      </c>
      <c r="AB57" t="s">
        <v>664</v>
      </c>
      <c r="AC57" t="s">
        <v>52</v>
      </c>
      <c r="AD57" t="s">
        <v>52</v>
      </c>
      <c r="AE57" t="s">
        <v>52</v>
      </c>
      <c r="AF57" t="s">
        <v>3853</v>
      </c>
      <c r="AG57" t="s">
        <v>3854</v>
      </c>
      <c r="AH57" t="s">
        <v>3853</v>
      </c>
      <c r="AI57" t="s">
        <v>3854</v>
      </c>
      <c r="AJ57" t="s">
        <v>3853</v>
      </c>
      <c r="AK57" t="s">
        <v>3854</v>
      </c>
      <c r="AL57" t="s">
        <v>3662</v>
      </c>
    </row>
    <row r="58" spans="1:38" ht="11.25" customHeight="1">
      <c r="A58" t="s">
        <v>9</v>
      </c>
      <c r="B58" t="s">
        <v>35</v>
      </c>
      <c r="C58" t="s">
        <v>37</v>
      </c>
      <c r="D58" t="s">
        <v>9</v>
      </c>
      <c r="E58" t="s">
        <v>1045</v>
      </c>
      <c r="F58" t="s">
        <v>3672</v>
      </c>
      <c r="G58" t="s">
        <v>3167</v>
      </c>
      <c r="H58" t="s">
        <v>3175</v>
      </c>
      <c r="I58" t="s">
        <v>3176</v>
      </c>
      <c r="J58" t="s">
        <v>3849</v>
      </c>
      <c r="K58" t="s">
        <v>3850</v>
      </c>
      <c r="L58" t="s">
        <v>3175</v>
      </c>
      <c r="M58" t="s">
        <v>1053</v>
      </c>
      <c r="N58" t="s">
        <v>161</v>
      </c>
      <c r="O58" t="s">
        <v>3167</v>
      </c>
      <c r="P58" t="s">
        <v>3175</v>
      </c>
      <c r="Q58" t="s">
        <v>3176</v>
      </c>
      <c r="R58" t="s">
        <v>3849</v>
      </c>
      <c r="S58" t="s">
        <v>3850</v>
      </c>
      <c r="T58" t="s">
        <v>3677</v>
      </c>
      <c r="U58" t="s">
        <v>3678</v>
      </c>
      <c r="V58" t="s">
        <v>664</v>
      </c>
      <c r="W58" t="s">
        <v>3657</v>
      </c>
      <c r="X58" t="s">
        <v>3824</v>
      </c>
      <c r="Y58" t="s">
        <v>3680</v>
      </c>
      <c r="Z58" t="s">
        <v>3851</v>
      </c>
      <c r="AA58" t="s">
        <v>3852</v>
      </c>
      <c r="AB58" t="s">
        <v>664</v>
      </c>
      <c r="AC58" t="s">
        <v>6</v>
      </c>
      <c r="AD58" t="s">
        <v>52</v>
      </c>
      <c r="AE58" t="s">
        <v>6</v>
      </c>
      <c r="AF58" t="s">
        <v>9</v>
      </c>
      <c r="AG58" t="s">
        <v>9</v>
      </c>
      <c r="AH58" t="s">
        <v>3853</v>
      </c>
      <c r="AI58" t="s">
        <v>3854</v>
      </c>
      <c r="AJ58" t="s">
        <v>3853</v>
      </c>
      <c r="AK58" t="s">
        <v>3854</v>
      </c>
      <c r="AL58" t="s">
        <v>9</v>
      </c>
    </row>
    <row r="59" spans="1:38" ht="11.25" customHeight="1">
      <c r="A59" t="s">
        <v>9</v>
      </c>
      <c r="B59" t="s">
        <v>35</v>
      </c>
      <c r="C59" t="s">
        <v>37</v>
      </c>
      <c r="D59" t="s">
        <v>9</v>
      </c>
      <c r="E59" t="s">
        <v>1045</v>
      </c>
      <c r="F59" t="s">
        <v>1046</v>
      </c>
      <c r="G59" t="s">
        <v>3179</v>
      </c>
      <c r="H59" t="s">
        <v>3183</v>
      </c>
      <c r="I59" t="s">
        <v>3184</v>
      </c>
      <c r="J59" t="s">
        <v>3855</v>
      </c>
      <c r="K59" t="s">
        <v>3856</v>
      </c>
      <c r="L59" t="s">
        <v>3857</v>
      </c>
      <c r="M59" t="s">
        <v>3858</v>
      </c>
      <c r="N59" t="s">
        <v>161</v>
      </c>
      <c r="O59" t="s">
        <v>3179</v>
      </c>
      <c r="P59" t="s">
        <v>3183</v>
      </c>
      <c r="Q59" t="s">
        <v>3184</v>
      </c>
      <c r="R59" t="s">
        <v>3855</v>
      </c>
      <c r="S59" t="s">
        <v>3856</v>
      </c>
      <c r="T59" t="s">
        <v>3677</v>
      </c>
      <c r="U59" t="s">
        <v>3678</v>
      </c>
      <c r="V59" t="s">
        <v>664</v>
      </c>
      <c r="W59" t="s">
        <v>3657</v>
      </c>
      <c r="X59" t="s">
        <v>3679</v>
      </c>
      <c r="Y59" t="s">
        <v>3680</v>
      </c>
      <c r="Z59" t="s">
        <v>3859</v>
      </c>
      <c r="AA59" t="s">
        <v>3860</v>
      </c>
      <c r="AB59" t="s">
        <v>664</v>
      </c>
      <c r="AC59" t="s">
        <v>52</v>
      </c>
      <c r="AD59" t="s">
        <v>52</v>
      </c>
      <c r="AE59" t="s">
        <v>52</v>
      </c>
      <c r="AF59" t="s">
        <v>3861</v>
      </c>
      <c r="AG59" t="s">
        <v>3862</v>
      </c>
      <c r="AH59" t="s">
        <v>3861</v>
      </c>
      <c r="AI59" t="s">
        <v>3862</v>
      </c>
      <c r="AJ59" t="s">
        <v>3861</v>
      </c>
      <c r="AK59" t="s">
        <v>3862</v>
      </c>
      <c r="AL59" t="s">
        <v>3662</v>
      </c>
    </row>
    <row r="60" spans="1:38" ht="11.25" customHeight="1">
      <c r="A60" t="s">
        <v>9</v>
      </c>
      <c r="B60" t="s">
        <v>35</v>
      </c>
      <c r="C60" t="s">
        <v>37</v>
      </c>
      <c r="D60" t="s">
        <v>9</v>
      </c>
      <c r="E60" t="s">
        <v>1058</v>
      </c>
      <c r="F60" t="s">
        <v>1046</v>
      </c>
      <c r="G60" t="s">
        <v>3179</v>
      </c>
      <c r="H60" t="s">
        <v>3183</v>
      </c>
      <c r="I60" t="s">
        <v>3184</v>
      </c>
      <c r="J60" t="s">
        <v>3855</v>
      </c>
      <c r="K60" t="s">
        <v>3856</v>
      </c>
      <c r="L60" t="s">
        <v>3863</v>
      </c>
      <c r="M60" t="s">
        <v>1053</v>
      </c>
      <c r="N60" t="s">
        <v>161</v>
      </c>
      <c r="O60" t="s">
        <v>3179</v>
      </c>
      <c r="P60" t="s">
        <v>3183</v>
      </c>
      <c r="Q60" t="s">
        <v>3184</v>
      </c>
      <c r="R60" t="s">
        <v>3855</v>
      </c>
      <c r="S60" t="s">
        <v>3856</v>
      </c>
      <c r="T60" t="s">
        <v>3677</v>
      </c>
      <c r="U60" t="s">
        <v>3678</v>
      </c>
      <c r="V60" t="s">
        <v>664</v>
      </c>
      <c r="W60" t="s">
        <v>3657</v>
      </c>
      <c r="X60" t="s">
        <v>3679</v>
      </c>
      <c r="Y60" t="s">
        <v>3680</v>
      </c>
      <c r="Z60" t="s">
        <v>3864</v>
      </c>
      <c r="AA60" t="s">
        <v>3860</v>
      </c>
      <c r="AB60" t="s">
        <v>664</v>
      </c>
      <c r="AC60" t="s">
        <v>52</v>
      </c>
      <c r="AD60" t="s">
        <v>52</v>
      </c>
      <c r="AE60" t="s">
        <v>52</v>
      </c>
      <c r="AF60" t="s">
        <v>3865</v>
      </c>
      <c r="AG60" t="s">
        <v>3866</v>
      </c>
      <c r="AH60" t="s">
        <v>3865</v>
      </c>
      <c r="AI60" t="s">
        <v>3866</v>
      </c>
      <c r="AJ60" t="s">
        <v>3865</v>
      </c>
      <c r="AK60" t="s">
        <v>3866</v>
      </c>
      <c r="AL60" t="s">
        <v>3662</v>
      </c>
    </row>
    <row r="61" spans="1:38" ht="11.25" customHeight="1">
      <c r="A61" t="s">
        <v>9</v>
      </c>
      <c r="B61" t="s">
        <v>35</v>
      </c>
      <c r="C61" t="s">
        <v>37</v>
      </c>
      <c r="D61" t="s">
        <v>9</v>
      </c>
      <c r="E61" t="s">
        <v>3799</v>
      </c>
      <c r="F61" t="s">
        <v>3672</v>
      </c>
      <c r="G61" t="s">
        <v>3179</v>
      </c>
      <c r="H61" t="s">
        <v>3183</v>
      </c>
      <c r="I61" t="s">
        <v>3184</v>
      </c>
      <c r="J61" t="s">
        <v>3855</v>
      </c>
      <c r="K61" t="s">
        <v>3856</v>
      </c>
      <c r="L61" t="s">
        <v>3863</v>
      </c>
      <c r="M61" t="s">
        <v>1053</v>
      </c>
      <c r="N61" t="s">
        <v>161</v>
      </c>
      <c r="O61" t="s">
        <v>3179</v>
      </c>
      <c r="P61" t="s">
        <v>3183</v>
      </c>
      <c r="Q61" t="s">
        <v>3184</v>
      </c>
      <c r="R61" t="s">
        <v>3855</v>
      </c>
      <c r="S61" t="s">
        <v>3856</v>
      </c>
      <c r="T61" t="s">
        <v>3677</v>
      </c>
      <c r="U61" t="s">
        <v>3678</v>
      </c>
      <c r="V61" t="s">
        <v>664</v>
      </c>
      <c r="W61" t="s">
        <v>3657</v>
      </c>
      <c r="X61" t="s">
        <v>3679</v>
      </c>
      <c r="Y61" t="s">
        <v>3680</v>
      </c>
      <c r="Z61" t="s">
        <v>3864</v>
      </c>
      <c r="AA61" t="s">
        <v>3860</v>
      </c>
      <c r="AB61" t="s">
        <v>664</v>
      </c>
      <c r="AC61" t="s">
        <v>6</v>
      </c>
      <c r="AD61" t="s">
        <v>52</v>
      </c>
      <c r="AE61" t="s">
        <v>6</v>
      </c>
      <c r="AF61" t="s">
        <v>9</v>
      </c>
      <c r="AG61" t="s">
        <v>9</v>
      </c>
      <c r="AH61" t="s">
        <v>3865</v>
      </c>
      <c r="AI61" t="s">
        <v>3866</v>
      </c>
      <c r="AJ61" t="s">
        <v>3865</v>
      </c>
      <c r="AK61" t="s">
        <v>3866</v>
      </c>
      <c r="AL61" t="s">
        <v>9</v>
      </c>
    </row>
    <row r="62" spans="1:38" ht="11.25" customHeight="1">
      <c r="A62" t="s">
        <v>9</v>
      </c>
      <c r="B62" t="s">
        <v>35</v>
      </c>
      <c r="C62" t="s">
        <v>37</v>
      </c>
      <c r="D62" t="s">
        <v>9</v>
      </c>
      <c r="E62" t="s">
        <v>1062</v>
      </c>
      <c r="F62" t="s">
        <v>1046</v>
      </c>
      <c r="G62" t="s">
        <v>3179</v>
      </c>
      <c r="H62" t="s">
        <v>3183</v>
      </c>
      <c r="I62" t="s">
        <v>3184</v>
      </c>
      <c r="J62" t="s">
        <v>3855</v>
      </c>
      <c r="K62" t="s">
        <v>3856</v>
      </c>
      <c r="L62" t="s">
        <v>1083</v>
      </c>
      <c r="M62" t="s">
        <v>3867</v>
      </c>
      <c r="N62" t="s">
        <v>161</v>
      </c>
      <c r="O62" t="s">
        <v>3179</v>
      </c>
      <c r="P62" t="s">
        <v>3183</v>
      </c>
      <c r="Q62" t="s">
        <v>3184</v>
      </c>
      <c r="R62" t="s">
        <v>3855</v>
      </c>
      <c r="S62" t="s">
        <v>3856</v>
      </c>
      <c r="T62" t="s">
        <v>3677</v>
      </c>
      <c r="U62" t="s">
        <v>3678</v>
      </c>
      <c r="V62" t="s">
        <v>664</v>
      </c>
      <c r="W62" t="s">
        <v>3657</v>
      </c>
      <c r="X62" t="s">
        <v>3679</v>
      </c>
      <c r="Y62" t="s">
        <v>3680</v>
      </c>
      <c r="Z62" t="s">
        <v>3868</v>
      </c>
      <c r="AA62" t="s">
        <v>3860</v>
      </c>
      <c r="AB62" t="s">
        <v>664</v>
      </c>
      <c r="AC62" t="s">
        <v>52</v>
      </c>
      <c r="AD62" t="s">
        <v>52</v>
      </c>
      <c r="AE62" t="s">
        <v>52</v>
      </c>
      <c r="AF62" t="s">
        <v>416</v>
      </c>
      <c r="AG62" t="s">
        <v>3869</v>
      </c>
      <c r="AH62" t="s">
        <v>416</v>
      </c>
      <c r="AI62" t="s">
        <v>3869</v>
      </c>
      <c r="AJ62" t="s">
        <v>416</v>
      </c>
      <c r="AK62" t="s">
        <v>3869</v>
      </c>
      <c r="AL62" t="s">
        <v>3662</v>
      </c>
    </row>
    <row r="63" spans="1:38" ht="11.25" customHeight="1">
      <c r="A63" t="s">
        <v>9</v>
      </c>
      <c r="B63" t="s">
        <v>35</v>
      </c>
      <c r="C63" t="s">
        <v>37</v>
      </c>
      <c r="D63" t="s">
        <v>9</v>
      </c>
      <c r="E63" t="s">
        <v>3870</v>
      </c>
      <c r="F63" t="s">
        <v>3672</v>
      </c>
      <c r="G63" t="s">
        <v>3179</v>
      </c>
      <c r="H63" t="s">
        <v>3183</v>
      </c>
      <c r="I63" t="s">
        <v>3184</v>
      </c>
      <c r="J63" t="s">
        <v>3855</v>
      </c>
      <c r="K63" t="s">
        <v>3856</v>
      </c>
      <c r="L63" t="s">
        <v>1083</v>
      </c>
      <c r="M63" t="s">
        <v>3867</v>
      </c>
      <c r="N63" t="s">
        <v>161</v>
      </c>
      <c r="O63" t="s">
        <v>3179</v>
      </c>
      <c r="P63" t="s">
        <v>3183</v>
      </c>
      <c r="Q63" t="s">
        <v>3184</v>
      </c>
      <c r="R63" t="s">
        <v>3855</v>
      </c>
      <c r="S63" t="s">
        <v>3856</v>
      </c>
      <c r="T63" t="s">
        <v>3677</v>
      </c>
      <c r="U63" t="s">
        <v>3678</v>
      </c>
      <c r="V63" t="s">
        <v>664</v>
      </c>
      <c r="W63" t="s">
        <v>3657</v>
      </c>
      <c r="X63" t="s">
        <v>3679</v>
      </c>
      <c r="Y63" t="s">
        <v>3680</v>
      </c>
      <c r="Z63" t="s">
        <v>3868</v>
      </c>
      <c r="AA63" t="s">
        <v>3860</v>
      </c>
      <c r="AB63" t="s">
        <v>664</v>
      </c>
      <c r="AC63" t="s">
        <v>6</v>
      </c>
      <c r="AD63" t="s">
        <v>52</v>
      </c>
      <c r="AE63" t="s">
        <v>6</v>
      </c>
      <c r="AF63" t="s">
        <v>9</v>
      </c>
      <c r="AG63" t="s">
        <v>9</v>
      </c>
      <c r="AH63" t="s">
        <v>416</v>
      </c>
      <c r="AI63" t="s">
        <v>3869</v>
      </c>
      <c r="AJ63" t="s">
        <v>416</v>
      </c>
      <c r="AK63" t="s">
        <v>3869</v>
      </c>
      <c r="AL63" t="s">
        <v>9</v>
      </c>
    </row>
    <row r="64" spans="1:38" ht="11.25" customHeight="1">
      <c r="A64" t="s">
        <v>9</v>
      </c>
      <c r="B64" t="s">
        <v>35</v>
      </c>
      <c r="C64" t="s">
        <v>37</v>
      </c>
      <c r="D64" t="s">
        <v>9</v>
      </c>
      <c r="E64" t="s">
        <v>1045</v>
      </c>
      <c r="F64" t="s">
        <v>1046</v>
      </c>
      <c r="G64" t="s">
        <v>3191</v>
      </c>
      <c r="H64" t="s">
        <v>3195</v>
      </c>
      <c r="I64" t="s">
        <v>3196</v>
      </c>
      <c r="J64" t="s">
        <v>3871</v>
      </c>
      <c r="K64" t="s">
        <v>3872</v>
      </c>
      <c r="L64" t="s">
        <v>3873</v>
      </c>
      <c r="M64" t="s">
        <v>1053</v>
      </c>
      <c r="N64" t="s">
        <v>161</v>
      </c>
      <c r="O64" t="s">
        <v>3191</v>
      </c>
      <c r="P64" t="s">
        <v>3195</v>
      </c>
      <c r="Q64" t="s">
        <v>3196</v>
      </c>
      <c r="R64" t="s">
        <v>3871</v>
      </c>
      <c r="S64" t="s">
        <v>3872</v>
      </c>
      <c r="T64" t="s">
        <v>3677</v>
      </c>
      <c r="U64" t="s">
        <v>3678</v>
      </c>
      <c r="V64" t="s">
        <v>664</v>
      </c>
      <c r="W64" t="s">
        <v>3657</v>
      </c>
      <c r="X64" t="s">
        <v>3679</v>
      </c>
      <c r="Y64" t="s">
        <v>3680</v>
      </c>
      <c r="Z64" t="s">
        <v>3874</v>
      </c>
      <c r="AA64" t="s">
        <v>3860</v>
      </c>
      <c r="AB64" t="s">
        <v>664</v>
      </c>
      <c r="AC64" t="s">
        <v>52</v>
      </c>
      <c r="AD64" t="s">
        <v>52</v>
      </c>
      <c r="AE64" t="s">
        <v>52</v>
      </c>
      <c r="AF64" t="s">
        <v>3875</v>
      </c>
      <c r="AG64" t="s">
        <v>3876</v>
      </c>
      <c r="AH64" t="s">
        <v>3875</v>
      </c>
      <c r="AI64" t="s">
        <v>3876</v>
      </c>
      <c r="AJ64" t="s">
        <v>3875</v>
      </c>
      <c r="AK64" t="s">
        <v>3876</v>
      </c>
      <c r="AL64" t="s">
        <v>3662</v>
      </c>
    </row>
    <row r="65" spans="1:38" ht="11.25" customHeight="1">
      <c r="A65" t="s">
        <v>9</v>
      </c>
      <c r="B65" t="s">
        <v>35</v>
      </c>
      <c r="C65" t="s">
        <v>37</v>
      </c>
      <c r="D65" t="s">
        <v>9</v>
      </c>
      <c r="E65" t="s">
        <v>1058</v>
      </c>
      <c r="F65" t="s">
        <v>1046</v>
      </c>
      <c r="G65" t="s">
        <v>3191</v>
      </c>
      <c r="H65" t="s">
        <v>3195</v>
      </c>
      <c r="I65" t="s">
        <v>3196</v>
      </c>
      <c r="J65" t="s">
        <v>3871</v>
      </c>
      <c r="K65" t="s">
        <v>3872</v>
      </c>
      <c r="L65" t="s">
        <v>3877</v>
      </c>
      <c r="M65" t="s">
        <v>1053</v>
      </c>
      <c r="N65" t="s">
        <v>161</v>
      </c>
      <c r="O65" t="s">
        <v>3191</v>
      </c>
      <c r="P65" t="s">
        <v>3195</v>
      </c>
      <c r="Q65" t="s">
        <v>3196</v>
      </c>
      <c r="R65" t="s">
        <v>3871</v>
      </c>
      <c r="S65" t="s">
        <v>3872</v>
      </c>
      <c r="T65" t="s">
        <v>3677</v>
      </c>
      <c r="U65" t="s">
        <v>3678</v>
      </c>
      <c r="V65" t="s">
        <v>664</v>
      </c>
      <c r="W65" t="s">
        <v>3657</v>
      </c>
      <c r="X65" t="s">
        <v>3679</v>
      </c>
      <c r="Y65" t="s">
        <v>3680</v>
      </c>
      <c r="Z65" t="s">
        <v>3878</v>
      </c>
      <c r="AA65" t="s">
        <v>3860</v>
      </c>
      <c r="AB65" t="s">
        <v>664</v>
      </c>
      <c r="AC65" t="s">
        <v>52</v>
      </c>
      <c r="AD65" t="s">
        <v>52</v>
      </c>
      <c r="AE65" t="s">
        <v>52</v>
      </c>
      <c r="AF65" t="s">
        <v>3879</v>
      </c>
      <c r="AG65" t="s">
        <v>3880</v>
      </c>
      <c r="AH65" t="s">
        <v>3879</v>
      </c>
      <c r="AI65" t="s">
        <v>3880</v>
      </c>
      <c r="AJ65" t="s">
        <v>3879</v>
      </c>
      <c r="AK65" t="s">
        <v>3880</v>
      </c>
      <c r="AL65" t="s">
        <v>3662</v>
      </c>
    </row>
    <row r="66" spans="1:38" ht="11.25" customHeight="1">
      <c r="A66" t="s">
        <v>9</v>
      </c>
      <c r="B66" t="s">
        <v>35</v>
      </c>
      <c r="C66" t="s">
        <v>37</v>
      </c>
      <c r="D66" t="s">
        <v>9</v>
      </c>
      <c r="E66" t="s">
        <v>3731</v>
      </c>
      <c r="F66" t="s">
        <v>1046</v>
      </c>
      <c r="G66" t="s">
        <v>3191</v>
      </c>
      <c r="H66" t="s">
        <v>3195</v>
      </c>
      <c r="I66" t="s">
        <v>3196</v>
      </c>
      <c r="J66" t="s">
        <v>3871</v>
      </c>
      <c r="K66" t="s">
        <v>3872</v>
      </c>
      <c r="L66" t="s">
        <v>3881</v>
      </c>
      <c r="M66" t="s">
        <v>1053</v>
      </c>
      <c r="N66" t="s">
        <v>161</v>
      </c>
      <c r="O66" t="s">
        <v>3191</v>
      </c>
      <c r="P66" t="s">
        <v>3195</v>
      </c>
      <c r="Q66" t="s">
        <v>3196</v>
      </c>
      <c r="R66" t="s">
        <v>3871</v>
      </c>
      <c r="S66" t="s">
        <v>3872</v>
      </c>
      <c r="T66" t="s">
        <v>3677</v>
      </c>
      <c r="U66" t="s">
        <v>3678</v>
      </c>
      <c r="V66" t="s">
        <v>664</v>
      </c>
      <c r="W66" t="s">
        <v>3657</v>
      </c>
      <c r="X66" t="s">
        <v>3679</v>
      </c>
      <c r="Y66" t="s">
        <v>3680</v>
      </c>
      <c r="Z66" t="s">
        <v>3882</v>
      </c>
      <c r="AA66" t="s">
        <v>3860</v>
      </c>
      <c r="AB66" t="s">
        <v>664</v>
      </c>
      <c r="AC66" t="s">
        <v>52</v>
      </c>
      <c r="AD66" t="s">
        <v>52</v>
      </c>
      <c r="AE66" t="s">
        <v>52</v>
      </c>
      <c r="AF66" t="s">
        <v>416</v>
      </c>
      <c r="AG66" t="s">
        <v>3883</v>
      </c>
      <c r="AH66" t="s">
        <v>416</v>
      </c>
      <c r="AI66" t="s">
        <v>3883</v>
      </c>
      <c r="AJ66" t="s">
        <v>416</v>
      </c>
      <c r="AK66" t="s">
        <v>3883</v>
      </c>
      <c r="AL66" t="s">
        <v>3662</v>
      </c>
    </row>
    <row r="67" spans="1:38" ht="11.25" customHeight="1">
      <c r="A67" t="s">
        <v>9</v>
      </c>
      <c r="B67" t="s">
        <v>35</v>
      </c>
      <c r="C67" t="s">
        <v>37</v>
      </c>
      <c r="D67" t="s">
        <v>9</v>
      </c>
      <c r="E67" t="s">
        <v>1062</v>
      </c>
      <c r="F67" t="s">
        <v>1063</v>
      </c>
      <c r="G67" t="s">
        <v>1065</v>
      </c>
      <c r="H67" t="s">
        <v>3202</v>
      </c>
      <c r="I67" t="s">
        <v>3203</v>
      </c>
      <c r="J67" t="s">
        <v>3884</v>
      </c>
      <c r="K67" t="s">
        <v>3885</v>
      </c>
      <c r="L67" t="s">
        <v>3886</v>
      </c>
      <c r="M67" t="s">
        <v>1053</v>
      </c>
      <c r="N67" t="s">
        <v>161</v>
      </c>
      <c r="O67" t="s">
        <v>1065</v>
      </c>
      <c r="P67" t="s">
        <v>3202</v>
      </c>
      <c r="Q67" t="s">
        <v>3203</v>
      </c>
      <c r="R67" t="s">
        <v>3884</v>
      </c>
      <c r="S67" t="s">
        <v>3885</v>
      </c>
      <c r="T67" t="s">
        <v>3677</v>
      </c>
      <c r="U67" t="s">
        <v>3678</v>
      </c>
      <c r="V67" t="s">
        <v>664</v>
      </c>
      <c r="W67" t="s">
        <v>3657</v>
      </c>
      <c r="X67" t="s">
        <v>3679</v>
      </c>
      <c r="Y67" t="s">
        <v>3680</v>
      </c>
      <c r="Z67" t="s">
        <v>3887</v>
      </c>
      <c r="AA67" t="s">
        <v>3888</v>
      </c>
      <c r="AB67" t="s">
        <v>664</v>
      </c>
      <c r="AC67" t="s">
        <v>52</v>
      </c>
      <c r="AD67" t="s">
        <v>6</v>
      </c>
      <c r="AE67" t="s">
        <v>6</v>
      </c>
      <c r="AF67" t="s">
        <v>3889</v>
      </c>
      <c r="AG67" t="s">
        <v>3890</v>
      </c>
      <c r="AH67" t="s">
        <v>9</v>
      </c>
      <c r="AI67" t="s">
        <v>9</v>
      </c>
      <c r="AJ67" t="s">
        <v>9</v>
      </c>
      <c r="AK67" t="s">
        <v>9</v>
      </c>
      <c r="AL67" t="s">
        <v>3662</v>
      </c>
    </row>
    <row r="68" spans="1:38" ht="11.25" customHeight="1">
      <c r="A68" t="s">
        <v>9</v>
      </c>
      <c r="B68" t="s">
        <v>35</v>
      </c>
      <c r="C68" t="s">
        <v>37</v>
      </c>
      <c r="D68" t="s">
        <v>9</v>
      </c>
      <c r="E68" t="s">
        <v>1045</v>
      </c>
      <c r="F68" t="s">
        <v>1046</v>
      </c>
      <c r="G68" t="s">
        <v>1065</v>
      </c>
      <c r="H68" t="s">
        <v>1066</v>
      </c>
      <c r="I68" t="s">
        <v>1067</v>
      </c>
      <c r="J68" t="s">
        <v>1068</v>
      </c>
      <c r="K68" t="s">
        <v>1069</v>
      </c>
      <c r="L68" t="s">
        <v>3891</v>
      </c>
      <c r="M68" t="s">
        <v>1053</v>
      </c>
      <c r="N68" t="s">
        <v>161</v>
      </c>
      <c r="O68" t="s">
        <v>1065</v>
      </c>
      <c r="P68" t="s">
        <v>1066</v>
      </c>
      <c r="Q68" t="s">
        <v>1067</v>
      </c>
      <c r="R68" t="s">
        <v>1068</v>
      </c>
      <c r="S68" t="s">
        <v>1069</v>
      </c>
      <c r="T68" t="s">
        <v>3677</v>
      </c>
      <c r="U68" t="s">
        <v>3678</v>
      </c>
      <c r="V68" t="s">
        <v>664</v>
      </c>
      <c r="W68" t="s">
        <v>3657</v>
      </c>
      <c r="X68" t="s">
        <v>3679</v>
      </c>
      <c r="Y68" t="s">
        <v>3680</v>
      </c>
      <c r="Z68" t="s">
        <v>3892</v>
      </c>
      <c r="AA68" t="s">
        <v>3682</v>
      </c>
      <c r="AB68" t="s">
        <v>664</v>
      </c>
      <c r="AC68" t="s">
        <v>52</v>
      </c>
      <c r="AD68" t="s">
        <v>52</v>
      </c>
      <c r="AE68" t="s">
        <v>52</v>
      </c>
      <c r="AF68" t="s">
        <v>77</v>
      </c>
      <c r="AG68" t="s">
        <v>3893</v>
      </c>
      <c r="AH68" t="s">
        <v>77</v>
      </c>
      <c r="AI68" t="s">
        <v>3893</v>
      </c>
      <c r="AJ68" t="s">
        <v>77</v>
      </c>
      <c r="AK68" t="s">
        <v>3893</v>
      </c>
      <c r="AL68" t="s">
        <v>3662</v>
      </c>
    </row>
    <row r="69" spans="1:38" ht="11.25" customHeight="1">
      <c r="A69" t="s">
        <v>9</v>
      </c>
      <c r="B69" t="s">
        <v>35</v>
      </c>
      <c r="C69" t="s">
        <v>37</v>
      </c>
      <c r="D69" t="s">
        <v>9</v>
      </c>
      <c r="E69" t="s">
        <v>1058</v>
      </c>
      <c r="F69" t="s">
        <v>1046</v>
      </c>
      <c r="G69" t="s">
        <v>1065</v>
      </c>
      <c r="H69" t="s">
        <v>1066</v>
      </c>
      <c r="I69" t="s">
        <v>1067</v>
      </c>
      <c r="J69" t="s">
        <v>1068</v>
      </c>
      <c r="K69" t="s">
        <v>1069</v>
      </c>
      <c r="L69" t="s">
        <v>1070</v>
      </c>
      <c r="M69" t="s">
        <v>1053</v>
      </c>
      <c r="N69" t="s">
        <v>161</v>
      </c>
      <c r="O69" t="s">
        <v>1065</v>
      </c>
      <c r="P69" t="s">
        <v>1066</v>
      </c>
      <c r="Q69" t="s">
        <v>1067</v>
      </c>
      <c r="R69" t="s">
        <v>1068</v>
      </c>
      <c r="S69" t="s">
        <v>1069</v>
      </c>
      <c r="T69" t="s">
        <v>3677</v>
      </c>
      <c r="U69" t="s">
        <v>3678</v>
      </c>
      <c r="V69" t="s">
        <v>664</v>
      </c>
      <c r="W69" t="s">
        <v>3657</v>
      </c>
      <c r="X69" t="s">
        <v>3679</v>
      </c>
      <c r="Y69" t="s">
        <v>3680</v>
      </c>
      <c r="Z69" t="s">
        <v>3887</v>
      </c>
      <c r="AA69" t="s">
        <v>3682</v>
      </c>
      <c r="AB69" t="s">
        <v>664</v>
      </c>
      <c r="AC69" t="s">
        <v>52</v>
      </c>
      <c r="AD69" t="s">
        <v>52</v>
      </c>
      <c r="AE69" t="s">
        <v>52</v>
      </c>
      <c r="AF69" t="s">
        <v>852</v>
      </c>
      <c r="AG69" t="s">
        <v>3894</v>
      </c>
      <c r="AH69" t="s">
        <v>852</v>
      </c>
      <c r="AI69" t="s">
        <v>3894</v>
      </c>
      <c r="AJ69" t="s">
        <v>852</v>
      </c>
      <c r="AK69" t="s">
        <v>3894</v>
      </c>
      <c r="AL69" t="s">
        <v>3662</v>
      </c>
    </row>
    <row r="70" spans="1:38" ht="11.25" customHeight="1">
      <c r="A70" t="s">
        <v>9</v>
      </c>
      <c r="B70" t="s">
        <v>35</v>
      </c>
      <c r="C70" t="s">
        <v>37</v>
      </c>
      <c r="D70" t="s">
        <v>9</v>
      </c>
      <c r="E70" t="s">
        <v>1045</v>
      </c>
      <c r="F70" t="s">
        <v>1046</v>
      </c>
      <c r="G70" t="s">
        <v>3227</v>
      </c>
      <c r="H70" t="s">
        <v>3233</v>
      </c>
      <c r="I70" t="s">
        <v>3234</v>
      </c>
      <c r="J70" t="s">
        <v>3895</v>
      </c>
      <c r="K70" t="s">
        <v>3896</v>
      </c>
      <c r="L70" t="s">
        <v>3897</v>
      </c>
      <c r="M70" t="s">
        <v>3898</v>
      </c>
      <c r="N70" t="s">
        <v>161</v>
      </c>
      <c r="O70" t="s">
        <v>3227</v>
      </c>
      <c r="P70" t="s">
        <v>3233</v>
      </c>
      <c r="Q70" t="s">
        <v>3234</v>
      </c>
      <c r="R70" t="s">
        <v>3895</v>
      </c>
      <c r="S70" t="s">
        <v>3896</v>
      </c>
      <c r="T70" t="s">
        <v>3677</v>
      </c>
      <c r="U70" t="s">
        <v>3678</v>
      </c>
      <c r="V70" t="s">
        <v>664</v>
      </c>
      <c r="W70" t="s">
        <v>3657</v>
      </c>
      <c r="X70" t="s">
        <v>3679</v>
      </c>
      <c r="Y70" t="s">
        <v>3680</v>
      </c>
      <c r="Z70" t="s">
        <v>3899</v>
      </c>
      <c r="AA70" t="s">
        <v>3682</v>
      </c>
      <c r="AB70" t="s">
        <v>664</v>
      </c>
      <c r="AC70" t="s">
        <v>52</v>
      </c>
      <c r="AD70" t="s">
        <v>52</v>
      </c>
      <c r="AE70" t="s">
        <v>52</v>
      </c>
      <c r="AF70" t="s">
        <v>79</v>
      </c>
      <c r="AG70" t="s">
        <v>3900</v>
      </c>
      <c r="AH70" t="s">
        <v>79</v>
      </c>
      <c r="AI70" t="s">
        <v>3900</v>
      </c>
      <c r="AJ70" t="s">
        <v>79</v>
      </c>
      <c r="AK70" t="s">
        <v>3900</v>
      </c>
      <c r="AL70" t="s">
        <v>3662</v>
      </c>
    </row>
    <row r="71" spans="1:38" ht="11.25" customHeight="1">
      <c r="A71" t="s">
        <v>9</v>
      </c>
      <c r="B71" t="s">
        <v>35</v>
      </c>
      <c r="C71" t="s">
        <v>37</v>
      </c>
      <c r="D71" t="s">
        <v>9</v>
      </c>
      <c r="E71" t="s">
        <v>3684</v>
      </c>
      <c r="F71" t="s">
        <v>3672</v>
      </c>
      <c r="G71" t="s">
        <v>3227</v>
      </c>
      <c r="H71" t="s">
        <v>3233</v>
      </c>
      <c r="I71" t="s">
        <v>3234</v>
      </c>
      <c r="J71" t="s">
        <v>3895</v>
      </c>
      <c r="K71" t="s">
        <v>3896</v>
      </c>
      <c r="L71" t="s">
        <v>3897</v>
      </c>
      <c r="M71" t="s">
        <v>3898</v>
      </c>
      <c r="N71" t="s">
        <v>161</v>
      </c>
      <c r="O71" t="s">
        <v>3227</v>
      </c>
      <c r="P71" t="s">
        <v>3233</v>
      </c>
      <c r="Q71" t="s">
        <v>3234</v>
      </c>
      <c r="R71" t="s">
        <v>3895</v>
      </c>
      <c r="S71" t="s">
        <v>3896</v>
      </c>
      <c r="T71" t="s">
        <v>3677</v>
      </c>
      <c r="U71" t="s">
        <v>3678</v>
      </c>
      <c r="V71" t="s">
        <v>664</v>
      </c>
      <c r="W71" t="s">
        <v>3657</v>
      </c>
      <c r="X71" t="s">
        <v>3679</v>
      </c>
      <c r="Y71" t="s">
        <v>3680</v>
      </c>
      <c r="Z71" t="s">
        <v>3899</v>
      </c>
      <c r="AA71" t="s">
        <v>3682</v>
      </c>
      <c r="AB71" t="s">
        <v>664</v>
      </c>
      <c r="AC71" t="s">
        <v>6</v>
      </c>
      <c r="AD71" t="s">
        <v>52</v>
      </c>
      <c r="AE71" t="s">
        <v>6</v>
      </c>
      <c r="AF71" t="s">
        <v>9</v>
      </c>
      <c r="AG71" t="s">
        <v>9</v>
      </c>
      <c r="AH71" t="s">
        <v>79</v>
      </c>
      <c r="AI71" t="s">
        <v>3900</v>
      </c>
      <c r="AJ71" t="s">
        <v>79</v>
      </c>
      <c r="AK71" t="s">
        <v>3900</v>
      </c>
      <c r="AL71" t="s">
        <v>9</v>
      </c>
    </row>
    <row r="72" spans="1:38" ht="11.25" customHeight="1">
      <c r="A72" t="s">
        <v>9</v>
      </c>
      <c r="B72" t="s">
        <v>35</v>
      </c>
      <c r="C72" t="s">
        <v>37</v>
      </c>
      <c r="D72" t="s">
        <v>9</v>
      </c>
      <c r="E72" t="s">
        <v>1058</v>
      </c>
      <c r="F72" t="s">
        <v>1046</v>
      </c>
      <c r="G72" t="s">
        <v>3227</v>
      </c>
      <c r="H72" t="s">
        <v>3233</v>
      </c>
      <c r="I72" t="s">
        <v>3234</v>
      </c>
      <c r="J72" t="s">
        <v>3895</v>
      </c>
      <c r="K72" t="s">
        <v>3896</v>
      </c>
      <c r="L72" t="s">
        <v>3737</v>
      </c>
      <c r="M72" t="s">
        <v>3901</v>
      </c>
      <c r="N72" t="s">
        <v>161</v>
      </c>
      <c r="O72" t="s">
        <v>3227</v>
      </c>
      <c r="P72" t="s">
        <v>3233</v>
      </c>
      <c r="Q72" t="s">
        <v>3234</v>
      </c>
      <c r="R72" t="s">
        <v>3895</v>
      </c>
      <c r="S72" t="s">
        <v>3896</v>
      </c>
      <c r="T72" t="s">
        <v>3677</v>
      </c>
      <c r="U72" t="s">
        <v>3678</v>
      </c>
      <c r="V72" t="s">
        <v>664</v>
      </c>
      <c r="W72" t="s">
        <v>3657</v>
      </c>
      <c r="X72" t="s">
        <v>3679</v>
      </c>
      <c r="Y72" t="s">
        <v>3680</v>
      </c>
      <c r="Z72" t="s">
        <v>3902</v>
      </c>
      <c r="AA72" t="s">
        <v>3682</v>
      </c>
      <c r="AB72" t="s">
        <v>664</v>
      </c>
      <c r="AC72" t="s">
        <v>52</v>
      </c>
      <c r="AD72" t="s">
        <v>52</v>
      </c>
      <c r="AE72" t="s">
        <v>52</v>
      </c>
      <c r="AF72" t="s">
        <v>850</v>
      </c>
      <c r="AG72" t="s">
        <v>3903</v>
      </c>
      <c r="AH72" t="s">
        <v>850</v>
      </c>
      <c r="AI72" t="s">
        <v>3903</v>
      </c>
      <c r="AJ72" t="s">
        <v>850</v>
      </c>
      <c r="AK72" t="s">
        <v>3903</v>
      </c>
      <c r="AL72" t="s">
        <v>3662</v>
      </c>
    </row>
    <row r="73" spans="1:38" ht="11.25" customHeight="1">
      <c r="A73" t="s">
        <v>9</v>
      </c>
      <c r="B73" t="s">
        <v>35</v>
      </c>
      <c r="C73" t="s">
        <v>37</v>
      </c>
      <c r="D73" t="s">
        <v>9</v>
      </c>
      <c r="E73" t="s">
        <v>3904</v>
      </c>
      <c r="F73" t="s">
        <v>1046</v>
      </c>
      <c r="G73" t="s">
        <v>3269</v>
      </c>
      <c r="H73" t="s">
        <v>3281</v>
      </c>
      <c r="I73" t="s">
        <v>3282</v>
      </c>
      <c r="J73" t="s">
        <v>3905</v>
      </c>
      <c r="K73" t="s">
        <v>3906</v>
      </c>
      <c r="L73" t="s">
        <v>3907</v>
      </c>
      <c r="M73" t="s">
        <v>1053</v>
      </c>
      <c r="N73" t="s">
        <v>161</v>
      </c>
      <c r="O73" t="s">
        <v>3269</v>
      </c>
      <c r="P73" t="s">
        <v>3281</v>
      </c>
      <c r="Q73" t="s">
        <v>3282</v>
      </c>
      <c r="R73" t="s">
        <v>3905</v>
      </c>
      <c r="S73" t="s">
        <v>3906</v>
      </c>
      <c r="T73" t="s">
        <v>3677</v>
      </c>
      <c r="U73" t="s">
        <v>3678</v>
      </c>
      <c r="V73" t="s">
        <v>664</v>
      </c>
      <c r="W73" t="s">
        <v>3657</v>
      </c>
      <c r="X73" t="s">
        <v>3679</v>
      </c>
      <c r="Y73" t="s">
        <v>3680</v>
      </c>
      <c r="Z73" t="s">
        <v>3908</v>
      </c>
      <c r="AA73" t="s">
        <v>3909</v>
      </c>
      <c r="AB73" t="s">
        <v>664</v>
      </c>
      <c r="AC73" t="s">
        <v>52</v>
      </c>
      <c r="AD73" t="s">
        <v>52</v>
      </c>
      <c r="AE73" t="s">
        <v>52</v>
      </c>
      <c r="AF73" t="s">
        <v>1157</v>
      </c>
      <c r="AG73" t="s">
        <v>3910</v>
      </c>
      <c r="AH73" t="s">
        <v>1157</v>
      </c>
      <c r="AI73" t="s">
        <v>3910</v>
      </c>
      <c r="AJ73" t="s">
        <v>1157</v>
      </c>
      <c r="AK73" t="s">
        <v>3910</v>
      </c>
      <c r="AL73" t="s">
        <v>3662</v>
      </c>
    </row>
    <row r="74" spans="1:38" ht="11.25" customHeight="1">
      <c r="A74" t="s">
        <v>9</v>
      </c>
      <c r="B74" t="s">
        <v>35</v>
      </c>
      <c r="C74" t="s">
        <v>37</v>
      </c>
      <c r="D74" t="s">
        <v>9</v>
      </c>
      <c r="E74" t="s">
        <v>1089</v>
      </c>
      <c r="F74" t="s">
        <v>1046</v>
      </c>
      <c r="G74" t="s">
        <v>1107</v>
      </c>
      <c r="H74" t="s">
        <v>1122</v>
      </c>
      <c r="I74" t="s">
        <v>1123</v>
      </c>
      <c r="J74" t="s">
        <v>3911</v>
      </c>
      <c r="K74" t="s">
        <v>3912</v>
      </c>
      <c r="L74" t="s">
        <v>3913</v>
      </c>
      <c r="M74" t="s">
        <v>1053</v>
      </c>
      <c r="N74" t="s">
        <v>161</v>
      </c>
      <c r="O74" t="s">
        <v>1107</v>
      </c>
      <c r="P74" t="s">
        <v>1122</v>
      </c>
      <c r="Q74" t="s">
        <v>1123</v>
      </c>
      <c r="R74" t="s">
        <v>3911</v>
      </c>
      <c r="S74" t="s">
        <v>3912</v>
      </c>
      <c r="T74" t="s">
        <v>3655</v>
      </c>
      <c r="U74" t="s">
        <v>3765</v>
      </c>
      <c r="V74" t="s">
        <v>664</v>
      </c>
      <c r="W74" t="s">
        <v>3657</v>
      </c>
      <c r="X74" t="s">
        <v>3679</v>
      </c>
      <c r="Y74" t="s">
        <v>3680</v>
      </c>
      <c r="Z74" t="s">
        <v>3914</v>
      </c>
      <c r="AA74" t="s">
        <v>3915</v>
      </c>
      <c r="AB74" t="s">
        <v>664</v>
      </c>
      <c r="AC74" t="s">
        <v>52</v>
      </c>
      <c r="AD74" t="s">
        <v>52</v>
      </c>
      <c r="AE74" t="s">
        <v>52</v>
      </c>
      <c r="AF74" t="s">
        <v>89</v>
      </c>
      <c r="AG74" t="s">
        <v>3916</v>
      </c>
      <c r="AH74" t="s">
        <v>89</v>
      </c>
      <c r="AI74" t="s">
        <v>3916</v>
      </c>
      <c r="AJ74" t="s">
        <v>89</v>
      </c>
      <c r="AK74" t="s">
        <v>3916</v>
      </c>
      <c r="AL74" t="s">
        <v>3662</v>
      </c>
    </row>
    <row r="75" spans="1:38" ht="11.25" customHeight="1">
      <c r="A75" t="s">
        <v>9</v>
      </c>
      <c r="B75" t="s">
        <v>35</v>
      </c>
      <c r="C75" t="s">
        <v>37</v>
      </c>
      <c r="D75" t="s">
        <v>9</v>
      </c>
      <c r="E75" t="s">
        <v>3782</v>
      </c>
      <c r="F75" t="s">
        <v>3672</v>
      </c>
      <c r="G75" t="s">
        <v>1107</v>
      </c>
      <c r="H75" t="s">
        <v>1122</v>
      </c>
      <c r="I75" t="s">
        <v>1123</v>
      </c>
      <c r="J75" t="s">
        <v>1124</v>
      </c>
      <c r="K75" t="s">
        <v>1125</v>
      </c>
      <c r="L75" t="s">
        <v>1126</v>
      </c>
      <c r="M75" t="s">
        <v>1053</v>
      </c>
      <c r="N75" t="s">
        <v>161</v>
      </c>
      <c r="O75" t="s">
        <v>1107</v>
      </c>
      <c r="P75" t="s">
        <v>1122</v>
      </c>
      <c r="Q75" t="s">
        <v>1123</v>
      </c>
      <c r="R75" t="s">
        <v>1124</v>
      </c>
      <c r="S75" t="s">
        <v>1125</v>
      </c>
      <c r="T75" t="s">
        <v>3677</v>
      </c>
      <c r="U75" t="s">
        <v>3678</v>
      </c>
      <c r="V75" t="s">
        <v>664</v>
      </c>
      <c r="W75" t="s">
        <v>3657</v>
      </c>
      <c r="X75" t="s">
        <v>3679</v>
      </c>
      <c r="Y75" t="s">
        <v>3680</v>
      </c>
      <c r="Z75" t="s">
        <v>3917</v>
      </c>
      <c r="AA75" t="s">
        <v>3918</v>
      </c>
      <c r="AB75" t="s">
        <v>664</v>
      </c>
      <c r="AC75" t="s">
        <v>6</v>
      </c>
      <c r="AD75" t="s">
        <v>52</v>
      </c>
      <c r="AE75" t="s">
        <v>6</v>
      </c>
      <c r="AF75" t="s">
        <v>9</v>
      </c>
      <c r="AG75" t="s">
        <v>9</v>
      </c>
      <c r="AH75" t="s">
        <v>78</v>
      </c>
      <c r="AI75" t="s">
        <v>1155</v>
      </c>
      <c r="AJ75" t="s">
        <v>78</v>
      </c>
      <c r="AK75" t="s">
        <v>1155</v>
      </c>
      <c r="AL75" t="s">
        <v>9</v>
      </c>
    </row>
    <row r="76" spans="1:38" ht="11.25" customHeight="1">
      <c r="A76" t="s">
        <v>9</v>
      </c>
      <c r="B76" t="s">
        <v>35</v>
      </c>
      <c r="C76" t="s">
        <v>37</v>
      </c>
      <c r="D76" t="s">
        <v>9</v>
      </c>
      <c r="E76" t="s">
        <v>1121</v>
      </c>
      <c r="F76" t="s">
        <v>1046</v>
      </c>
      <c r="G76" t="s">
        <v>1107</v>
      </c>
      <c r="H76" t="s">
        <v>1122</v>
      </c>
      <c r="I76" t="s">
        <v>1123</v>
      </c>
      <c r="J76" t="s">
        <v>1124</v>
      </c>
      <c r="K76" t="s">
        <v>1125</v>
      </c>
      <c r="L76" t="s">
        <v>1126</v>
      </c>
      <c r="M76" t="s">
        <v>1053</v>
      </c>
      <c r="N76" t="s">
        <v>161</v>
      </c>
      <c r="O76" t="s">
        <v>1107</v>
      </c>
      <c r="P76" t="s">
        <v>1122</v>
      </c>
      <c r="Q76" t="s">
        <v>1123</v>
      </c>
      <c r="R76" t="s">
        <v>1124</v>
      </c>
      <c r="S76" t="s">
        <v>1125</v>
      </c>
      <c r="T76" t="s">
        <v>3677</v>
      </c>
      <c r="U76" t="s">
        <v>3678</v>
      </c>
      <c r="V76" t="s">
        <v>664</v>
      </c>
      <c r="W76" t="s">
        <v>3657</v>
      </c>
      <c r="X76" t="s">
        <v>3679</v>
      </c>
      <c r="Y76" t="s">
        <v>3680</v>
      </c>
      <c r="Z76" t="s">
        <v>3917</v>
      </c>
      <c r="AA76" t="s">
        <v>3918</v>
      </c>
      <c r="AB76" t="s">
        <v>664</v>
      </c>
      <c r="AC76" t="s">
        <v>52</v>
      </c>
      <c r="AD76" t="s">
        <v>52</v>
      </c>
      <c r="AE76" t="s">
        <v>52</v>
      </c>
      <c r="AF76" t="s">
        <v>78</v>
      </c>
      <c r="AG76" t="s">
        <v>1155</v>
      </c>
      <c r="AH76" t="s">
        <v>78</v>
      </c>
      <c r="AI76" t="s">
        <v>1155</v>
      </c>
      <c r="AJ76" t="s">
        <v>78</v>
      </c>
      <c r="AK76" t="s">
        <v>1155</v>
      </c>
      <c r="AL76" t="s">
        <v>3662</v>
      </c>
    </row>
    <row r="77" spans="1:38" ht="11.25" customHeight="1">
      <c r="A77" t="s">
        <v>9</v>
      </c>
      <c r="B77" t="s">
        <v>35</v>
      </c>
      <c r="C77" t="s">
        <v>37</v>
      </c>
      <c r="D77" t="s">
        <v>9</v>
      </c>
      <c r="E77" t="s">
        <v>3919</v>
      </c>
      <c r="F77" t="s">
        <v>1046</v>
      </c>
      <c r="G77" t="s">
        <v>1107</v>
      </c>
      <c r="H77" t="s">
        <v>1122</v>
      </c>
      <c r="I77" t="s">
        <v>1123</v>
      </c>
      <c r="J77" t="s">
        <v>3920</v>
      </c>
      <c r="K77" t="s">
        <v>3921</v>
      </c>
      <c r="L77" t="s">
        <v>1053</v>
      </c>
      <c r="M77" t="s">
        <v>115</v>
      </c>
      <c r="N77" t="s">
        <v>161</v>
      </c>
      <c r="O77" t="s">
        <v>1107</v>
      </c>
      <c r="P77" t="s">
        <v>1122</v>
      </c>
      <c r="Q77" t="s">
        <v>1123</v>
      </c>
      <c r="R77" t="s">
        <v>3920</v>
      </c>
      <c r="S77" t="s">
        <v>3921</v>
      </c>
      <c r="T77" t="s">
        <v>3655</v>
      </c>
      <c r="U77" t="s">
        <v>3659</v>
      </c>
      <c r="V77" t="s">
        <v>664</v>
      </c>
      <c r="W77" t="s">
        <v>3657</v>
      </c>
      <c r="X77" t="s">
        <v>3658</v>
      </c>
      <c r="Y77" t="s">
        <v>3659</v>
      </c>
      <c r="Z77" t="s">
        <v>1053</v>
      </c>
      <c r="AA77" t="s">
        <v>3922</v>
      </c>
      <c r="AB77" t="s">
        <v>664</v>
      </c>
      <c r="AC77" t="s">
        <v>52</v>
      </c>
      <c r="AD77" t="s">
        <v>52</v>
      </c>
      <c r="AE77" t="s">
        <v>52</v>
      </c>
      <c r="AF77" t="s">
        <v>3923</v>
      </c>
      <c r="AG77" t="s">
        <v>3838</v>
      </c>
      <c r="AH77" t="s">
        <v>3923</v>
      </c>
      <c r="AI77" t="s">
        <v>3838</v>
      </c>
      <c r="AJ77" t="s">
        <v>3923</v>
      </c>
      <c r="AK77" t="s">
        <v>3838</v>
      </c>
      <c r="AL77" t="s">
        <v>3662</v>
      </c>
    </row>
    <row r="78" spans="1:38" ht="11.25" customHeight="1">
      <c r="A78" t="s">
        <v>9</v>
      </c>
      <c r="B78" t="s">
        <v>35</v>
      </c>
      <c r="C78" t="s">
        <v>37</v>
      </c>
      <c r="D78" t="s">
        <v>9</v>
      </c>
      <c r="E78" t="s">
        <v>1045</v>
      </c>
      <c r="F78" t="s">
        <v>1046</v>
      </c>
      <c r="G78" t="s">
        <v>1107</v>
      </c>
      <c r="H78" t="s">
        <v>1108</v>
      </c>
      <c r="I78" t="s">
        <v>1109</v>
      </c>
      <c r="J78" t="s">
        <v>1110</v>
      </c>
      <c r="K78" t="s">
        <v>1111</v>
      </c>
      <c r="L78" t="s">
        <v>3924</v>
      </c>
      <c r="M78" t="s">
        <v>3925</v>
      </c>
      <c r="N78" t="s">
        <v>161</v>
      </c>
      <c r="O78" t="s">
        <v>1107</v>
      </c>
      <c r="P78" t="s">
        <v>1108</v>
      </c>
      <c r="Q78" t="s">
        <v>1109</v>
      </c>
      <c r="R78" t="s">
        <v>1110</v>
      </c>
      <c r="S78" t="s">
        <v>1111</v>
      </c>
      <c r="T78" t="s">
        <v>3677</v>
      </c>
      <c r="U78" t="s">
        <v>3678</v>
      </c>
      <c r="V78" t="s">
        <v>664</v>
      </c>
      <c r="W78" t="s">
        <v>3657</v>
      </c>
      <c r="X78" t="s">
        <v>3679</v>
      </c>
      <c r="Y78" t="s">
        <v>3680</v>
      </c>
      <c r="Z78" t="s">
        <v>3926</v>
      </c>
      <c r="AA78" t="s">
        <v>3682</v>
      </c>
      <c r="AB78" t="s">
        <v>664</v>
      </c>
      <c r="AC78" t="s">
        <v>52</v>
      </c>
      <c r="AD78" t="s">
        <v>52</v>
      </c>
      <c r="AE78" t="s">
        <v>52</v>
      </c>
      <c r="AF78" t="s">
        <v>2140</v>
      </c>
      <c r="AG78" t="s">
        <v>3927</v>
      </c>
      <c r="AH78" t="s">
        <v>2140</v>
      </c>
      <c r="AI78" t="s">
        <v>3927</v>
      </c>
      <c r="AJ78" t="s">
        <v>2140</v>
      </c>
      <c r="AK78" t="s">
        <v>3927</v>
      </c>
      <c r="AL78" t="s">
        <v>3662</v>
      </c>
    </row>
    <row r="79" spans="1:38" ht="11.25" customHeight="1">
      <c r="A79" t="s">
        <v>9</v>
      </c>
      <c r="B79" t="s">
        <v>35</v>
      </c>
      <c r="C79" t="s">
        <v>37</v>
      </c>
      <c r="D79" t="s">
        <v>9</v>
      </c>
      <c r="E79" t="s">
        <v>3684</v>
      </c>
      <c r="F79" t="s">
        <v>3672</v>
      </c>
      <c r="G79" t="s">
        <v>1107</v>
      </c>
      <c r="H79" t="s">
        <v>1108</v>
      </c>
      <c r="I79" t="s">
        <v>1109</v>
      </c>
      <c r="J79" t="s">
        <v>1110</v>
      </c>
      <c r="K79" t="s">
        <v>1111</v>
      </c>
      <c r="L79" t="s">
        <v>3924</v>
      </c>
      <c r="M79" t="s">
        <v>3925</v>
      </c>
      <c r="N79" t="s">
        <v>161</v>
      </c>
      <c r="O79" t="s">
        <v>1107</v>
      </c>
      <c r="P79" t="s">
        <v>1108</v>
      </c>
      <c r="Q79" t="s">
        <v>1109</v>
      </c>
      <c r="R79" t="s">
        <v>1110</v>
      </c>
      <c r="S79" t="s">
        <v>1111</v>
      </c>
      <c r="T79" t="s">
        <v>3677</v>
      </c>
      <c r="U79" t="s">
        <v>3678</v>
      </c>
      <c r="V79" t="s">
        <v>664</v>
      </c>
      <c r="W79" t="s">
        <v>3657</v>
      </c>
      <c r="X79" t="s">
        <v>3679</v>
      </c>
      <c r="Y79" t="s">
        <v>3680</v>
      </c>
      <c r="Z79" t="s">
        <v>3926</v>
      </c>
      <c r="AA79" t="s">
        <v>3682</v>
      </c>
      <c r="AB79" t="s">
        <v>664</v>
      </c>
      <c r="AC79" t="s">
        <v>6</v>
      </c>
      <c r="AD79" t="s">
        <v>52</v>
      </c>
      <c r="AE79" t="s">
        <v>6</v>
      </c>
      <c r="AF79" t="s">
        <v>9</v>
      </c>
      <c r="AG79" t="s">
        <v>9</v>
      </c>
      <c r="AH79" t="s">
        <v>2140</v>
      </c>
      <c r="AI79" t="s">
        <v>3927</v>
      </c>
      <c r="AJ79" t="s">
        <v>2140</v>
      </c>
      <c r="AK79" t="s">
        <v>3927</v>
      </c>
      <c r="AL79" t="s">
        <v>9</v>
      </c>
    </row>
    <row r="80" spans="1:38" ht="11.25" customHeight="1">
      <c r="A80" t="s">
        <v>9</v>
      </c>
      <c r="B80" t="s">
        <v>35</v>
      </c>
      <c r="C80" t="s">
        <v>37</v>
      </c>
      <c r="D80" t="s">
        <v>9</v>
      </c>
      <c r="E80" t="s">
        <v>1106</v>
      </c>
      <c r="F80" t="s">
        <v>1046</v>
      </c>
      <c r="G80" t="s">
        <v>1107</v>
      </c>
      <c r="H80" t="s">
        <v>1108</v>
      </c>
      <c r="I80" t="s">
        <v>1109</v>
      </c>
      <c r="J80" t="s">
        <v>1110</v>
      </c>
      <c r="K80" t="s">
        <v>1111</v>
      </c>
      <c r="L80" t="s">
        <v>1112</v>
      </c>
      <c r="M80" t="s">
        <v>1113</v>
      </c>
      <c r="N80" t="s">
        <v>161</v>
      </c>
      <c r="O80" t="s">
        <v>1107</v>
      </c>
      <c r="P80" t="s">
        <v>1108</v>
      </c>
      <c r="Q80" t="s">
        <v>1109</v>
      </c>
      <c r="R80" t="s">
        <v>1110</v>
      </c>
      <c r="S80" t="s">
        <v>1111</v>
      </c>
      <c r="T80" t="s">
        <v>3655</v>
      </c>
      <c r="U80" t="s">
        <v>3667</v>
      </c>
      <c r="V80" t="s">
        <v>664</v>
      </c>
      <c r="W80" t="s">
        <v>3657</v>
      </c>
      <c r="X80" t="s">
        <v>3658</v>
      </c>
      <c r="Y80" t="s">
        <v>3659</v>
      </c>
      <c r="Z80" t="s">
        <v>3928</v>
      </c>
      <c r="AA80" t="s">
        <v>3929</v>
      </c>
      <c r="AB80" t="s">
        <v>664</v>
      </c>
      <c r="AC80" t="s">
        <v>52</v>
      </c>
      <c r="AD80" t="s">
        <v>52</v>
      </c>
      <c r="AE80" t="s">
        <v>52</v>
      </c>
      <c r="AF80" t="s">
        <v>2243</v>
      </c>
      <c r="AG80" t="s">
        <v>3930</v>
      </c>
      <c r="AH80" t="s">
        <v>2243</v>
      </c>
      <c r="AI80" t="s">
        <v>3930</v>
      </c>
      <c r="AJ80" t="s">
        <v>2243</v>
      </c>
      <c r="AK80" t="s">
        <v>3930</v>
      </c>
      <c r="AL80" t="s">
        <v>3662</v>
      </c>
    </row>
    <row r="81" spans="1:38" ht="11.25" customHeight="1">
      <c r="A81" t="s">
        <v>9</v>
      </c>
      <c r="B81" t="s">
        <v>35</v>
      </c>
      <c r="C81" t="s">
        <v>37</v>
      </c>
      <c r="D81" t="s">
        <v>9</v>
      </c>
      <c r="E81" t="s">
        <v>3931</v>
      </c>
      <c r="F81" t="s">
        <v>1046</v>
      </c>
      <c r="G81" t="s">
        <v>1107</v>
      </c>
      <c r="H81" t="s">
        <v>1108</v>
      </c>
      <c r="I81" t="s">
        <v>1109</v>
      </c>
      <c r="J81" t="s">
        <v>1110</v>
      </c>
      <c r="K81" t="s">
        <v>1111</v>
      </c>
      <c r="L81" t="s">
        <v>1059</v>
      </c>
      <c r="M81" t="s">
        <v>3932</v>
      </c>
      <c r="N81" t="s">
        <v>161</v>
      </c>
      <c r="O81" t="s">
        <v>1107</v>
      </c>
      <c r="P81" t="s">
        <v>1108</v>
      </c>
      <c r="Q81" t="s">
        <v>1109</v>
      </c>
      <c r="R81" t="s">
        <v>1110</v>
      </c>
      <c r="S81" t="s">
        <v>1111</v>
      </c>
      <c r="T81" t="s">
        <v>3655</v>
      </c>
      <c r="U81" t="s">
        <v>3659</v>
      </c>
      <c r="V81" t="s">
        <v>664</v>
      </c>
      <c r="W81" t="s">
        <v>3657</v>
      </c>
      <c r="X81" t="s">
        <v>3658</v>
      </c>
      <c r="Y81" t="s">
        <v>3659</v>
      </c>
      <c r="Z81" t="s">
        <v>239</v>
      </c>
      <c r="AA81" t="s">
        <v>3933</v>
      </c>
      <c r="AB81" t="s">
        <v>664</v>
      </c>
      <c r="AC81" t="s">
        <v>52</v>
      </c>
      <c r="AD81" t="s">
        <v>52</v>
      </c>
      <c r="AE81" t="s">
        <v>52</v>
      </c>
      <c r="AF81" t="s">
        <v>89</v>
      </c>
      <c r="AG81" t="s">
        <v>3934</v>
      </c>
      <c r="AH81" t="s">
        <v>89</v>
      </c>
      <c r="AI81" t="s">
        <v>3934</v>
      </c>
      <c r="AJ81" t="s">
        <v>89</v>
      </c>
      <c r="AK81" t="s">
        <v>3934</v>
      </c>
      <c r="AL81" t="s">
        <v>3662</v>
      </c>
    </row>
    <row r="82" spans="1:38" ht="11.25" customHeight="1">
      <c r="A82" t="s">
        <v>9</v>
      </c>
      <c r="B82" t="s">
        <v>35</v>
      </c>
      <c r="C82" t="s">
        <v>37</v>
      </c>
      <c r="D82" t="s">
        <v>9</v>
      </c>
      <c r="E82" t="s">
        <v>1058</v>
      </c>
      <c r="F82" t="s">
        <v>1046</v>
      </c>
      <c r="G82" t="s">
        <v>1107</v>
      </c>
      <c r="H82" t="s">
        <v>1108</v>
      </c>
      <c r="I82" t="s">
        <v>1109</v>
      </c>
      <c r="J82" t="s">
        <v>1110</v>
      </c>
      <c r="K82" t="s">
        <v>1111</v>
      </c>
      <c r="L82" t="s">
        <v>3935</v>
      </c>
      <c r="M82" t="s">
        <v>1053</v>
      </c>
      <c r="N82" t="s">
        <v>161</v>
      </c>
      <c r="O82" t="s">
        <v>1107</v>
      </c>
      <c r="P82" t="s">
        <v>1108</v>
      </c>
      <c r="Q82" t="s">
        <v>1109</v>
      </c>
      <c r="R82" t="s">
        <v>1110</v>
      </c>
      <c r="S82" t="s">
        <v>1111</v>
      </c>
      <c r="T82" t="s">
        <v>3677</v>
      </c>
      <c r="U82" t="s">
        <v>3678</v>
      </c>
      <c r="V82" t="s">
        <v>664</v>
      </c>
      <c r="W82" t="s">
        <v>3657</v>
      </c>
      <c r="X82" t="s">
        <v>3679</v>
      </c>
      <c r="Y82" t="s">
        <v>3680</v>
      </c>
      <c r="Z82" t="s">
        <v>3936</v>
      </c>
      <c r="AA82" t="s">
        <v>3682</v>
      </c>
      <c r="AB82" t="s">
        <v>664</v>
      </c>
      <c r="AC82" t="s">
        <v>52</v>
      </c>
      <c r="AD82" t="s">
        <v>52</v>
      </c>
      <c r="AE82" t="s">
        <v>52</v>
      </c>
      <c r="AF82" t="s">
        <v>131</v>
      </c>
      <c r="AG82" t="s">
        <v>3937</v>
      </c>
      <c r="AH82" t="s">
        <v>131</v>
      </c>
      <c r="AI82" t="s">
        <v>3937</v>
      </c>
      <c r="AJ82" t="s">
        <v>131</v>
      </c>
      <c r="AK82" t="s">
        <v>3937</v>
      </c>
      <c r="AL82" t="s">
        <v>3662</v>
      </c>
    </row>
    <row r="83" spans="1:38" ht="11.25" customHeight="1">
      <c r="A83" t="s">
        <v>9</v>
      </c>
      <c r="B83" t="s">
        <v>35</v>
      </c>
      <c r="C83" t="s">
        <v>37</v>
      </c>
      <c r="D83" t="s">
        <v>9</v>
      </c>
      <c r="E83" t="s">
        <v>3691</v>
      </c>
      <c r="F83" t="s">
        <v>3672</v>
      </c>
      <c r="G83" t="s">
        <v>1107</v>
      </c>
      <c r="H83" t="s">
        <v>1108</v>
      </c>
      <c r="I83" t="s">
        <v>1109</v>
      </c>
      <c r="J83" t="s">
        <v>1110</v>
      </c>
      <c r="K83" t="s">
        <v>1111</v>
      </c>
      <c r="L83" t="s">
        <v>3935</v>
      </c>
      <c r="M83" t="s">
        <v>1053</v>
      </c>
      <c r="N83" t="s">
        <v>161</v>
      </c>
      <c r="O83" t="s">
        <v>1107</v>
      </c>
      <c r="P83" t="s">
        <v>1108</v>
      </c>
      <c r="Q83" t="s">
        <v>1109</v>
      </c>
      <c r="R83" t="s">
        <v>1110</v>
      </c>
      <c r="S83" t="s">
        <v>1111</v>
      </c>
      <c r="T83" t="s">
        <v>3677</v>
      </c>
      <c r="U83" t="s">
        <v>3678</v>
      </c>
      <c r="V83" t="s">
        <v>664</v>
      </c>
      <c r="W83" t="s">
        <v>3657</v>
      </c>
      <c r="X83" t="s">
        <v>3679</v>
      </c>
      <c r="Y83" t="s">
        <v>3680</v>
      </c>
      <c r="Z83" t="s">
        <v>3936</v>
      </c>
      <c r="AA83" t="s">
        <v>3682</v>
      </c>
      <c r="AB83" t="s">
        <v>664</v>
      </c>
      <c r="AC83" t="s">
        <v>6</v>
      </c>
      <c r="AD83" t="s">
        <v>52</v>
      </c>
      <c r="AE83" t="s">
        <v>6</v>
      </c>
      <c r="AF83" t="s">
        <v>9</v>
      </c>
      <c r="AG83" t="s">
        <v>9</v>
      </c>
      <c r="AH83" t="s">
        <v>131</v>
      </c>
      <c r="AI83" t="s">
        <v>3937</v>
      </c>
      <c r="AJ83" t="s">
        <v>131</v>
      </c>
      <c r="AK83" t="s">
        <v>3937</v>
      </c>
      <c r="AL83" t="s">
        <v>9</v>
      </c>
    </row>
    <row r="84" spans="1:38" ht="11.25" customHeight="1">
      <c r="A84" t="s">
        <v>9</v>
      </c>
      <c r="B84" t="s">
        <v>35</v>
      </c>
      <c r="C84" t="s">
        <v>37</v>
      </c>
      <c r="D84" t="s">
        <v>9</v>
      </c>
      <c r="E84" t="s">
        <v>3736</v>
      </c>
      <c r="F84" t="s">
        <v>1046</v>
      </c>
      <c r="G84" t="s">
        <v>1107</v>
      </c>
      <c r="H84" t="s">
        <v>1108</v>
      </c>
      <c r="I84" t="s">
        <v>1109</v>
      </c>
      <c r="J84" t="s">
        <v>1110</v>
      </c>
      <c r="K84" t="s">
        <v>1111</v>
      </c>
      <c r="L84" t="s">
        <v>3742</v>
      </c>
      <c r="M84" t="s">
        <v>1053</v>
      </c>
      <c r="N84" t="s">
        <v>161</v>
      </c>
      <c r="O84" t="s">
        <v>1107</v>
      </c>
      <c r="P84" t="s">
        <v>1108</v>
      </c>
      <c r="Q84" t="s">
        <v>1109</v>
      </c>
      <c r="R84" t="s">
        <v>1110</v>
      </c>
      <c r="S84" t="s">
        <v>1111</v>
      </c>
      <c r="T84" t="s">
        <v>3677</v>
      </c>
      <c r="U84" t="s">
        <v>3678</v>
      </c>
      <c r="V84" t="s">
        <v>664</v>
      </c>
      <c r="W84" t="s">
        <v>3657</v>
      </c>
      <c r="X84" t="s">
        <v>3938</v>
      </c>
      <c r="Y84" t="s">
        <v>3680</v>
      </c>
      <c r="Z84" t="s">
        <v>3939</v>
      </c>
      <c r="AA84" t="s">
        <v>3940</v>
      </c>
      <c r="AB84" t="s">
        <v>664</v>
      </c>
      <c r="AC84" t="s">
        <v>52</v>
      </c>
      <c r="AD84" t="s">
        <v>52</v>
      </c>
      <c r="AE84" t="s">
        <v>52</v>
      </c>
      <c r="AF84" t="s">
        <v>3941</v>
      </c>
      <c r="AG84" t="s">
        <v>3942</v>
      </c>
      <c r="AH84" t="s">
        <v>3941</v>
      </c>
      <c r="AI84" t="s">
        <v>3942</v>
      </c>
      <c r="AJ84" t="s">
        <v>3941</v>
      </c>
      <c r="AK84" t="s">
        <v>3942</v>
      </c>
      <c r="AL84" t="s">
        <v>3662</v>
      </c>
    </row>
    <row r="85" spans="1:38" ht="11.25" customHeight="1">
      <c r="A85" t="s">
        <v>9</v>
      </c>
      <c r="B85" t="s">
        <v>35</v>
      </c>
      <c r="C85" t="s">
        <v>37</v>
      </c>
      <c r="D85" t="s">
        <v>9</v>
      </c>
      <c r="E85" t="s">
        <v>1062</v>
      </c>
      <c r="F85" t="s">
        <v>1046</v>
      </c>
      <c r="G85" t="s">
        <v>1107</v>
      </c>
      <c r="H85" t="s">
        <v>3294</v>
      </c>
      <c r="I85" t="s">
        <v>3295</v>
      </c>
      <c r="J85" t="s">
        <v>3943</v>
      </c>
      <c r="K85" t="s">
        <v>3944</v>
      </c>
      <c r="L85" t="s">
        <v>3945</v>
      </c>
      <c r="M85" t="s">
        <v>1053</v>
      </c>
      <c r="N85" t="s">
        <v>161</v>
      </c>
      <c r="O85" t="s">
        <v>1107</v>
      </c>
      <c r="P85" t="s">
        <v>3294</v>
      </c>
      <c r="Q85" t="s">
        <v>3295</v>
      </c>
      <c r="R85" t="s">
        <v>3943</v>
      </c>
      <c r="S85" t="s">
        <v>3944</v>
      </c>
      <c r="T85" t="s">
        <v>3677</v>
      </c>
      <c r="U85" t="s">
        <v>3678</v>
      </c>
      <c r="V85" t="s">
        <v>664</v>
      </c>
      <c r="W85" t="s">
        <v>3657</v>
      </c>
      <c r="X85" t="s">
        <v>3679</v>
      </c>
      <c r="Y85" t="s">
        <v>3680</v>
      </c>
      <c r="Z85" t="s">
        <v>3946</v>
      </c>
      <c r="AA85" t="s">
        <v>3947</v>
      </c>
      <c r="AB85" t="s">
        <v>664</v>
      </c>
      <c r="AC85" t="s">
        <v>52</v>
      </c>
      <c r="AD85" t="s">
        <v>52</v>
      </c>
      <c r="AE85" t="s">
        <v>52</v>
      </c>
      <c r="AF85" t="s">
        <v>78</v>
      </c>
      <c r="AG85" t="s">
        <v>3948</v>
      </c>
      <c r="AH85" t="s">
        <v>78</v>
      </c>
      <c r="AI85" t="s">
        <v>3948</v>
      </c>
      <c r="AJ85" t="s">
        <v>78</v>
      </c>
      <c r="AK85" t="s">
        <v>3948</v>
      </c>
      <c r="AL85" t="s">
        <v>3662</v>
      </c>
    </row>
    <row r="86" spans="1:38" ht="11.25" customHeight="1">
      <c r="A86" t="s">
        <v>9</v>
      </c>
      <c r="B86" t="s">
        <v>35</v>
      </c>
      <c r="C86" t="s">
        <v>37</v>
      </c>
      <c r="D86" t="s">
        <v>9</v>
      </c>
      <c r="E86" t="s">
        <v>3731</v>
      </c>
      <c r="F86" t="s">
        <v>1063</v>
      </c>
      <c r="G86" t="s">
        <v>1107</v>
      </c>
      <c r="H86" t="s">
        <v>3294</v>
      </c>
      <c r="I86" t="s">
        <v>3295</v>
      </c>
      <c r="J86" t="s">
        <v>3949</v>
      </c>
      <c r="K86" t="s">
        <v>3950</v>
      </c>
      <c r="L86" t="s">
        <v>3951</v>
      </c>
      <c r="M86" t="s">
        <v>1053</v>
      </c>
      <c r="N86" t="s">
        <v>161</v>
      </c>
      <c r="O86" t="s">
        <v>1107</v>
      </c>
      <c r="P86" t="s">
        <v>3294</v>
      </c>
      <c r="Q86" t="s">
        <v>3295</v>
      </c>
      <c r="R86" t="s">
        <v>3949</v>
      </c>
      <c r="S86" t="s">
        <v>3950</v>
      </c>
      <c r="T86" t="s">
        <v>3677</v>
      </c>
      <c r="U86" t="s">
        <v>3678</v>
      </c>
      <c r="V86" t="s">
        <v>664</v>
      </c>
      <c r="W86" t="s">
        <v>3657</v>
      </c>
      <c r="X86" t="s">
        <v>3679</v>
      </c>
      <c r="Y86" t="s">
        <v>3680</v>
      </c>
      <c r="Z86" t="s">
        <v>3952</v>
      </c>
      <c r="AA86" t="s">
        <v>3787</v>
      </c>
      <c r="AB86" t="s">
        <v>664</v>
      </c>
      <c r="AC86" t="s">
        <v>52</v>
      </c>
      <c r="AD86" t="s">
        <v>6</v>
      </c>
      <c r="AE86" t="s">
        <v>6</v>
      </c>
      <c r="AF86" t="s">
        <v>89</v>
      </c>
      <c r="AG86" t="s">
        <v>3953</v>
      </c>
      <c r="AH86" t="s">
        <v>9</v>
      </c>
      <c r="AI86" t="s">
        <v>9</v>
      </c>
      <c r="AJ86" t="s">
        <v>9</v>
      </c>
      <c r="AK86" t="s">
        <v>9</v>
      </c>
      <c r="AL86" t="s">
        <v>3662</v>
      </c>
    </row>
    <row r="87" spans="1:38" ht="11.25" customHeight="1">
      <c r="A87" t="s">
        <v>9</v>
      </c>
      <c r="B87" t="s">
        <v>35</v>
      </c>
      <c r="C87" t="s">
        <v>37</v>
      </c>
      <c r="D87" t="s">
        <v>9</v>
      </c>
      <c r="E87" t="s">
        <v>3954</v>
      </c>
      <c r="F87" t="s">
        <v>1046</v>
      </c>
      <c r="G87" t="s">
        <v>1107</v>
      </c>
      <c r="H87" t="s">
        <v>3300</v>
      </c>
      <c r="I87" t="s">
        <v>3301</v>
      </c>
      <c r="J87" t="s">
        <v>3955</v>
      </c>
      <c r="K87" t="s">
        <v>3956</v>
      </c>
      <c r="L87" t="s">
        <v>3957</v>
      </c>
      <c r="M87" t="s">
        <v>1053</v>
      </c>
      <c r="N87" t="s">
        <v>161</v>
      </c>
      <c r="O87" t="s">
        <v>1107</v>
      </c>
      <c r="P87" t="s">
        <v>3300</v>
      </c>
      <c r="Q87" t="s">
        <v>3301</v>
      </c>
      <c r="R87" t="s">
        <v>3955</v>
      </c>
      <c r="S87" t="s">
        <v>3956</v>
      </c>
      <c r="T87" t="s">
        <v>3655</v>
      </c>
      <c r="U87" t="s">
        <v>3659</v>
      </c>
      <c r="V87" t="s">
        <v>664</v>
      </c>
      <c r="W87" t="s">
        <v>3657</v>
      </c>
      <c r="X87" t="s">
        <v>3658</v>
      </c>
      <c r="Y87" t="s">
        <v>3659</v>
      </c>
      <c r="Z87" t="s">
        <v>1053</v>
      </c>
      <c r="AA87" t="s">
        <v>3922</v>
      </c>
      <c r="AB87" t="s">
        <v>664</v>
      </c>
      <c r="AC87" t="s">
        <v>52</v>
      </c>
      <c r="AD87" t="s">
        <v>52</v>
      </c>
      <c r="AE87" t="s">
        <v>52</v>
      </c>
      <c r="AF87" t="s">
        <v>3958</v>
      </c>
      <c r="AG87" t="s">
        <v>3959</v>
      </c>
      <c r="AH87" t="s">
        <v>3958</v>
      </c>
      <c r="AI87" t="s">
        <v>3959</v>
      </c>
      <c r="AJ87" t="s">
        <v>3958</v>
      </c>
      <c r="AK87" t="s">
        <v>3959</v>
      </c>
      <c r="AL87" t="s">
        <v>3662</v>
      </c>
    </row>
    <row r="88" spans="1:38" ht="11.25" customHeight="1">
      <c r="A88" t="s">
        <v>9</v>
      </c>
      <c r="B88" t="s">
        <v>35</v>
      </c>
      <c r="C88" t="s">
        <v>37</v>
      </c>
      <c r="D88" t="s">
        <v>9</v>
      </c>
      <c r="E88" t="s">
        <v>3960</v>
      </c>
      <c r="F88" t="s">
        <v>1046</v>
      </c>
      <c r="G88" t="s">
        <v>3303</v>
      </c>
      <c r="H88" t="s">
        <v>3305</v>
      </c>
      <c r="I88" t="s">
        <v>3306</v>
      </c>
      <c r="J88" t="s">
        <v>3961</v>
      </c>
      <c r="K88" t="s">
        <v>3962</v>
      </c>
      <c r="L88" t="s">
        <v>3963</v>
      </c>
      <c r="M88" t="s">
        <v>1053</v>
      </c>
      <c r="N88" t="s">
        <v>161</v>
      </c>
      <c r="O88" t="s">
        <v>3303</v>
      </c>
      <c r="P88" t="s">
        <v>3305</v>
      </c>
      <c r="Q88" t="s">
        <v>3306</v>
      </c>
      <c r="R88" t="s">
        <v>3961</v>
      </c>
      <c r="S88" t="s">
        <v>3962</v>
      </c>
      <c r="T88" t="s">
        <v>3655</v>
      </c>
      <c r="U88" t="s">
        <v>3656</v>
      </c>
      <c r="V88" t="s">
        <v>664</v>
      </c>
      <c r="W88" t="s">
        <v>3657</v>
      </c>
      <c r="X88" t="s">
        <v>3658</v>
      </c>
      <c r="Y88" t="s">
        <v>3659</v>
      </c>
      <c r="Z88" t="s">
        <v>3820</v>
      </c>
      <c r="AA88" t="s">
        <v>3964</v>
      </c>
      <c r="AB88" t="s">
        <v>664</v>
      </c>
      <c r="AC88" t="s">
        <v>52</v>
      </c>
      <c r="AD88" t="s">
        <v>52</v>
      </c>
      <c r="AE88" t="s">
        <v>52</v>
      </c>
      <c r="AF88" t="s">
        <v>3703</v>
      </c>
      <c r="AG88" t="s">
        <v>3965</v>
      </c>
      <c r="AH88" t="s">
        <v>3703</v>
      </c>
      <c r="AI88" t="s">
        <v>3965</v>
      </c>
      <c r="AJ88" t="s">
        <v>3703</v>
      </c>
      <c r="AK88" t="s">
        <v>3965</v>
      </c>
      <c r="AL88" t="s">
        <v>3662</v>
      </c>
    </row>
    <row r="89" spans="1:38" ht="11.25" customHeight="1">
      <c r="A89" t="s">
        <v>9</v>
      </c>
      <c r="B89" t="s">
        <v>35</v>
      </c>
      <c r="C89" t="s">
        <v>37</v>
      </c>
      <c r="D89" t="s">
        <v>9</v>
      </c>
      <c r="E89" t="s">
        <v>1100</v>
      </c>
      <c r="F89" t="s">
        <v>1046</v>
      </c>
      <c r="G89" t="s">
        <v>3303</v>
      </c>
      <c r="H89" t="s">
        <v>3305</v>
      </c>
      <c r="I89" t="s">
        <v>3306</v>
      </c>
      <c r="J89" t="s">
        <v>3966</v>
      </c>
      <c r="K89" t="s">
        <v>3967</v>
      </c>
      <c r="L89" t="s">
        <v>3968</v>
      </c>
      <c r="M89" t="s">
        <v>1053</v>
      </c>
      <c r="N89" t="s">
        <v>161</v>
      </c>
      <c r="O89" t="s">
        <v>3303</v>
      </c>
      <c r="P89" t="s">
        <v>3305</v>
      </c>
      <c r="Q89" t="s">
        <v>3306</v>
      </c>
      <c r="R89" t="s">
        <v>3966</v>
      </c>
      <c r="S89" t="s">
        <v>3967</v>
      </c>
      <c r="T89" t="s">
        <v>3655</v>
      </c>
      <c r="U89" t="s">
        <v>3656</v>
      </c>
      <c r="V89" t="s">
        <v>664</v>
      </c>
      <c r="W89" t="s">
        <v>3657</v>
      </c>
      <c r="X89" t="s">
        <v>3658</v>
      </c>
      <c r="Y89" t="s">
        <v>3659</v>
      </c>
      <c r="Z89" t="s">
        <v>3820</v>
      </c>
      <c r="AA89" t="s">
        <v>3969</v>
      </c>
      <c r="AB89" t="s">
        <v>664</v>
      </c>
      <c r="AC89" t="s">
        <v>52</v>
      </c>
      <c r="AD89" t="s">
        <v>52</v>
      </c>
      <c r="AE89" t="s">
        <v>52</v>
      </c>
      <c r="AF89" t="s">
        <v>1151</v>
      </c>
      <c r="AG89" t="s">
        <v>3970</v>
      </c>
      <c r="AH89" t="s">
        <v>1151</v>
      </c>
      <c r="AI89" t="s">
        <v>3970</v>
      </c>
      <c r="AJ89" t="s">
        <v>1151</v>
      </c>
      <c r="AK89" t="s">
        <v>3970</v>
      </c>
      <c r="AL89" t="s">
        <v>3662</v>
      </c>
    </row>
    <row r="90" spans="1:38" ht="11.25" customHeight="1">
      <c r="A90" t="s">
        <v>9</v>
      </c>
      <c r="B90" t="s">
        <v>35</v>
      </c>
      <c r="C90" t="s">
        <v>37</v>
      </c>
      <c r="D90" t="s">
        <v>9</v>
      </c>
      <c r="E90" t="s">
        <v>1089</v>
      </c>
      <c r="F90" t="s">
        <v>1046</v>
      </c>
      <c r="G90" t="s">
        <v>3303</v>
      </c>
      <c r="H90" t="s">
        <v>3305</v>
      </c>
      <c r="I90" t="s">
        <v>3306</v>
      </c>
      <c r="J90" t="s">
        <v>3971</v>
      </c>
      <c r="K90" t="s">
        <v>3972</v>
      </c>
      <c r="L90" t="s">
        <v>3973</v>
      </c>
      <c r="M90" t="s">
        <v>1053</v>
      </c>
      <c r="N90" t="s">
        <v>161</v>
      </c>
      <c r="O90" t="s">
        <v>3303</v>
      </c>
      <c r="P90" t="s">
        <v>3305</v>
      </c>
      <c r="Q90" t="s">
        <v>3306</v>
      </c>
      <c r="R90" t="s">
        <v>3971</v>
      </c>
      <c r="S90" t="s">
        <v>3972</v>
      </c>
      <c r="T90" t="s">
        <v>3677</v>
      </c>
      <c r="U90" t="s">
        <v>3678</v>
      </c>
      <c r="V90" t="s">
        <v>664</v>
      </c>
      <c r="W90" t="s">
        <v>3657</v>
      </c>
      <c r="X90" t="s">
        <v>3679</v>
      </c>
      <c r="Y90" t="s">
        <v>3680</v>
      </c>
      <c r="Z90" t="s">
        <v>3974</v>
      </c>
      <c r="AA90" t="s">
        <v>3975</v>
      </c>
      <c r="AB90" t="s">
        <v>664</v>
      </c>
      <c r="AC90" t="s">
        <v>52</v>
      </c>
      <c r="AD90" t="s">
        <v>52</v>
      </c>
      <c r="AE90" t="s">
        <v>52</v>
      </c>
      <c r="AF90" t="s">
        <v>78</v>
      </c>
      <c r="AG90" t="s">
        <v>3976</v>
      </c>
      <c r="AH90" t="s">
        <v>78</v>
      </c>
      <c r="AI90" t="s">
        <v>3976</v>
      </c>
      <c r="AJ90" t="s">
        <v>78</v>
      </c>
      <c r="AK90" t="s">
        <v>3976</v>
      </c>
      <c r="AL90" t="s">
        <v>3662</v>
      </c>
    </row>
    <row r="91" spans="1:38" ht="11.25" customHeight="1">
      <c r="A91" t="s">
        <v>9</v>
      </c>
      <c r="B91" t="s">
        <v>35</v>
      </c>
      <c r="C91" t="s">
        <v>37</v>
      </c>
      <c r="D91" t="s">
        <v>9</v>
      </c>
      <c r="E91" t="s">
        <v>3706</v>
      </c>
      <c r="F91" t="s">
        <v>1046</v>
      </c>
      <c r="G91" t="s">
        <v>3303</v>
      </c>
      <c r="H91" t="s">
        <v>3307</v>
      </c>
      <c r="I91" t="s">
        <v>3308</v>
      </c>
      <c r="J91" t="s">
        <v>3977</v>
      </c>
      <c r="K91" t="s">
        <v>3978</v>
      </c>
      <c r="L91" t="s">
        <v>3979</v>
      </c>
      <c r="M91" t="s">
        <v>1053</v>
      </c>
      <c r="N91" t="s">
        <v>161</v>
      </c>
      <c r="O91" t="s">
        <v>3303</v>
      </c>
      <c r="P91" t="s">
        <v>3307</v>
      </c>
      <c r="Q91" t="s">
        <v>3308</v>
      </c>
      <c r="R91" t="s">
        <v>3977</v>
      </c>
      <c r="S91" t="s">
        <v>3978</v>
      </c>
      <c r="T91" t="s">
        <v>3655</v>
      </c>
      <c r="U91" t="s">
        <v>3656</v>
      </c>
      <c r="V91" t="s">
        <v>664</v>
      </c>
      <c r="W91" t="s">
        <v>3657</v>
      </c>
      <c r="X91" t="s">
        <v>3658</v>
      </c>
      <c r="Y91" t="s">
        <v>3659</v>
      </c>
      <c r="Z91" t="s">
        <v>3820</v>
      </c>
      <c r="AA91" t="s">
        <v>3969</v>
      </c>
      <c r="AB91" t="s">
        <v>664</v>
      </c>
      <c r="AC91" t="s">
        <v>52</v>
      </c>
      <c r="AD91" t="s">
        <v>52</v>
      </c>
      <c r="AE91" t="s">
        <v>52</v>
      </c>
      <c r="AF91" t="s">
        <v>3980</v>
      </c>
      <c r="AG91" t="s">
        <v>3981</v>
      </c>
      <c r="AH91" t="s">
        <v>3980</v>
      </c>
      <c r="AI91" t="s">
        <v>3981</v>
      </c>
      <c r="AJ91" t="s">
        <v>3980</v>
      </c>
      <c r="AK91" t="s">
        <v>3981</v>
      </c>
      <c r="AL91" t="s">
        <v>3662</v>
      </c>
    </row>
    <row r="92" spans="1:38" ht="11.25" customHeight="1">
      <c r="A92" t="s">
        <v>9</v>
      </c>
      <c r="B92" t="s">
        <v>35</v>
      </c>
      <c r="C92" t="s">
        <v>37</v>
      </c>
      <c r="D92" t="s">
        <v>9</v>
      </c>
      <c r="E92" t="s">
        <v>3714</v>
      </c>
      <c r="F92" t="s">
        <v>1046</v>
      </c>
      <c r="G92" t="s">
        <v>3303</v>
      </c>
      <c r="H92" t="s">
        <v>3307</v>
      </c>
      <c r="I92" t="s">
        <v>3308</v>
      </c>
      <c r="J92" t="s">
        <v>3977</v>
      </c>
      <c r="K92" t="s">
        <v>3978</v>
      </c>
      <c r="L92" t="s">
        <v>3979</v>
      </c>
      <c r="M92" t="s">
        <v>1053</v>
      </c>
      <c r="N92" t="s">
        <v>161</v>
      </c>
      <c r="O92" t="s">
        <v>3303</v>
      </c>
      <c r="P92" t="s">
        <v>3307</v>
      </c>
      <c r="Q92" t="s">
        <v>3308</v>
      </c>
      <c r="R92" t="s">
        <v>3977</v>
      </c>
      <c r="S92" t="s">
        <v>3978</v>
      </c>
      <c r="T92" t="s">
        <v>3655</v>
      </c>
      <c r="U92" t="s">
        <v>3656</v>
      </c>
      <c r="V92" t="s">
        <v>664</v>
      </c>
      <c r="W92" t="s">
        <v>3657</v>
      </c>
      <c r="X92" t="s">
        <v>3658</v>
      </c>
      <c r="Y92" t="s">
        <v>3659</v>
      </c>
      <c r="Z92" t="s">
        <v>3820</v>
      </c>
      <c r="AA92" t="s">
        <v>3982</v>
      </c>
      <c r="AB92" t="s">
        <v>664</v>
      </c>
      <c r="AC92" t="s">
        <v>52</v>
      </c>
      <c r="AD92" t="s">
        <v>52</v>
      </c>
      <c r="AE92" t="s">
        <v>52</v>
      </c>
      <c r="AF92" t="s">
        <v>161</v>
      </c>
      <c r="AG92" t="s">
        <v>3758</v>
      </c>
      <c r="AH92" t="s">
        <v>161</v>
      </c>
      <c r="AI92" t="s">
        <v>3758</v>
      </c>
      <c r="AJ92" t="s">
        <v>161</v>
      </c>
      <c r="AK92" t="s">
        <v>3758</v>
      </c>
      <c r="AL92" t="s">
        <v>3774</v>
      </c>
    </row>
    <row r="93" spans="1:38" ht="11.25" customHeight="1">
      <c r="A93" t="s">
        <v>9</v>
      </c>
      <c r="B93" t="s">
        <v>35</v>
      </c>
      <c r="C93" t="s">
        <v>37</v>
      </c>
      <c r="D93" t="s">
        <v>9</v>
      </c>
      <c r="E93" t="s">
        <v>3983</v>
      </c>
      <c r="F93" t="s">
        <v>1046</v>
      </c>
      <c r="G93" t="s">
        <v>3303</v>
      </c>
      <c r="H93" t="s">
        <v>3310</v>
      </c>
      <c r="I93" t="s">
        <v>3311</v>
      </c>
      <c r="J93" t="s">
        <v>3984</v>
      </c>
      <c r="K93" t="s">
        <v>3985</v>
      </c>
      <c r="L93" t="s">
        <v>3986</v>
      </c>
      <c r="M93" t="s">
        <v>1053</v>
      </c>
      <c r="N93" t="s">
        <v>161</v>
      </c>
      <c r="O93" t="s">
        <v>3303</v>
      </c>
      <c r="P93" t="s">
        <v>3310</v>
      </c>
      <c r="Q93" t="s">
        <v>3311</v>
      </c>
      <c r="R93" t="s">
        <v>3984</v>
      </c>
      <c r="S93" t="s">
        <v>3985</v>
      </c>
      <c r="T93" t="s">
        <v>3655</v>
      </c>
      <c r="U93" t="s">
        <v>3656</v>
      </c>
      <c r="V93" t="s">
        <v>664</v>
      </c>
      <c r="W93" t="s">
        <v>3657</v>
      </c>
      <c r="X93" t="s">
        <v>3658</v>
      </c>
      <c r="Y93" t="s">
        <v>3659</v>
      </c>
      <c r="Z93" t="s">
        <v>3820</v>
      </c>
      <c r="AA93" t="s">
        <v>3969</v>
      </c>
      <c r="AB93" t="s">
        <v>664</v>
      </c>
      <c r="AC93" t="s">
        <v>52</v>
      </c>
      <c r="AD93" t="s">
        <v>52</v>
      </c>
      <c r="AE93" t="s">
        <v>52</v>
      </c>
      <c r="AF93" t="s">
        <v>3987</v>
      </c>
      <c r="AG93" t="s">
        <v>3988</v>
      </c>
      <c r="AH93" t="s">
        <v>3987</v>
      </c>
      <c r="AI93" t="s">
        <v>3988</v>
      </c>
      <c r="AJ93" t="s">
        <v>3987</v>
      </c>
      <c r="AK93" t="s">
        <v>3988</v>
      </c>
      <c r="AL93" t="s">
        <v>3662</v>
      </c>
    </row>
    <row r="94" spans="1:38" ht="11.25" customHeight="1">
      <c r="A94" t="s">
        <v>9</v>
      </c>
      <c r="B94" t="s">
        <v>35</v>
      </c>
      <c r="C94" t="s">
        <v>37</v>
      </c>
      <c r="D94" t="s">
        <v>9</v>
      </c>
      <c r="E94" t="s">
        <v>3989</v>
      </c>
      <c r="F94" t="s">
        <v>1046</v>
      </c>
      <c r="G94" t="s">
        <v>3303</v>
      </c>
      <c r="H94" t="s">
        <v>3313</v>
      </c>
      <c r="I94" t="s">
        <v>3314</v>
      </c>
      <c r="J94" t="s">
        <v>3990</v>
      </c>
      <c r="K94" t="s">
        <v>3991</v>
      </c>
      <c r="L94" t="s">
        <v>3992</v>
      </c>
      <c r="M94" t="s">
        <v>1053</v>
      </c>
      <c r="N94" t="s">
        <v>161</v>
      </c>
      <c r="O94" t="s">
        <v>3303</v>
      </c>
      <c r="P94" t="s">
        <v>3313</v>
      </c>
      <c r="Q94" t="s">
        <v>3314</v>
      </c>
      <c r="R94" t="s">
        <v>3990</v>
      </c>
      <c r="S94" t="s">
        <v>3991</v>
      </c>
      <c r="T94" t="s">
        <v>3655</v>
      </c>
      <c r="U94" t="s">
        <v>3659</v>
      </c>
      <c r="V94" t="s">
        <v>664</v>
      </c>
      <c r="W94" t="s">
        <v>3657</v>
      </c>
      <c r="X94" t="s">
        <v>3658</v>
      </c>
      <c r="Y94" t="s">
        <v>3659</v>
      </c>
      <c r="Z94" t="s">
        <v>3993</v>
      </c>
      <c r="AA94" t="s">
        <v>3994</v>
      </c>
      <c r="AB94" t="s">
        <v>664</v>
      </c>
      <c r="AC94" t="s">
        <v>52</v>
      </c>
      <c r="AD94" t="s">
        <v>52</v>
      </c>
      <c r="AE94" t="s">
        <v>52</v>
      </c>
      <c r="AF94" t="s">
        <v>3995</v>
      </c>
      <c r="AG94" t="s">
        <v>3838</v>
      </c>
      <c r="AH94" t="s">
        <v>3995</v>
      </c>
      <c r="AI94" t="s">
        <v>3838</v>
      </c>
      <c r="AJ94" t="s">
        <v>3995</v>
      </c>
      <c r="AK94" t="s">
        <v>3838</v>
      </c>
      <c r="AL94" t="s">
        <v>3662</v>
      </c>
    </row>
    <row r="95" spans="1:38" ht="11.25" customHeight="1">
      <c r="A95" t="s">
        <v>9</v>
      </c>
      <c r="B95" t="s">
        <v>35</v>
      </c>
      <c r="C95" t="s">
        <v>37</v>
      </c>
      <c r="D95" t="s">
        <v>9</v>
      </c>
      <c r="E95" t="s">
        <v>3699</v>
      </c>
      <c r="F95" t="s">
        <v>1046</v>
      </c>
      <c r="G95" t="s">
        <v>3303</v>
      </c>
      <c r="H95" t="s">
        <v>3313</v>
      </c>
      <c r="I95" t="s">
        <v>3314</v>
      </c>
      <c r="J95" t="s">
        <v>3996</v>
      </c>
      <c r="K95" t="s">
        <v>3997</v>
      </c>
      <c r="L95" t="s">
        <v>3998</v>
      </c>
      <c r="M95" t="s">
        <v>1053</v>
      </c>
      <c r="N95" t="s">
        <v>161</v>
      </c>
      <c r="O95" t="s">
        <v>3303</v>
      </c>
      <c r="P95" t="s">
        <v>3313</v>
      </c>
      <c r="Q95" t="s">
        <v>3314</v>
      </c>
      <c r="R95" t="s">
        <v>3996</v>
      </c>
      <c r="S95" t="s">
        <v>3997</v>
      </c>
      <c r="T95" t="s">
        <v>3655</v>
      </c>
      <c r="U95" t="s">
        <v>3656</v>
      </c>
      <c r="V95" t="s">
        <v>664</v>
      </c>
      <c r="W95" t="s">
        <v>3657</v>
      </c>
      <c r="X95" t="s">
        <v>3658</v>
      </c>
      <c r="Y95" t="s">
        <v>3659</v>
      </c>
      <c r="Z95" t="s">
        <v>3820</v>
      </c>
      <c r="AA95" t="s">
        <v>3969</v>
      </c>
      <c r="AB95" t="s">
        <v>664</v>
      </c>
      <c r="AC95" t="s">
        <v>52</v>
      </c>
      <c r="AD95" t="s">
        <v>52</v>
      </c>
      <c r="AE95" t="s">
        <v>52</v>
      </c>
      <c r="AF95" t="s">
        <v>78</v>
      </c>
      <c r="AG95" t="s">
        <v>3999</v>
      </c>
      <c r="AH95" t="s">
        <v>78</v>
      </c>
      <c r="AI95" t="s">
        <v>3999</v>
      </c>
      <c r="AJ95" t="s">
        <v>78</v>
      </c>
      <c r="AK95" t="s">
        <v>3999</v>
      </c>
      <c r="AL95" t="s">
        <v>3662</v>
      </c>
    </row>
    <row r="96" spans="1:38" ht="11.25" customHeight="1">
      <c r="A96" t="s">
        <v>9</v>
      </c>
      <c r="B96" t="s">
        <v>35</v>
      </c>
      <c r="C96" t="s">
        <v>37</v>
      </c>
      <c r="D96" t="s">
        <v>9</v>
      </c>
      <c r="E96" t="s">
        <v>3769</v>
      </c>
      <c r="F96" t="s">
        <v>1046</v>
      </c>
      <c r="G96" t="s">
        <v>3303</v>
      </c>
      <c r="H96" t="s">
        <v>3319</v>
      </c>
      <c r="I96" t="s">
        <v>3320</v>
      </c>
      <c r="J96" t="s">
        <v>4000</v>
      </c>
      <c r="K96" t="s">
        <v>4001</v>
      </c>
      <c r="L96" t="s">
        <v>4002</v>
      </c>
      <c r="M96" t="s">
        <v>1053</v>
      </c>
      <c r="N96" t="s">
        <v>161</v>
      </c>
      <c r="O96" t="s">
        <v>3303</v>
      </c>
      <c r="P96" t="s">
        <v>3319</v>
      </c>
      <c r="Q96" t="s">
        <v>3320</v>
      </c>
      <c r="R96" t="s">
        <v>4000</v>
      </c>
      <c r="S96" t="s">
        <v>4001</v>
      </c>
      <c r="T96" t="s">
        <v>3677</v>
      </c>
      <c r="U96" t="s">
        <v>3678</v>
      </c>
      <c r="V96" t="s">
        <v>664</v>
      </c>
      <c r="W96" t="s">
        <v>3657</v>
      </c>
      <c r="X96" t="s">
        <v>3679</v>
      </c>
      <c r="Y96" t="s">
        <v>3680</v>
      </c>
      <c r="Z96" t="s">
        <v>4003</v>
      </c>
      <c r="AA96" t="s">
        <v>4004</v>
      </c>
      <c r="AB96" t="s">
        <v>664</v>
      </c>
      <c r="AC96" t="s">
        <v>52</v>
      </c>
      <c r="AD96" t="s">
        <v>52</v>
      </c>
      <c r="AE96" t="s">
        <v>52</v>
      </c>
      <c r="AF96" t="s">
        <v>1151</v>
      </c>
      <c r="AG96" t="s">
        <v>4005</v>
      </c>
      <c r="AH96" t="s">
        <v>1151</v>
      </c>
      <c r="AI96" t="s">
        <v>4005</v>
      </c>
      <c r="AJ96" t="s">
        <v>1151</v>
      </c>
      <c r="AK96" t="s">
        <v>4005</v>
      </c>
      <c r="AL96" t="s">
        <v>3662</v>
      </c>
    </row>
    <row r="97" spans="1:38" ht="11.25" customHeight="1">
      <c r="A97" t="s">
        <v>9</v>
      </c>
      <c r="B97" t="s">
        <v>35</v>
      </c>
      <c r="C97" t="s">
        <v>37</v>
      </c>
      <c r="D97" t="s">
        <v>9</v>
      </c>
      <c r="E97" t="s">
        <v>4006</v>
      </c>
      <c r="F97" t="s">
        <v>1046</v>
      </c>
      <c r="G97" t="s">
        <v>3303</v>
      </c>
      <c r="H97" t="s">
        <v>3319</v>
      </c>
      <c r="I97" t="s">
        <v>3320</v>
      </c>
      <c r="J97" t="s">
        <v>4000</v>
      </c>
      <c r="K97" t="s">
        <v>4001</v>
      </c>
      <c r="L97" t="s">
        <v>4007</v>
      </c>
      <c r="M97" t="s">
        <v>1053</v>
      </c>
      <c r="N97" t="s">
        <v>161</v>
      </c>
      <c r="O97" t="s">
        <v>3303</v>
      </c>
      <c r="P97" t="s">
        <v>3319</v>
      </c>
      <c r="Q97" t="s">
        <v>3320</v>
      </c>
      <c r="R97" t="s">
        <v>4000</v>
      </c>
      <c r="S97" t="s">
        <v>4001</v>
      </c>
      <c r="T97" t="s">
        <v>3655</v>
      </c>
      <c r="U97" t="s">
        <v>3656</v>
      </c>
      <c r="V97" t="s">
        <v>664</v>
      </c>
      <c r="W97" t="s">
        <v>3657</v>
      </c>
      <c r="X97" t="s">
        <v>3658</v>
      </c>
      <c r="Y97" t="s">
        <v>3659</v>
      </c>
      <c r="Z97" t="s">
        <v>3820</v>
      </c>
      <c r="AA97" t="s">
        <v>3969</v>
      </c>
      <c r="AB97" t="s">
        <v>664</v>
      </c>
      <c r="AC97" t="s">
        <v>52</v>
      </c>
      <c r="AD97" t="s">
        <v>52</v>
      </c>
      <c r="AE97" t="s">
        <v>52</v>
      </c>
      <c r="AF97" t="s">
        <v>77</v>
      </c>
      <c r="AG97" t="s">
        <v>4008</v>
      </c>
      <c r="AH97" t="s">
        <v>77</v>
      </c>
      <c r="AI97" t="s">
        <v>4008</v>
      </c>
      <c r="AJ97" t="s">
        <v>77</v>
      </c>
      <c r="AK97" t="s">
        <v>4008</v>
      </c>
      <c r="AL97" t="s">
        <v>3662</v>
      </c>
    </row>
    <row r="98" spans="1:38" ht="11.25" customHeight="1">
      <c r="A98" t="s">
        <v>9</v>
      </c>
      <c r="B98" t="s">
        <v>35</v>
      </c>
      <c r="C98" t="s">
        <v>37</v>
      </c>
      <c r="D98" t="s">
        <v>9</v>
      </c>
      <c r="E98" t="s">
        <v>4009</v>
      </c>
      <c r="F98" t="s">
        <v>3672</v>
      </c>
      <c r="G98" t="s">
        <v>3303</v>
      </c>
      <c r="H98" t="s">
        <v>3319</v>
      </c>
      <c r="I98" t="s">
        <v>3320</v>
      </c>
      <c r="J98" t="s">
        <v>4000</v>
      </c>
      <c r="K98" t="s">
        <v>4001</v>
      </c>
      <c r="L98" t="s">
        <v>4007</v>
      </c>
      <c r="M98" t="s">
        <v>1053</v>
      </c>
      <c r="N98" t="s">
        <v>161</v>
      </c>
      <c r="O98" t="s">
        <v>3303</v>
      </c>
      <c r="P98" t="s">
        <v>3319</v>
      </c>
      <c r="Q98" t="s">
        <v>3320</v>
      </c>
      <c r="R98" t="s">
        <v>4000</v>
      </c>
      <c r="S98" t="s">
        <v>4001</v>
      </c>
      <c r="T98" t="s">
        <v>3655</v>
      </c>
      <c r="U98" t="s">
        <v>3656</v>
      </c>
      <c r="V98" t="s">
        <v>664</v>
      </c>
      <c r="W98" t="s">
        <v>3657</v>
      </c>
      <c r="X98" t="s">
        <v>3658</v>
      </c>
      <c r="Y98" t="s">
        <v>3659</v>
      </c>
      <c r="Z98" t="s">
        <v>3820</v>
      </c>
      <c r="AA98" t="s">
        <v>3969</v>
      </c>
      <c r="AB98" t="s">
        <v>664</v>
      </c>
      <c r="AC98" t="s">
        <v>6</v>
      </c>
      <c r="AD98" t="s">
        <v>52</v>
      </c>
      <c r="AE98" t="s">
        <v>6</v>
      </c>
      <c r="AF98" t="s">
        <v>9</v>
      </c>
      <c r="AG98" t="s">
        <v>9</v>
      </c>
      <c r="AH98" t="s">
        <v>77</v>
      </c>
      <c r="AI98" t="s">
        <v>4008</v>
      </c>
      <c r="AJ98" t="s">
        <v>77</v>
      </c>
      <c r="AK98" t="s">
        <v>4008</v>
      </c>
      <c r="AL98" t="s">
        <v>9</v>
      </c>
    </row>
    <row r="99" spans="1:38" ht="11.25" customHeight="1">
      <c r="A99" t="s">
        <v>9</v>
      </c>
      <c r="B99" t="s">
        <v>35</v>
      </c>
      <c r="C99" t="s">
        <v>37</v>
      </c>
      <c r="D99" t="s">
        <v>9</v>
      </c>
      <c r="E99" t="s">
        <v>1072</v>
      </c>
      <c r="F99" t="s">
        <v>1046</v>
      </c>
      <c r="G99" t="s">
        <v>3303</v>
      </c>
      <c r="H99" t="s">
        <v>3319</v>
      </c>
      <c r="I99" t="s">
        <v>3320</v>
      </c>
      <c r="J99" t="s">
        <v>4010</v>
      </c>
      <c r="K99" t="s">
        <v>4011</v>
      </c>
      <c r="L99" t="s">
        <v>3742</v>
      </c>
      <c r="M99" t="s">
        <v>1053</v>
      </c>
      <c r="N99" t="s">
        <v>161</v>
      </c>
      <c r="O99" t="s">
        <v>3303</v>
      </c>
      <c r="P99" t="s">
        <v>3319</v>
      </c>
      <c r="Q99" t="s">
        <v>3320</v>
      </c>
      <c r="R99" t="s">
        <v>4010</v>
      </c>
      <c r="S99" t="s">
        <v>4011</v>
      </c>
      <c r="T99" t="s">
        <v>3677</v>
      </c>
      <c r="U99" t="s">
        <v>3678</v>
      </c>
      <c r="V99" t="s">
        <v>664</v>
      </c>
      <c r="W99" t="s">
        <v>3657</v>
      </c>
      <c r="X99" t="s">
        <v>3679</v>
      </c>
      <c r="Y99" t="s">
        <v>3680</v>
      </c>
      <c r="Z99" t="s">
        <v>4012</v>
      </c>
      <c r="AA99" t="s">
        <v>3975</v>
      </c>
      <c r="AB99" t="s">
        <v>664</v>
      </c>
      <c r="AC99" t="s">
        <v>52</v>
      </c>
      <c r="AD99" t="s">
        <v>52</v>
      </c>
      <c r="AE99" t="s">
        <v>52</v>
      </c>
      <c r="AF99" t="s">
        <v>89</v>
      </c>
      <c r="AG99" t="s">
        <v>4013</v>
      </c>
      <c r="AH99" t="s">
        <v>89</v>
      </c>
      <c r="AI99" t="s">
        <v>4013</v>
      </c>
      <c r="AJ99" t="s">
        <v>89</v>
      </c>
      <c r="AK99" t="s">
        <v>4013</v>
      </c>
      <c r="AL99" t="s">
        <v>3662</v>
      </c>
    </row>
    <row r="100" spans="1:38" ht="11.25" customHeight="1">
      <c r="A100" t="s">
        <v>9</v>
      </c>
      <c r="B100" t="s">
        <v>35</v>
      </c>
      <c r="C100" t="s">
        <v>37</v>
      </c>
      <c r="D100" t="s">
        <v>9</v>
      </c>
      <c r="E100" t="s">
        <v>3760</v>
      </c>
      <c r="F100" t="s">
        <v>1046</v>
      </c>
      <c r="G100" t="s">
        <v>3303</v>
      </c>
      <c r="H100" t="s">
        <v>3319</v>
      </c>
      <c r="I100" t="s">
        <v>3320</v>
      </c>
      <c r="J100" t="s">
        <v>4010</v>
      </c>
      <c r="K100" t="s">
        <v>4011</v>
      </c>
      <c r="L100" t="s">
        <v>4014</v>
      </c>
      <c r="M100" t="s">
        <v>1053</v>
      </c>
      <c r="N100" t="s">
        <v>161</v>
      </c>
      <c r="O100" t="s">
        <v>3303</v>
      </c>
      <c r="P100" t="s">
        <v>3319</v>
      </c>
      <c r="Q100" t="s">
        <v>3320</v>
      </c>
      <c r="R100" t="s">
        <v>4010</v>
      </c>
      <c r="S100" t="s">
        <v>4011</v>
      </c>
      <c r="T100" t="s">
        <v>3655</v>
      </c>
      <c r="U100" t="s">
        <v>3656</v>
      </c>
      <c r="V100" t="s">
        <v>664</v>
      </c>
      <c r="W100" t="s">
        <v>3657</v>
      </c>
      <c r="X100" t="s">
        <v>3658</v>
      </c>
      <c r="Y100" t="s">
        <v>3659</v>
      </c>
      <c r="Z100" t="s">
        <v>3820</v>
      </c>
      <c r="AA100" t="s">
        <v>3969</v>
      </c>
      <c r="AB100" t="s">
        <v>664</v>
      </c>
      <c r="AC100" t="s">
        <v>52</v>
      </c>
      <c r="AD100" t="s">
        <v>52</v>
      </c>
      <c r="AE100" t="s">
        <v>52</v>
      </c>
      <c r="AF100" t="s">
        <v>394</v>
      </c>
      <c r="AG100" t="s">
        <v>4015</v>
      </c>
      <c r="AH100" t="s">
        <v>394</v>
      </c>
      <c r="AI100" t="s">
        <v>4015</v>
      </c>
      <c r="AJ100" t="s">
        <v>394</v>
      </c>
      <c r="AK100" t="s">
        <v>4015</v>
      </c>
      <c r="AL100" t="s">
        <v>3662</v>
      </c>
    </row>
    <row r="101" spans="1:38" ht="11.25" customHeight="1">
      <c r="A101" t="s">
        <v>9</v>
      </c>
      <c r="B101" t="s">
        <v>35</v>
      </c>
      <c r="C101" t="s">
        <v>37</v>
      </c>
      <c r="D101" t="s">
        <v>9</v>
      </c>
      <c r="E101" t="s">
        <v>4016</v>
      </c>
      <c r="F101" t="s">
        <v>1046</v>
      </c>
      <c r="G101" t="s">
        <v>3303</v>
      </c>
      <c r="H101" t="s">
        <v>3322</v>
      </c>
      <c r="I101" t="s">
        <v>3323</v>
      </c>
      <c r="J101" t="s">
        <v>4017</v>
      </c>
      <c r="K101" t="s">
        <v>4018</v>
      </c>
      <c r="L101" t="s">
        <v>4019</v>
      </c>
      <c r="M101" t="s">
        <v>1053</v>
      </c>
      <c r="N101" t="s">
        <v>161</v>
      </c>
      <c r="O101" t="s">
        <v>3303</v>
      </c>
      <c r="P101" t="s">
        <v>3322</v>
      </c>
      <c r="Q101" t="s">
        <v>3323</v>
      </c>
      <c r="R101" t="s">
        <v>4017</v>
      </c>
      <c r="S101" t="s">
        <v>4018</v>
      </c>
      <c r="T101" t="s">
        <v>3655</v>
      </c>
      <c r="U101" t="s">
        <v>3656</v>
      </c>
      <c r="V101" t="s">
        <v>664</v>
      </c>
      <c r="W101" t="s">
        <v>3657</v>
      </c>
      <c r="X101" t="s">
        <v>3658</v>
      </c>
      <c r="Y101" t="s">
        <v>3659</v>
      </c>
      <c r="Z101" t="s">
        <v>3820</v>
      </c>
      <c r="AA101" t="s">
        <v>3969</v>
      </c>
      <c r="AB101" t="s">
        <v>664</v>
      </c>
      <c r="AC101" t="s">
        <v>52</v>
      </c>
      <c r="AD101" t="s">
        <v>52</v>
      </c>
      <c r="AE101" t="s">
        <v>52</v>
      </c>
      <c r="AF101" t="s">
        <v>1147</v>
      </c>
      <c r="AG101" t="s">
        <v>4020</v>
      </c>
      <c r="AH101" t="s">
        <v>1147</v>
      </c>
      <c r="AI101" t="s">
        <v>4020</v>
      </c>
      <c r="AJ101" t="s">
        <v>1147</v>
      </c>
      <c r="AK101" t="s">
        <v>4020</v>
      </c>
      <c r="AL101" t="s">
        <v>3662</v>
      </c>
    </row>
    <row r="102" spans="1:38" ht="11.25" customHeight="1">
      <c r="A102" t="s">
        <v>9</v>
      </c>
      <c r="B102" t="s">
        <v>35</v>
      </c>
      <c r="C102" t="s">
        <v>37</v>
      </c>
      <c r="D102" t="s">
        <v>9</v>
      </c>
      <c r="E102" t="s">
        <v>4021</v>
      </c>
      <c r="F102" t="s">
        <v>1046</v>
      </c>
      <c r="G102" t="s">
        <v>3303</v>
      </c>
      <c r="H102" t="s">
        <v>3325</v>
      </c>
      <c r="I102" t="s">
        <v>3326</v>
      </c>
      <c r="J102" t="s">
        <v>4022</v>
      </c>
      <c r="K102" t="s">
        <v>4023</v>
      </c>
      <c r="L102" t="s">
        <v>4024</v>
      </c>
      <c r="M102" t="s">
        <v>1053</v>
      </c>
      <c r="N102" t="s">
        <v>161</v>
      </c>
      <c r="O102" t="s">
        <v>3303</v>
      </c>
      <c r="P102" t="s">
        <v>3325</v>
      </c>
      <c r="Q102" t="s">
        <v>3326</v>
      </c>
      <c r="R102" t="s">
        <v>4022</v>
      </c>
      <c r="S102" t="s">
        <v>4023</v>
      </c>
      <c r="T102" t="s">
        <v>3655</v>
      </c>
      <c r="U102" t="s">
        <v>3656</v>
      </c>
      <c r="V102" t="s">
        <v>664</v>
      </c>
      <c r="W102" t="s">
        <v>3657</v>
      </c>
      <c r="X102" t="s">
        <v>3658</v>
      </c>
      <c r="Y102" t="s">
        <v>3659</v>
      </c>
      <c r="Z102" t="s">
        <v>3820</v>
      </c>
      <c r="AA102" t="s">
        <v>3969</v>
      </c>
      <c r="AB102" t="s">
        <v>664</v>
      </c>
      <c r="AC102" t="s">
        <v>52</v>
      </c>
      <c r="AD102" t="s">
        <v>52</v>
      </c>
      <c r="AE102" t="s">
        <v>52</v>
      </c>
      <c r="AF102" t="s">
        <v>843</v>
      </c>
      <c r="AG102" t="s">
        <v>4025</v>
      </c>
      <c r="AH102" t="s">
        <v>843</v>
      </c>
      <c r="AI102" t="s">
        <v>4025</v>
      </c>
      <c r="AJ102" t="s">
        <v>843</v>
      </c>
      <c r="AK102" t="s">
        <v>4025</v>
      </c>
      <c r="AL102" t="s">
        <v>3662</v>
      </c>
    </row>
    <row r="103" spans="1:38" ht="11.25" customHeight="1">
      <c r="A103" t="s">
        <v>9</v>
      </c>
      <c r="B103" t="s">
        <v>35</v>
      </c>
      <c r="C103" t="s">
        <v>37</v>
      </c>
      <c r="D103" t="s">
        <v>9</v>
      </c>
      <c r="E103" t="s">
        <v>1045</v>
      </c>
      <c r="F103" t="s">
        <v>1046</v>
      </c>
      <c r="G103" t="s">
        <v>3303</v>
      </c>
      <c r="H103" t="s">
        <v>3329</v>
      </c>
      <c r="I103" t="s">
        <v>3330</v>
      </c>
      <c r="J103" t="s">
        <v>4026</v>
      </c>
      <c r="K103" t="s">
        <v>4027</v>
      </c>
      <c r="L103" t="s">
        <v>4028</v>
      </c>
      <c r="M103" t="s">
        <v>1053</v>
      </c>
      <c r="N103" t="s">
        <v>161</v>
      </c>
      <c r="O103" t="s">
        <v>3303</v>
      </c>
      <c r="P103" t="s">
        <v>3329</v>
      </c>
      <c r="Q103" t="s">
        <v>3330</v>
      </c>
      <c r="R103" t="s">
        <v>4026</v>
      </c>
      <c r="S103" t="s">
        <v>4027</v>
      </c>
      <c r="T103" t="s">
        <v>3677</v>
      </c>
      <c r="U103" t="s">
        <v>3678</v>
      </c>
      <c r="V103" t="s">
        <v>664</v>
      </c>
      <c r="W103" t="s">
        <v>3657</v>
      </c>
      <c r="X103" t="s">
        <v>3679</v>
      </c>
      <c r="Y103" t="s">
        <v>3680</v>
      </c>
      <c r="Z103" t="s">
        <v>4029</v>
      </c>
      <c r="AA103" t="s">
        <v>4030</v>
      </c>
      <c r="AB103" t="s">
        <v>664</v>
      </c>
      <c r="AC103" t="s">
        <v>52</v>
      </c>
      <c r="AD103" t="s">
        <v>52</v>
      </c>
      <c r="AE103" t="s">
        <v>52</v>
      </c>
      <c r="AF103" t="s">
        <v>4031</v>
      </c>
      <c r="AG103" t="s">
        <v>4032</v>
      </c>
      <c r="AH103" t="s">
        <v>4031</v>
      </c>
      <c r="AI103" t="s">
        <v>4032</v>
      </c>
      <c r="AJ103" t="s">
        <v>4031</v>
      </c>
      <c r="AK103" t="s">
        <v>4032</v>
      </c>
      <c r="AL103" t="s">
        <v>3662</v>
      </c>
    </row>
    <row r="104" spans="1:38" ht="11.25" customHeight="1">
      <c r="A104" t="s">
        <v>9</v>
      </c>
      <c r="B104" t="s">
        <v>35</v>
      </c>
      <c r="C104" t="s">
        <v>37</v>
      </c>
      <c r="D104" t="s">
        <v>9</v>
      </c>
      <c r="E104" t="s">
        <v>3684</v>
      </c>
      <c r="F104" t="s">
        <v>3672</v>
      </c>
      <c r="G104" t="s">
        <v>3303</v>
      </c>
      <c r="H104" t="s">
        <v>3329</v>
      </c>
      <c r="I104" t="s">
        <v>3330</v>
      </c>
      <c r="J104" t="s">
        <v>4026</v>
      </c>
      <c r="K104" t="s">
        <v>4027</v>
      </c>
      <c r="L104" t="s">
        <v>4028</v>
      </c>
      <c r="M104" t="s">
        <v>1053</v>
      </c>
      <c r="N104" t="s">
        <v>161</v>
      </c>
      <c r="O104" t="s">
        <v>3303</v>
      </c>
      <c r="P104" t="s">
        <v>3329</v>
      </c>
      <c r="Q104" t="s">
        <v>3330</v>
      </c>
      <c r="R104" t="s">
        <v>4026</v>
      </c>
      <c r="S104" t="s">
        <v>4027</v>
      </c>
      <c r="T104" t="s">
        <v>3677</v>
      </c>
      <c r="U104" t="s">
        <v>3678</v>
      </c>
      <c r="V104" t="s">
        <v>664</v>
      </c>
      <c r="W104" t="s">
        <v>3657</v>
      </c>
      <c r="X104" t="s">
        <v>3679</v>
      </c>
      <c r="Y104" t="s">
        <v>3680</v>
      </c>
      <c r="Z104" t="s">
        <v>4029</v>
      </c>
      <c r="AA104" t="s">
        <v>4030</v>
      </c>
      <c r="AB104" t="s">
        <v>664</v>
      </c>
      <c r="AC104" t="s">
        <v>6</v>
      </c>
      <c r="AD104" t="s">
        <v>52</v>
      </c>
      <c r="AE104" t="s">
        <v>6</v>
      </c>
      <c r="AF104" t="s">
        <v>9</v>
      </c>
      <c r="AG104" t="s">
        <v>9</v>
      </c>
      <c r="AH104" t="s">
        <v>4031</v>
      </c>
      <c r="AI104" t="s">
        <v>4032</v>
      </c>
      <c r="AJ104" t="s">
        <v>4031</v>
      </c>
      <c r="AK104" t="s">
        <v>4032</v>
      </c>
      <c r="AL104" t="s">
        <v>9</v>
      </c>
    </row>
    <row r="105" spans="1:38" ht="11.25" customHeight="1">
      <c r="A105" t="s">
        <v>9</v>
      </c>
      <c r="B105" t="s">
        <v>35</v>
      </c>
      <c r="C105" t="s">
        <v>37</v>
      </c>
      <c r="D105" t="s">
        <v>9</v>
      </c>
      <c r="E105" t="s">
        <v>3831</v>
      </c>
      <c r="F105" t="s">
        <v>1046</v>
      </c>
      <c r="G105" t="s">
        <v>3303</v>
      </c>
      <c r="H105" t="s">
        <v>3329</v>
      </c>
      <c r="I105" t="s">
        <v>3330</v>
      </c>
      <c r="J105" t="s">
        <v>4026</v>
      </c>
      <c r="K105" t="s">
        <v>4027</v>
      </c>
      <c r="L105" t="s">
        <v>4033</v>
      </c>
      <c r="M105" t="s">
        <v>1053</v>
      </c>
      <c r="N105" t="s">
        <v>161</v>
      </c>
      <c r="O105" t="s">
        <v>3303</v>
      </c>
      <c r="P105" t="s">
        <v>3329</v>
      </c>
      <c r="Q105" t="s">
        <v>3330</v>
      </c>
      <c r="R105" t="s">
        <v>4026</v>
      </c>
      <c r="S105" t="s">
        <v>4027</v>
      </c>
      <c r="T105" t="s">
        <v>3677</v>
      </c>
      <c r="U105" t="s">
        <v>3678</v>
      </c>
      <c r="V105" t="s">
        <v>664</v>
      </c>
      <c r="W105" t="s">
        <v>3657</v>
      </c>
      <c r="X105" t="s">
        <v>3679</v>
      </c>
      <c r="Y105" t="s">
        <v>3680</v>
      </c>
      <c r="Z105" t="s">
        <v>4034</v>
      </c>
      <c r="AA105" t="s">
        <v>3975</v>
      </c>
      <c r="AB105" t="s">
        <v>664</v>
      </c>
      <c r="AC105" t="s">
        <v>52</v>
      </c>
      <c r="AD105" t="s">
        <v>52</v>
      </c>
      <c r="AE105" t="s">
        <v>52</v>
      </c>
      <c r="AF105" t="s">
        <v>3980</v>
      </c>
      <c r="AG105" t="s">
        <v>4035</v>
      </c>
      <c r="AH105" t="s">
        <v>3980</v>
      </c>
      <c r="AI105" t="s">
        <v>4035</v>
      </c>
      <c r="AJ105" t="s">
        <v>3980</v>
      </c>
      <c r="AK105" t="s">
        <v>4035</v>
      </c>
      <c r="AL105" t="s">
        <v>3662</v>
      </c>
    </row>
    <row r="106" spans="1:38" ht="11.25" customHeight="1">
      <c r="A106" t="s">
        <v>9</v>
      </c>
      <c r="B106" t="s">
        <v>35</v>
      </c>
      <c r="C106" t="s">
        <v>37</v>
      </c>
      <c r="D106" t="s">
        <v>9</v>
      </c>
      <c r="E106" t="s">
        <v>3663</v>
      </c>
      <c r="F106" t="s">
        <v>1046</v>
      </c>
      <c r="G106" t="s">
        <v>3303</v>
      </c>
      <c r="H106" t="s">
        <v>3329</v>
      </c>
      <c r="I106" t="s">
        <v>3330</v>
      </c>
      <c r="J106" t="s">
        <v>4026</v>
      </c>
      <c r="K106" t="s">
        <v>4027</v>
      </c>
      <c r="L106" t="s">
        <v>4036</v>
      </c>
      <c r="M106" t="s">
        <v>1053</v>
      </c>
      <c r="N106" t="s">
        <v>161</v>
      </c>
      <c r="O106" t="s">
        <v>3303</v>
      </c>
      <c r="P106" t="s">
        <v>3329</v>
      </c>
      <c r="Q106" t="s">
        <v>3330</v>
      </c>
      <c r="R106" t="s">
        <v>4026</v>
      </c>
      <c r="S106" t="s">
        <v>4027</v>
      </c>
      <c r="T106" t="s">
        <v>3677</v>
      </c>
      <c r="U106" t="s">
        <v>3678</v>
      </c>
      <c r="V106" t="s">
        <v>664</v>
      </c>
      <c r="W106" t="s">
        <v>3657</v>
      </c>
      <c r="X106" t="s">
        <v>3679</v>
      </c>
      <c r="Y106" t="s">
        <v>3680</v>
      </c>
      <c r="Z106" t="s">
        <v>4037</v>
      </c>
      <c r="AA106" t="s">
        <v>4038</v>
      </c>
      <c r="AB106" t="s">
        <v>664</v>
      </c>
      <c r="AC106" t="s">
        <v>52</v>
      </c>
      <c r="AD106" t="s">
        <v>52</v>
      </c>
      <c r="AE106" t="s">
        <v>52</v>
      </c>
      <c r="AF106" t="s">
        <v>78</v>
      </c>
      <c r="AG106" t="s">
        <v>4039</v>
      </c>
      <c r="AH106" t="s">
        <v>78</v>
      </c>
      <c r="AI106" t="s">
        <v>4039</v>
      </c>
      <c r="AJ106" t="s">
        <v>78</v>
      </c>
      <c r="AK106" t="s">
        <v>4039</v>
      </c>
      <c r="AL106" t="s">
        <v>3662</v>
      </c>
    </row>
    <row r="107" spans="1:38" ht="11.25" customHeight="1">
      <c r="A107" t="s">
        <v>9</v>
      </c>
      <c r="B107" t="s">
        <v>35</v>
      </c>
      <c r="C107" t="s">
        <v>37</v>
      </c>
      <c r="D107" t="s">
        <v>9</v>
      </c>
      <c r="E107" t="s">
        <v>3671</v>
      </c>
      <c r="F107" t="s">
        <v>3672</v>
      </c>
      <c r="G107" t="s">
        <v>3303</v>
      </c>
      <c r="H107" t="s">
        <v>3329</v>
      </c>
      <c r="I107" t="s">
        <v>3330</v>
      </c>
      <c r="J107" t="s">
        <v>4026</v>
      </c>
      <c r="K107" t="s">
        <v>4027</v>
      </c>
      <c r="L107" t="s">
        <v>4036</v>
      </c>
      <c r="M107" t="s">
        <v>1053</v>
      </c>
      <c r="N107" t="s">
        <v>161</v>
      </c>
      <c r="O107" t="s">
        <v>3303</v>
      </c>
      <c r="P107" t="s">
        <v>3329</v>
      </c>
      <c r="Q107" t="s">
        <v>3330</v>
      </c>
      <c r="R107" t="s">
        <v>4026</v>
      </c>
      <c r="S107" t="s">
        <v>4027</v>
      </c>
      <c r="T107" t="s">
        <v>3677</v>
      </c>
      <c r="U107" t="s">
        <v>3678</v>
      </c>
      <c r="V107" t="s">
        <v>664</v>
      </c>
      <c r="W107" t="s">
        <v>3657</v>
      </c>
      <c r="X107" t="s">
        <v>3679</v>
      </c>
      <c r="Y107" t="s">
        <v>3680</v>
      </c>
      <c r="Z107" t="s">
        <v>4037</v>
      </c>
      <c r="AA107" t="s">
        <v>4038</v>
      </c>
      <c r="AB107" t="s">
        <v>664</v>
      </c>
      <c r="AC107" t="s">
        <v>6</v>
      </c>
      <c r="AD107" t="s">
        <v>52</v>
      </c>
      <c r="AE107" t="s">
        <v>6</v>
      </c>
      <c r="AF107" t="s">
        <v>9</v>
      </c>
      <c r="AG107" t="s">
        <v>9</v>
      </c>
      <c r="AH107" t="s">
        <v>78</v>
      </c>
      <c r="AI107" t="s">
        <v>4039</v>
      </c>
      <c r="AJ107" t="s">
        <v>78</v>
      </c>
      <c r="AK107" t="s">
        <v>4039</v>
      </c>
      <c r="AL107" t="s">
        <v>9</v>
      </c>
    </row>
    <row r="108" spans="1:38" ht="11.25" customHeight="1">
      <c r="A108" t="s">
        <v>9</v>
      </c>
      <c r="B108" t="s">
        <v>35</v>
      </c>
      <c r="C108" t="s">
        <v>37</v>
      </c>
      <c r="D108" t="s">
        <v>9</v>
      </c>
      <c r="E108" t="s">
        <v>1106</v>
      </c>
      <c r="F108" t="s">
        <v>1063</v>
      </c>
      <c r="G108" t="s">
        <v>3303</v>
      </c>
      <c r="H108" t="s">
        <v>3329</v>
      </c>
      <c r="I108" t="s">
        <v>3330</v>
      </c>
      <c r="J108" t="s">
        <v>4026</v>
      </c>
      <c r="K108" t="s">
        <v>4027</v>
      </c>
      <c r="L108" t="s">
        <v>4040</v>
      </c>
      <c r="M108" t="s">
        <v>1053</v>
      </c>
      <c r="N108" t="s">
        <v>161</v>
      </c>
      <c r="O108" t="s">
        <v>3303</v>
      </c>
      <c r="P108" t="s">
        <v>3329</v>
      </c>
      <c r="Q108" t="s">
        <v>3330</v>
      </c>
      <c r="R108" t="s">
        <v>4026</v>
      </c>
      <c r="S108" t="s">
        <v>4027</v>
      </c>
      <c r="T108" t="s">
        <v>3677</v>
      </c>
      <c r="U108" t="s">
        <v>3678</v>
      </c>
      <c r="V108" t="s">
        <v>664</v>
      </c>
      <c r="W108" t="s">
        <v>3657</v>
      </c>
      <c r="X108" t="s">
        <v>3679</v>
      </c>
      <c r="Y108" t="s">
        <v>3680</v>
      </c>
      <c r="Z108" t="s">
        <v>4041</v>
      </c>
      <c r="AA108" t="s">
        <v>4038</v>
      </c>
      <c r="AB108" t="s">
        <v>664</v>
      </c>
      <c r="AC108" t="s">
        <v>52</v>
      </c>
      <c r="AD108" t="s">
        <v>6</v>
      </c>
      <c r="AE108" t="s">
        <v>6</v>
      </c>
      <c r="AF108" t="s">
        <v>161</v>
      </c>
      <c r="AG108" t="s">
        <v>3890</v>
      </c>
      <c r="AH108" t="s">
        <v>9</v>
      </c>
      <c r="AI108" t="s">
        <v>9</v>
      </c>
      <c r="AJ108" t="s">
        <v>9</v>
      </c>
      <c r="AK108" t="s">
        <v>9</v>
      </c>
      <c r="AL108" t="s">
        <v>3662</v>
      </c>
    </row>
    <row r="109" spans="1:38" ht="11.25" customHeight="1">
      <c r="A109" t="s">
        <v>9</v>
      </c>
      <c r="B109" t="s">
        <v>35</v>
      </c>
      <c r="C109" t="s">
        <v>37</v>
      </c>
      <c r="D109" t="s">
        <v>9</v>
      </c>
      <c r="E109" t="s">
        <v>3775</v>
      </c>
      <c r="F109" t="s">
        <v>1046</v>
      </c>
      <c r="G109" t="s">
        <v>3303</v>
      </c>
      <c r="H109" t="s">
        <v>3329</v>
      </c>
      <c r="I109" t="s">
        <v>3330</v>
      </c>
      <c r="J109" t="s">
        <v>4026</v>
      </c>
      <c r="K109" t="s">
        <v>4027</v>
      </c>
      <c r="L109" t="s">
        <v>4042</v>
      </c>
      <c r="M109" t="s">
        <v>1053</v>
      </c>
      <c r="N109" t="s">
        <v>161</v>
      </c>
      <c r="O109" t="s">
        <v>3303</v>
      </c>
      <c r="P109" t="s">
        <v>3329</v>
      </c>
      <c r="Q109" t="s">
        <v>3330</v>
      </c>
      <c r="R109" t="s">
        <v>4026</v>
      </c>
      <c r="S109" t="s">
        <v>4027</v>
      </c>
      <c r="T109" t="s">
        <v>3677</v>
      </c>
      <c r="U109" t="s">
        <v>3678</v>
      </c>
      <c r="V109" t="s">
        <v>664</v>
      </c>
      <c r="W109" t="s">
        <v>3657</v>
      </c>
      <c r="X109" t="s">
        <v>3679</v>
      </c>
      <c r="Y109" t="s">
        <v>3680</v>
      </c>
      <c r="Z109" t="s">
        <v>4043</v>
      </c>
      <c r="AA109" t="s">
        <v>4038</v>
      </c>
      <c r="AB109" t="s">
        <v>664</v>
      </c>
      <c r="AC109" t="s">
        <v>52</v>
      </c>
      <c r="AD109" t="s">
        <v>52</v>
      </c>
      <c r="AE109" t="s">
        <v>52</v>
      </c>
      <c r="AF109" t="s">
        <v>843</v>
      </c>
      <c r="AG109" t="s">
        <v>4044</v>
      </c>
      <c r="AH109" t="s">
        <v>843</v>
      </c>
      <c r="AI109" t="s">
        <v>4044</v>
      </c>
      <c r="AJ109" t="s">
        <v>843</v>
      </c>
      <c r="AK109" t="s">
        <v>4044</v>
      </c>
      <c r="AL109" t="s">
        <v>3662</v>
      </c>
    </row>
    <row r="110" spans="1:38" ht="11.25" customHeight="1">
      <c r="A110" t="s">
        <v>9</v>
      </c>
      <c r="B110" t="s">
        <v>35</v>
      </c>
      <c r="C110" t="s">
        <v>37</v>
      </c>
      <c r="D110" t="s">
        <v>9</v>
      </c>
      <c r="E110" t="s">
        <v>4045</v>
      </c>
      <c r="F110" t="s">
        <v>1046</v>
      </c>
      <c r="G110" t="s">
        <v>3303</v>
      </c>
      <c r="H110" t="s">
        <v>3329</v>
      </c>
      <c r="I110" t="s">
        <v>3330</v>
      </c>
      <c r="J110" t="s">
        <v>4026</v>
      </c>
      <c r="K110" t="s">
        <v>4027</v>
      </c>
      <c r="L110" t="s">
        <v>3897</v>
      </c>
      <c r="M110" t="s">
        <v>4046</v>
      </c>
      <c r="N110" t="s">
        <v>161</v>
      </c>
      <c r="O110" t="s">
        <v>3303</v>
      </c>
      <c r="P110" t="s">
        <v>3329</v>
      </c>
      <c r="Q110" t="s">
        <v>3330</v>
      </c>
      <c r="R110" t="s">
        <v>4026</v>
      </c>
      <c r="S110" t="s">
        <v>4027</v>
      </c>
      <c r="T110" t="s">
        <v>3677</v>
      </c>
      <c r="U110" t="s">
        <v>3656</v>
      </c>
      <c r="V110" t="s">
        <v>664</v>
      </c>
      <c r="W110" t="s">
        <v>3657</v>
      </c>
      <c r="X110" t="s">
        <v>3658</v>
      </c>
      <c r="Y110" t="s">
        <v>3659</v>
      </c>
      <c r="Z110" t="s">
        <v>3820</v>
      </c>
      <c r="AA110" t="s">
        <v>4047</v>
      </c>
      <c r="AB110" t="s">
        <v>664</v>
      </c>
      <c r="AC110" t="s">
        <v>52</v>
      </c>
      <c r="AD110" t="s">
        <v>52</v>
      </c>
      <c r="AE110" t="s">
        <v>52</v>
      </c>
      <c r="AF110" t="s">
        <v>3758</v>
      </c>
      <c r="AG110" t="s">
        <v>4048</v>
      </c>
      <c r="AH110" t="s">
        <v>3758</v>
      </c>
      <c r="AI110" t="s">
        <v>4048</v>
      </c>
      <c r="AJ110" t="s">
        <v>3758</v>
      </c>
      <c r="AK110" t="s">
        <v>4048</v>
      </c>
      <c r="AL110" t="s">
        <v>3662</v>
      </c>
    </row>
    <row r="111" spans="1:38" ht="11.25" customHeight="1">
      <c r="A111" t="s">
        <v>9</v>
      </c>
      <c r="B111" t="s">
        <v>35</v>
      </c>
      <c r="C111" t="s">
        <v>37</v>
      </c>
      <c r="D111" t="s">
        <v>9</v>
      </c>
      <c r="E111" t="s">
        <v>1058</v>
      </c>
      <c r="F111" t="s">
        <v>1046</v>
      </c>
      <c r="G111" t="s">
        <v>3303</v>
      </c>
      <c r="H111" t="s">
        <v>3329</v>
      </c>
      <c r="I111" t="s">
        <v>3330</v>
      </c>
      <c r="J111" t="s">
        <v>4026</v>
      </c>
      <c r="K111" t="s">
        <v>4027</v>
      </c>
      <c r="L111" t="s">
        <v>4049</v>
      </c>
      <c r="M111" t="s">
        <v>1053</v>
      </c>
      <c r="N111" t="s">
        <v>161</v>
      </c>
      <c r="O111" t="s">
        <v>3303</v>
      </c>
      <c r="P111" t="s">
        <v>3329</v>
      </c>
      <c r="Q111" t="s">
        <v>3330</v>
      </c>
      <c r="R111" t="s">
        <v>4026</v>
      </c>
      <c r="S111" t="s">
        <v>4027</v>
      </c>
      <c r="T111" t="s">
        <v>3677</v>
      </c>
      <c r="U111" t="s">
        <v>3678</v>
      </c>
      <c r="V111" t="s">
        <v>664</v>
      </c>
      <c r="W111" t="s">
        <v>3657</v>
      </c>
      <c r="X111" t="s">
        <v>3679</v>
      </c>
      <c r="Y111" t="s">
        <v>3680</v>
      </c>
      <c r="Z111" t="s">
        <v>4050</v>
      </c>
      <c r="AA111" t="s">
        <v>4051</v>
      </c>
      <c r="AB111" t="s">
        <v>664</v>
      </c>
      <c r="AC111" t="s">
        <v>52</v>
      </c>
      <c r="AD111" t="s">
        <v>52</v>
      </c>
      <c r="AE111" t="s">
        <v>52</v>
      </c>
      <c r="AF111" t="s">
        <v>115</v>
      </c>
      <c r="AG111" t="s">
        <v>4052</v>
      </c>
      <c r="AH111" t="s">
        <v>115</v>
      </c>
      <c r="AI111" t="s">
        <v>4052</v>
      </c>
      <c r="AJ111" t="s">
        <v>115</v>
      </c>
      <c r="AK111" t="s">
        <v>4052</v>
      </c>
      <c r="AL111" t="s">
        <v>3662</v>
      </c>
    </row>
    <row r="112" spans="1:38" ht="11.25" customHeight="1">
      <c r="A112" t="s">
        <v>9</v>
      </c>
      <c r="B112" t="s">
        <v>35</v>
      </c>
      <c r="C112" t="s">
        <v>37</v>
      </c>
      <c r="D112" t="s">
        <v>9</v>
      </c>
      <c r="E112" t="s">
        <v>3691</v>
      </c>
      <c r="F112" t="s">
        <v>3672</v>
      </c>
      <c r="G112" t="s">
        <v>3303</v>
      </c>
      <c r="H112" t="s">
        <v>3329</v>
      </c>
      <c r="I112" t="s">
        <v>3330</v>
      </c>
      <c r="J112" t="s">
        <v>4026</v>
      </c>
      <c r="K112" t="s">
        <v>4027</v>
      </c>
      <c r="L112" t="s">
        <v>4049</v>
      </c>
      <c r="M112" t="s">
        <v>1053</v>
      </c>
      <c r="N112" t="s">
        <v>161</v>
      </c>
      <c r="O112" t="s">
        <v>3303</v>
      </c>
      <c r="P112" t="s">
        <v>3329</v>
      </c>
      <c r="Q112" t="s">
        <v>3330</v>
      </c>
      <c r="R112" t="s">
        <v>4026</v>
      </c>
      <c r="S112" t="s">
        <v>4027</v>
      </c>
      <c r="T112" t="s">
        <v>3677</v>
      </c>
      <c r="U112" t="s">
        <v>3678</v>
      </c>
      <c r="V112" t="s">
        <v>664</v>
      </c>
      <c r="W112" t="s">
        <v>3657</v>
      </c>
      <c r="X112" t="s">
        <v>3679</v>
      </c>
      <c r="Y112" t="s">
        <v>3680</v>
      </c>
      <c r="Z112" t="s">
        <v>4050</v>
      </c>
      <c r="AA112" t="s">
        <v>4051</v>
      </c>
      <c r="AB112" t="s">
        <v>664</v>
      </c>
      <c r="AC112" t="s">
        <v>6</v>
      </c>
      <c r="AD112" t="s">
        <v>52</v>
      </c>
      <c r="AE112" t="s">
        <v>6</v>
      </c>
      <c r="AF112" t="s">
        <v>9</v>
      </c>
      <c r="AG112" t="s">
        <v>9</v>
      </c>
      <c r="AH112" t="s">
        <v>115</v>
      </c>
      <c r="AI112" t="s">
        <v>4052</v>
      </c>
      <c r="AJ112" t="s">
        <v>115</v>
      </c>
      <c r="AK112" t="s">
        <v>4052</v>
      </c>
      <c r="AL112" t="s">
        <v>9</v>
      </c>
    </row>
    <row r="113" spans="1:38" ht="11.25" customHeight="1">
      <c r="A113" t="s">
        <v>9</v>
      </c>
      <c r="B113" t="s">
        <v>35</v>
      </c>
      <c r="C113" t="s">
        <v>37</v>
      </c>
      <c r="D113" t="s">
        <v>9</v>
      </c>
      <c r="E113" t="s">
        <v>1062</v>
      </c>
      <c r="F113" t="s">
        <v>1046</v>
      </c>
      <c r="G113" t="s">
        <v>3303</v>
      </c>
      <c r="H113" t="s">
        <v>3329</v>
      </c>
      <c r="I113" t="s">
        <v>3330</v>
      </c>
      <c r="J113" t="s">
        <v>4026</v>
      </c>
      <c r="K113" t="s">
        <v>4027</v>
      </c>
      <c r="L113" t="s">
        <v>4053</v>
      </c>
      <c r="M113" t="s">
        <v>1053</v>
      </c>
      <c r="N113" t="s">
        <v>161</v>
      </c>
      <c r="O113" t="s">
        <v>3303</v>
      </c>
      <c r="P113" t="s">
        <v>3329</v>
      </c>
      <c r="Q113" t="s">
        <v>3330</v>
      </c>
      <c r="R113" t="s">
        <v>4026</v>
      </c>
      <c r="S113" t="s">
        <v>4027</v>
      </c>
      <c r="T113" t="s">
        <v>3677</v>
      </c>
      <c r="U113" t="s">
        <v>3678</v>
      </c>
      <c r="V113" t="s">
        <v>664</v>
      </c>
      <c r="W113" t="s">
        <v>3657</v>
      </c>
      <c r="X113" t="s">
        <v>3679</v>
      </c>
      <c r="Y113" t="s">
        <v>3680</v>
      </c>
      <c r="Z113" t="s">
        <v>4054</v>
      </c>
      <c r="AA113" t="s">
        <v>4055</v>
      </c>
      <c r="AB113" t="s">
        <v>664</v>
      </c>
      <c r="AC113" t="s">
        <v>52</v>
      </c>
      <c r="AD113" t="s">
        <v>52</v>
      </c>
      <c r="AE113" t="s">
        <v>52</v>
      </c>
      <c r="AF113" t="s">
        <v>956</v>
      </c>
      <c r="AG113" t="s">
        <v>4056</v>
      </c>
      <c r="AH113" t="s">
        <v>956</v>
      </c>
      <c r="AI113" t="s">
        <v>4056</v>
      </c>
      <c r="AJ113" t="s">
        <v>956</v>
      </c>
      <c r="AK113" t="s">
        <v>4056</v>
      </c>
      <c r="AL113" t="s">
        <v>3662</v>
      </c>
    </row>
    <row r="114" spans="1:38" ht="11.25" customHeight="1">
      <c r="A114" t="s">
        <v>9</v>
      </c>
      <c r="B114" t="s">
        <v>35</v>
      </c>
      <c r="C114" t="s">
        <v>37</v>
      </c>
      <c r="D114" t="s">
        <v>9</v>
      </c>
      <c r="E114" t="s">
        <v>3729</v>
      </c>
      <c r="F114" t="s">
        <v>3672</v>
      </c>
      <c r="G114" t="s">
        <v>3303</v>
      </c>
      <c r="H114" t="s">
        <v>3329</v>
      </c>
      <c r="I114" t="s">
        <v>3330</v>
      </c>
      <c r="J114" t="s">
        <v>4026</v>
      </c>
      <c r="K114" t="s">
        <v>4027</v>
      </c>
      <c r="L114" t="s">
        <v>4053</v>
      </c>
      <c r="M114" t="s">
        <v>1053</v>
      </c>
      <c r="N114" t="s">
        <v>161</v>
      </c>
      <c r="O114" t="s">
        <v>3303</v>
      </c>
      <c r="P114" t="s">
        <v>3329</v>
      </c>
      <c r="Q114" t="s">
        <v>3330</v>
      </c>
      <c r="R114" t="s">
        <v>4026</v>
      </c>
      <c r="S114" t="s">
        <v>4027</v>
      </c>
      <c r="T114" t="s">
        <v>3677</v>
      </c>
      <c r="U114" t="s">
        <v>3678</v>
      </c>
      <c r="V114" t="s">
        <v>664</v>
      </c>
      <c r="W114" t="s">
        <v>3657</v>
      </c>
      <c r="X114" t="s">
        <v>3679</v>
      </c>
      <c r="Y114" t="s">
        <v>3680</v>
      </c>
      <c r="Z114" t="s">
        <v>4054</v>
      </c>
      <c r="AA114" t="s">
        <v>4055</v>
      </c>
      <c r="AB114" t="s">
        <v>664</v>
      </c>
      <c r="AC114" t="s">
        <v>6</v>
      </c>
      <c r="AD114" t="s">
        <v>52</v>
      </c>
      <c r="AE114" t="s">
        <v>6</v>
      </c>
      <c r="AF114" t="s">
        <v>9</v>
      </c>
      <c r="AG114" t="s">
        <v>9</v>
      </c>
      <c r="AH114" t="s">
        <v>956</v>
      </c>
      <c r="AI114" t="s">
        <v>4056</v>
      </c>
      <c r="AJ114" t="s">
        <v>956</v>
      </c>
      <c r="AK114" t="s">
        <v>4056</v>
      </c>
      <c r="AL114" t="s">
        <v>9</v>
      </c>
    </row>
    <row r="115" spans="1:38" ht="11.25" customHeight="1">
      <c r="A115" t="s">
        <v>9</v>
      </c>
      <c r="B115" t="s">
        <v>35</v>
      </c>
      <c r="C115" t="s">
        <v>37</v>
      </c>
      <c r="D115" t="s">
        <v>9</v>
      </c>
      <c r="E115" t="s">
        <v>4057</v>
      </c>
      <c r="F115" t="s">
        <v>1046</v>
      </c>
      <c r="G115" t="s">
        <v>3303</v>
      </c>
      <c r="H115" t="s">
        <v>3329</v>
      </c>
      <c r="I115" t="s">
        <v>3330</v>
      </c>
      <c r="J115" t="s">
        <v>4026</v>
      </c>
      <c r="K115" t="s">
        <v>4027</v>
      </c>
      <c r="L115" t="s">
        <v>4058</v>
      </c>
      <c r="M115" t="s">
        <v>1053</v>
      </c>
      <c r="N115" t="s">
        <v>161</v>
      </c>
      <c r="O115" t="s">
        <v>3303</v>
      </c>
      <c r="P115" t="s">
        <v>3329</v>
      </c>
      <c r="Q115" t="s">
        <v>3330</v>
      </c>
      <c r="R115" t="s">
        <v>4026</v>
      </c>
      <c r="S115" t="s">
        <v>4027</v>
      </c>
      <c r="T115" t="s">
        <v>3655</v>
      </c>
      <c r="U115" t="s">
        <v>3656</v>
      </c>
      <c r="V115" t="s">
        <v>664</v>
      </c>
      <c r="W115" t="s">
        <v>3657</v>
      </c>
      <c r="X115" t="s">
        <v>3658</v>
      </c>
      <c r="Y115" t="s">
        <v>3659</v>
      </c>
      <c r="Z115" t="s">
        <v>3820</v>
      </c>
      <c r="AA115" t="s">
        <v>3969</v>
      </c>
      <c r="AB115" t="s">
        <v>664</v>
      </c>
      <c r="AC115" t="s">
        <v>52</v>
      </c>
      <c r="AD115" t="s">
        <v>52</v>
      </c>
      <c r="AE115" t="s">
        <v>52</v>
      </c>
      <c r="AF115" t="s">
        <v>89</v>
      </c>
      <c r="AG115" t="s">
        <v>4059</v>
      </c>
      <c r="AH115" t="s">
        <v>89</v>
      </c>
      <c r="AI115" t="s">
        <v>4059</v>
      </c>
      <c r="AJ115" t="s">
        <v>89</v>
      </c>
      <c r="AK115" t="s">
        <v>4059</v>
      </c>
      <c r="AL115" t="s">
        <v>3662</v>
      </c>
    </row>
    <row r="116" spans="1:38" ht="11.25" customHeight="1">
      <c r="A116" t="s">
        <v>9</v>
      </c>
      <c r="B116" t="s">
        <v>35</v>
      </c>
      <c r="C116" t="s">
        <v>37</v>
      </c>
      <c r="D116" t="s">
        <v>9</v>
      </c>
      <c r="E116" t="s">
        <v>4060</v>
      </c>
      <c r="F116" t="s">
        <v>1046</v>
      </c>
      <c r="G116" t="s">
        <v>3303</v>
      </c>
      <c r="H116" t="s">
        <v>3329</v>
      </c>
      <c r="I116" t="s">
        <v>3330</v>
      </c>
      <c r="J116" t="s">
        <v>4026</v>
      </c>
      <c r="K116" t="s">
        <v>4027</v>
      </c>
      <c r="L116" t="s">
        <v>4061</v>
      </c>
      <c r="M116" t="s">
        <v>4062</v>
      </c>
      <c r="N116" t="s">
        <v>161</v>
      </c>
      <c r="O116" t="s">
        <v>3303</v>
      </c>
      <c r="P116" t="s">
        <v>3329</v>
      </c>
      <c r="Q116" t="s">
        <v>3330</v>
      </c>
      <c r="R116" t="s">
        <v>4026</v>
      </c>
      <c r="S116" t="s">
        <v>4027</v>
      </c>
      <c r="T116" t="s">
        <v>3655</v>
      </c>
      <c r="U116" t="s">
        <v>3656</v>
      </c>
      <c r="V116" t="s">
        <v>664</v>
      </c>
      <c r="W116" t="s">
        <v>3657</v>
      </c>
      <c r="X116" t="s">
        <v>3658</v>
      </c>
      <c r="Y116" t="s">
        <v>3659</v>
      </c>
      <c r="Z116" t="s">
        <v>4063</v>
      </c>
      <c r="AA116" t="s">
        <v>3994</v>
      </c>
      <c r="AB116" t="s">
        <v>664</v>
      </c>
      <c r="AC116" t="s">
        <v>52</v>
      </c>
      <c r="AD116" t="s">
        <v>52</v>
      </c>
      <c r="AE116" t="s">
        <v>52</v>
      </c>
      <c r="AF116" t="s">
        <v>956</v>
      </c>
      <c r="AG116" t="s">
        <v>4064</v>
      </c>
      <c r="AH116" t="s">
        <v>956</v>
      </c>
      <c r="AI116" t="s">
        <v>4065</v>
      </c>
      <c r="AJ116" t="s">
        <v>956</v>
      </c>
      <c r="AK116" t="s">
        <v>4065</v>
      </c>
      <c r="AL116" t="s">
        <v>3662</v>
      </c>
    </row>
    <row r="117" spans="1:38" ht="11.25" customHeight="1">
      <c r="A117" t="s">
        <v>9</v>
      </c>
      <c r="B117" t="s">
        <v>35</v>
      </c>
      <c r="C117" t="s">
        <v>37</v>
      </c>
      <c r="D117" t="s">
        <v>9</v>
      </c>
      <c r="E117" t="s">
        <v>4066</v>
      </c>
      <c r="F117" t="s">
        <v>1046</v>
      </c>
      <c r="G117" t="s">
        <v>3303</v>
      </c>
      <c r="H117" t="s">
        <v>3329</v>
      </c>
      <c r="I117" t="s">
        <v>3330</v>
      </c>
      <c r="J117" t="s">
        <v>4026</v>
      </c>
      <c r="K117" t="s">
        <v>4027</v>
      </c>
      <c r="L117" t="s">
        <v>4067</v>
      </c>
      <c r="M117" t="s">
        <v>4068</v>
      </c>
      <c r="N117" t="s">
        <v>161</v>
      </c>
      <c r="O117" t="s">
        <v>3303</v>
      </c>
      <c r="P117" t="s">
        <v>3329</v>
      </c>
      <c r="Q117" t="s">
        <v>3330</v>
      </c>
      <c r="R117" t="s">
        <v>4026</v>
      </c>
      <c r="S117" t="s">
        <v>4027</v>
      </c>
      <c r="T117" t="s">
        <v>3655</v>
      </c>
      <c r="U117" t="s">
        <v>3656</v>
      </c>
      <c r="V117" t="s">
        <v>664</v>
      </c>
      <c r="W117" t="s">
        <v>3657</v>
      </c>
      <c r="X117" t="s">
        <v>3658</v>
      </c>
      <c r="Y117" t="s">
        <v>3659</v>
      </c>
      <c r="Z117" t="s">
        <v>4069</v>
      </c>
      <c r="AA117" t="s">
        <v>4070</v>
      </c>
      <c r="AB117" t="s">
        <v>664</v>
      </c>
      <c r="AC117" t="s">
        <v>52</v>
      </c>
      <c r="AD117" t="s">
        <v>52</v>
      </c>
      <c r="AE117" t="s">
        <v>52</v>
      </c>
      <c r="AF117" t="s">
        <v>4071</v>
      </c>
      <c r="AG117" t="s">
        <v>4072</v>
      </c>
      <c r="AH117" t="s">
        <v>4071</v>
      </c>
      <c r="AI117" t="s">
        <v>4073</v>
      </c>
      <c r="AJ117" t="s">
        <v>4071</v>
      </c>
      <c r="AK117" t="s">
        <v>4073</v>
      </c>
      <c r="AL117" t="s">
        <v>3662</v>
      </c>
    </row>
    <row r="118" spans="1:38" ht="11.25" customHeight="1">
      <c r="A118" t="s">
        <v>9</v>
      </c>
      <c r="B118" t="s">
        <v>35</v>
      </c>
      <c r="C118" t="s">
        <v>37</v>
      </c>
      <c r="D118" t="s">
        <v>9</v>
      </c>
      <c r="E118" t="s">
        <v>4074</v>
      </c>
      <c r="F118" t="s">
        <v>3672</v>
      </c>
      <c r="G118" t="s">
        <v>3303</v>
      </c>
      <c r="H118" t="s">
        <v>3329</v>
      </c>
      <c r="I118" t="s">
        <v>3330</v>
      </c>
      <c r="J118" t="s">
        <v>4026</v>
      </c>
      <c r="K118" t="s">
        <v>4027</v>
      </c>
      <c r="L118" t="s">
        <v>4067</v>
      </c>
      <c r="M118" t="s">
        <v>4068</v>
      </c>
      <c r="N118" t="s">
        <v>161</v>
      </c>
      <c r="O118" t="s">
        <v>3303</v>
      </c>
      <c r="P118" t="s">
        <v>3329</v>
      </c>
      <c r="Q118" t="s">
        <v>3330</v>
      </c>
      <c r="R118" t="s">
        <v>4026</v>
      </c>
      <c r="S118" t="s">
        <v>4027</v>
      </c>
      <c r="T118" t="s">
        <v>3655</v>
      </c>
      <c r="U118" t="s">
        <v>3656</v>
      </c>
      <c r="V118" t="s">
        <v>664</v>
      </c>
      <c r="W118" t="s">
        <v>3657</v>
      </c>
      <c r="X118" t="s">
        <v>3658</v>
      </c>
      <c r="Y118" t="s">
        <v>3659</v>
      </c>
      <c r="Z118" t="s">
        <v>4069</v>
      </c>
      <c r="AA118" t="s">
        <v>4070</v>
      </c>
      <c r="AB118" t="s">
        <v>664</v>
      </c>
      <c r="AC118" t="s">
        <v>6</v>
      </c>
      <c r="AD118" t="s">
        <v>52</v>
      </c>
      <c r="AE118" t="s">
        <v>6</v>
      </c>
      <c r="AF118" t="s">
        <v>9</v>
      </c>
      <c r="AG118" t="s">
        <v>9</v>
      </c>
      <c r="AH118" t="s">
        <v>4071</v>
      </c>
      <c r="AI118" t="s">
        <v>4073</v>
      </c>
      <c r="AJ118" t="s">
        <v>4071</v>
      </c>
      <c r="AK118" t="s">
        <v>4073</v>
      </c>
      <c r="AL118" t="s">
        <v>9</v>
      </c>
    </row>
    <row r="119" spans="1:38" ht="11.25" customHeight="1">
      <c r="A119" t="s">
        <v>9</v>
      </c>
      <c r="B119" t="s">
        <v>35</v>
      </c>
      <c r="C119" t="s">
        <v>37</v>
      </c>
      <c r="D119" t="s">
        <v>9</v>
      </c>
      <c r="E119" t="s">
        <v>4075</v>
      </c>
      <c r="F119" t="s">
        <v>3672</v>
      </c>
      <c r="G119" t="s">
        <v>3303</v>
      </c>
      <c r="H119" t="s">
        <v>3329</v>
      </c>
      <c r="I119" t="s">
        <v>3330</v>
      </c>
      <c r="J119" t="s">
        <v>4026</v>
      </c>
      <c r="K119" t="s">
        <v>4027</v>
      </c>
      <c r="L119" t="s">
        <v>4067</v>
      </c>
      <c r="M119" t="s">
        <v>4076</v>
      </c>
      <c r="N119" t="s">
        <v>161</v>
      </c>
      <c r="O119" t="s">
        <v>3303</v>
      </c>
      <c r="P119" t="s">
        <v>3329</v>
      </c>
      <c r="Q119" t="s">
        <v>3330</v>
      </c>
      <c r="R119" t="s">
        <v>4026</v>
      </c>
      <c r="S119" t="s">
        <v>4027</v>
      </c>
      <c r="T119" t="s">
        <v>3655</v>
      </c>
      <c r="U119" t="s">
        <v>3656</v>
      </c>
      <c r="V119" t="s">
        <v>664</v>
      </c>
      <c r="W119" t="s">
        <v>3657</v>
      </c>
      <c r="X119" t="s">
        <v>3658</v>
      </c>
      <c r="Y119" t="s">
        <v>3659</v>
      </c>
      <c r="Z119" t="s">
        <v>4069</v>
      </c>
      <c r="AA119" t="s">
        <v>4070</v>
      </c>
      <c r="AB119" t="s">
        <v>664</v>
      </c>
      <c r="AC119" t="s">
        <v>6</v>
      </c>
      <c r="AD119" t="s">
        <v>52</v>
      </c>
      <c r="AE119" t="s">
        <v>6</v>
      </c>
      <c r="AF119" t="s">
        <v>9</v>
      </c>
      <c r="AG119" t="s">
        <v>9</v>
      </c>
      <c r="AH119" t="s">
        <v>4071</v>
      </c>
      <c r="AI119" t="s">
        <v>4073</v>
      </c>
      <c r="AJ119" t="s">
        <v>4071</v>
      </c>
      <c r="AK119" t="s">
        <v>4073</v>
      </c>
      <c r="AL119" t="s">
        <v>9</v>
      </c>
    </row>
    <row r="120" spans="1:38" ht="11.25" customHeight="1">
      <c r="A120" t="s">
        <v>9</v>
      </c>
      <c r="B120" t="s">
        <v>35</v>
      </c>
      <c r="C120" t="s">
        <v>37</v>
      </c>
      <c r="D120" t="s">
        <v>9</v>
      </c>
      <c r="E120" t="s">
        <v>3731</v>
      </c>
      <c r="F120" t="s">
        <v>1046</v>
      </c>
      <c r="G120" t="s">
        <v>3303</v>
      </c>
      <c r="H120" t="s">
        <v>3329</v>
      </c>
      <c r="I120" t="s">
        <v>3330</v>
      </c>
      <c r="J120" t="s">
        <v>4026</v>
      </c>
      <c r="K120" t="s">
        <v>4027</v>
      </c>
      <c r="L120" t="s">
        <v>1088</v>
      </c>
      <c r="M120" t="s">
        <v>1053</v>
      </c>
      <c r="N120" t="s">
        <v>161</v>
      </c>
      <c r="O120" t="s">
        <v>3303</v>
      </c>
      <c r="P120" t="s">
        <v>3329</v>
      </c>
      <c r="Q120" t="s">
        <v>3330</v>
      </c>
      <c r="R120" t="s">
        <v>4026</v>
      </c>
      <c r="S120" t="s">
        <v>4027</v>
      </c>
      <c r="T120" t="s">
        <v>3677</v>
      </c>
      <c r="U120" t="s">
        <v>3678</v>
      </c>
      <c r="V120" t="s">
        <v>664</v>
      </c>
      <c r="W120" t="s">
        <v>3657</v>
      </c>
      <c r="X120" t="s">
        <v>3679</v>
      </c>
      <c r="Y120" t="s">
        <v>3680</v>
      </c>
      <c r="Z120" t="s">
        <v>4077</v>
      </c>
      <c r="AA120" t="s">
        <v>3975</v>
      </c>
      <c r="AB120" t="s">
        <v>664</v>
      </c>
      <c r="AC120" t="s">
        <v>52</v>
      </c>
      <c r="AD120" t="s">
        <v>52</v>
      </c>
      <c r="AE120" t="s">
        <v>52</v>
      </c>
      <c r="AF120" t="s">
        <v>1149</v>
      </c>
      <c r="AG120" t="s">
        <v>4078</v>
      </c>
      <c r="AH120" t="s">
        <v>1149</v>
      </c>
      <c r="AI120" t="s">
        <v>4078</v>
      </c>
      <c r="AJ120" t="s">
        <v>1149</v>
      </c>
      <c r="AK120" t="s">
        <v>4078</v>
      </c>
      <c r="AL120" t="s">
        <v>3662</v>
      </c>
    </row>
    <row r="121" spans="1:38" ht="11.25" customHeight="1">
      <c r="A121" t="s">
        <v>9</v>
      </c>
      <c r="B121" t="s">
        <v>35</v>
      </c>
      <c r="C121" t="s">
        <v>37</v>
      </c>
      <c r="D121" t="s">
        <v>9</v>
      </c>
      <c r="E121" t="s">
        <v>3735</v>
      </c>
      <c r="F121" t="s">
        <v>3672</v>
      </c>
      <c r="G121" t="s">
        <v>3303</v>
      </c>
      <c r="H121" t="s">
        <v>3329</v>
      </c>
      <c r="I121" t="s">
        <v>3330</v>
      </c>
      <c r="J121" t="s">
        <v>4026</v>
      </c>
      <c r="K121" t="s">
        <v>4027</v>
      </c>
      <c r="L121" t="s">
        <v>1088</v>
      </c>
      <c r="M121" t="s">
        <v>1053</v>
      </c>
      <c r="N121" t="s">
        <v>161</v>
      </c>
      <c r="O121" t="s">
        <v>3303</v>
      </c>
      <c r="P121" t="s">
        <v>3329</v>
      </c>
      <c r="Q121" t="s">
        <v>3330</v>
      </c>
      <c r="R121" t="s">
        <v>4026</v>
      </c>
      <c r="S121" t="s">
        <v>4027</v>
      </c>
      <c r="T121" t="s">
        <v>3677</v>
      </c>
      <c r="U121" t="s">
        <v>3678</v>
      </c>
      <c r="V121" t="s">
        <v>664</v>
      </c>
      <c r="W121" t="s">
        <v>3657</v>
      </c>
      <c r="X121" t="s">
        <v>3679</v>
      </c>
      <c r="Y121" t="s">
        <v>3680</v>
      </c>
      <c r="Z121" t="s">
        <v>4077</v>
      </c>
      <c r="AA121" t="s">
        <v>3975</v>
      </c>
      <c r="AB121" t="s">
        <v>664</v>
      </c>
      <c r="AC121" t="s">
        <v>6</v>
      </c>
      <c r="AD121" t="s">
        <v>52</v>
      </c>
      <c r="AE121" t="s">
        <v>6</v>
      </c>
      <c r="AF121" t="s">
        <v>9</v>
      </c>
      <c r="AG121" t="s">
        <v>9</v>
      </c>
      <c r="AH121" t="s">
        <v>1149</v>
      </c>
      <c r="AI121" t="s">
        <v>4078</v>
      </c>
      <c r="AJ121" t="s">
        <v>1149</v>
      </c>
      <c r="AK121" t="s">
        <v>4078</v>
      </c>
      <c r="AL121" t="s">
        <v>9</v>
      </c>
    </row>
    <row r="122" spans="1:38" ht="11.25" customHeight="1">
      <c r="A122" t="s">
        <v>9</v>
      </c>
      <c r="B122" t="s">
        <v>35</v>
      </c>
      <c r="C122" t="s">
        <v>37</v>
      </c>
      <c r="D122" t="s">
        <v>9</v>
      </c>
      <c r="E122" t="s">
        <v>3782</v>
      </c>
      <c r="F122" t="s">
        <v>3672</v>
      </c>
      <c r="G122" t="s">
        <v>3303</v>
      </c>
      <c r="H122" t="s">
        <v>3329</v>
      </c>
      <c r="I122" t="s">
        <v>3330</v>
      </c>
      <c r="J122" t="s">
        <v>4026</v>
      </c>
      <c r="K122" t="s">
        <v>4027</v>
      </c>
      <c r="L122" t="s">
        <v>4079</v>
      </c>
      <c r="M122" t="s">
        <v>1053</v>
      </c>
      <c r="N122" t="s">
        <v>161</v>
      </c>
      <c r="O122" t="s">
        <v>3303</v>
      </c>
      <c r="P122" t="s">
        <v>3329</v>
      </c>
      <c r="Q122" t="s">
        <v>3330</v>
      </c>
      <c r="R122" t="s">
        <v>4026</v>
      </c>
      <c r="S122" t="s">
        <v>4027</v>
      </c>
      <c r="T122" t="s">
        <v>3677</v>
      </c>
      <c r="U122" t="s">
        <v>3678</v>
      </c>
      <c r="V122" t="s">
        <v>664</v>
      </c>
      <c r="W122" t="s">
        <v>3657</v>
      </c>
      <c r="X122" t="s">
        <v>3679</v>
      </c>
      <c r="Y122" t="s">
        <v>3680</v>
      </c>
      <c r="Z122" t="s">
        <v>4080</v>
      </c>
      <c r="AA122" t="s">
        <v>4081</v>
      </c>
      <c r="AB122" t="s">
        <v>664</v>
      </c>
      <c r="AC122" t="s">
        <v>6</v>
      </c>
      <c r="AD122" t="s">
        <v>52</v>
      </c>
      <c r="AE122" t="s">
        <v>6</v>
      </c>
      <c r="AF122" t="s">
        <v>9</v>
      </c>
      <c r="AG122" t="s">
        <v>9</v>
      </c>
      <c r="AH122" t="s">
        <v>133</v>
      </c>
      <c r="AI122" t="s">
        <v>4082</v>
      </c>
      <c r="AJ122" t="s">
        <v>133</v>
      </c>
      <c r="AK122" t="s">
        <v>4082</v>
      </c>
      <c r="AL122" t="s">
        <v>9</v>
      </c>
    </row>
    <row r="123" spans="1:38" ht="11.25" customHeight="1">
      <c r="A123" t="s">
        <v>9</v>
      </c>
      <c r="B123" t="s">
        <v>35</v>
      </c>
      <c r="C123" t="s">
        <v>37</v>
      </c>
      <c r="D123" t="s">
        <v>9</v>
      </c>
      <c r="E123" t="s">
        <v>3736</v>
      </c>
      <c r="F123" t="s">
        <v>1046</v>
      </c>
      <c r="G123" t="s">
        <v>3303</v>
      </c>
      <c r="H123" t="s">
        <v>3329</v>
      </c>
      <c r="I123" t="s">
        <v>3330</v>
      </c>
      <c r="J123" t="s">
        <v>4026</v>
      </c>
      <c r="K123" t="s">
        <v>4027</v>
      </c>
      <c r="L123" t="s">
        <v>4083</v>
      </c>
      <c r="M123" t="s">
        <v>1053</v>
      </c>
      <c r="N123" t="s">
        <v>161</v>
      </c>
      <c r="O123" t="s">
        <v>3303</v>
      </c>
      <c r="P123" t="s">
        <v>3329</v>
      </c>
      <c r="Q123" t="s">
        <v>3330</v>
      </c>
      <c r="R123" t="s">
        <v>4026</v>
      </c>
      <c r="S123" t="s">
        <v>4027</v>
      </c>
      <c r="T123" t="s">
        <v>3677</v>
      </c>
      <c r="U123" t="s">
        <v>3678</v>
      </c>
      <c r="V123" t="s">
        <v>664</v>
      </c>
      <c r="W123" t="s">
        <v>3657</v>
      </c>
      <c r="X123" t="s">
        <v>3679</v>
      </c>
      <c r="Y123" t="s">
        <v>3680</v>
      </c>
      <c r="Z123" t="s">
        <v>4084</v>
      </c>
      <c r="AA123" t="s">
        <v>4038</v>
      </c>
      <c r="AB123" t="s">
        <v>664</v>
      </c>
      <c r="AC123" t="s">
        <v>52</v>
      </c>
      <c r="AD123" t="s">
        <v>52</v>
      </c>
      <c r="AE123" t="s">
        <v>52</v>
      </c>
      <c r="AF123" t="s">
        <v>3822</v>
      </c>
      <c r="AG123" t="s">
        <v>4085</v>
      </c>
      <c r="AH123" t="s">
        <v>3822</v>
      </c>
      <c r="AI123" t="s">
        <v>4085</v>
      </c>
      <c r="AJ123" t="s">
        <v>3822</v>
      </c>
      <c r="AK123" t="s">
        <v>4085</v>
      </c>
      <c r="AL123" t="s">
        <v>3662</v>
      </c>
    </row>
    <row r="124" spans="1:38" ht="11.25" customHeight="1">
      <c r="A124" t="s">
        <v>9</v>
      </c>
      <c r="B124" t="s">
        <v>35</v>
      </c>
      <c r="C124" t="s">
        <v>37</v>
      </c>
      <c r="D124" t="s">
        <v>9</v>
      </c>
      <c r="E124" t="s">
        <v>4086</v>
      </c>
      <c r="F124" t="s">
        <v>3672</v>
      </c>
      <c r="G124" t="s">
        <v>3303</v>
      </c>
      <c r="H124" t="s">
        <v>3329</v>
      </c>
      <c r="I124" t="s">
        <v>3330</v>
      </c>
      <c r="J124" t="s">
        <v>4026</v>
      </c>
      <c r="K124" t="s">
        <v>4027</v>
      </c>
      <c r="L124" t="s">
        <v>4083</v>
      </c>
      <c r="M124" t="s">
        <v>1053</v>
      </c>
      <c r="N124" t="s">
        <v>161</v>
      </c>
      <c r="O124" t="s">
        <v>3303</v>
      </c>
      <c r="P124" t="s">
        <v>3329</v>
      </c>
      <c r="Q124" t="s">
        <v>3330</v>
      </c>
      <c r="R124" t="s">
        <v>4026</v>
      </c>
      <c r="S124" t="s">
        <v>4027</v>
      </c>
      <c r="T124" t="s">
        <v>3677</v>
      </c>
      <c r="U124" t="s">
        <v>3678</v>
      </c>
      <c r="V124" t="s">
        <v>664</v>
      </c>
      <c r="W124" t="s">
        <v>3657</v>
      </c>
      <c r="X124" t="s">
        <v>3679</v>
      </c>
      <c r="Y124" t="s">
        <v>3680</v>
      </c>
      <c r="Z124" t="s">
        <v>4084</v>
      </c>
      <c r="AA124" t="s">
        <v>4038</v>
      </c>
      <c r="AB124" t="s">
        <v>664</v>
      </c>
      <c r="AC124" t="s">
        <v>6</v>
      </c>
      <c r="AD124" t="s">
        <v>52</v>
      </c>
      <c r="AE124" t="s">
        <v>6</v>
      </c>
      <c r="AF124" t="s">
        <v>9</v>
      </c>
      <c r="AG124" t="s">
        <v>9</v>
      </c>
      <c r="AH124" t="s">
        <v>3822</v>
      </c>
      <c r="AI124" t="s">
        <v>4085</v>
      </c>
      <c r="AJ124" t="s">
        <v>3822</v>
      </c>
      <c r="AK124" t="s">
        <v>4085</v>
      </c>
      <c r="AL124" t="s">
        <v>9</v>
      </c>
    </row>
    <row r="125" spans="1:38" ht="11.25" customHeight="1">
      <c r="A125" t="s">
        <v>9</v>
      </c>
      <c r="B125" t="s">
        <v>35</v>
      </c>
      <c r="C125" t="s">
        <v>37</v>
      </c>
      <c r="D125" t="s">
        <v>9</v>
      </c>
      <c r="E125" t="s">
        <v>1098</v>
      </c>
      <c r="F125" t="s">
        <v>1046</v>
      </c>
      <c r="G125" t="s">
        <v>3303</v>
      </c>
      <c r="H125" t="s">
        <v>3329</v>
      </c>
      <c r="I125" t="s">
        <v>3330</v>
      </c>
      <c r="J125" t="s">
        <v>4026</v>
      </c>
      <c r="K125" t="s">
        <v>4027</v>
      </c>
      <c r="L125" t="s">
        <v>4087</v>
      </c>
      <c r="M125" t="s">
        <v>1053</v>
      </c>
      <c r="N125" t="s">
        <v>161</v>
      </c>
      <c r="O125" t="s">
        <v>3303</v>
      </c>
      <c r="P125" t="s">
        <v>3329</v>
      </c>
      <c r="Q125" t="s">
        <v>3330</v>
      </c>
      <c r="R125" t="s">
        <v>4026</v>
      </c>
      <c r="S125" t="s">
        <v>4027</v>
      </c>
      <c r="T125" t="s">
        <v>3677</v>
      </c>
      <c r="U125" t="s">
        <v>3678</v>
      </c>
      <c r="V125" t="s">
        <v>664</v>
      </c>
      <c r="W125" t="s">
        <v>3657</v>
      </c>
      <c r="X125" t="s">
        <v>3679</v>
      </c>
      <c r="Y125" t="s">
        <v>3680</v>
      </c>
      <c r="Z125" t="s">
        <v>4088</v>
      </c>
      <c r="AA125" t="s">
        <v>3975</v>
      </c>
      <c r="AB125" t="s">
        <v>664</v>
      </c>
      <c r="AC125" t="s">
        <v>52</v>
      </c>
      <c r="AD125" t="s">
        <v>52</v>
      </c>
      <c r="AE125" t="s">
        <v>52</v>
      </c>
      <c r="AF125" t="s">
        <v>4089</v>
      </c>
      <c r="AG125" t="s">
        <v>4090</v>
      </c>
      <c r="AH125" t="s">
        <v>4089</v>
      </c>
      <c r="AI125" t="s">
        <v>4090</v>
      </c>
      <c r="AJ125" t="s">
        <v>4089</v>
      </c>
      <c r="AK125" t="s">
        <v>4090</v>
      </c>
      <c r="AL125" t="s">
        <v>3662</v>
      </c>
    </row>
    <row r="126" spans="1:38" ht="11.25" customHeight="1">
      <c r="A126" t="s">
        <v>9</v>
      </c>
      <c r="B126" t="s">
        <v>35</v>
      </c>
      <c r="C126" t="s">
        <v>37</v>
      </c>
      <c r="D126" t="s">
        <v>9</v>
      </c>
      <c r="E126" t="s">
        <v>3747</v>
      </c>
      <c r="F126" t="s">
        <v>3672</v>
      </c>
      <c r="G126" t="s">
        <v>3303</v>
      </c>
      <c r="H126" t="s">
        <v>3329</v>
      </c>
      <c r="I126" t="s">
        <v>3330</v>
      </c>
      <c r="J126" t="s">
        <v>4026</v>
      </c>
      <c r="K126" t="s">
        <v>4027</v>
      </c>
      <c r="L126" t="s">
        <v>4087</v>
      </c>
      <c r="M126" t="s">
        <v>1053</v>
      </c>
      <c r="N126" t="s">
        <v>161</v>
      </c>
      <c r="O126" t="s">
        <v>3303</v>
      </c>
      <c r="P126" t="s">
        <v>3329</v>
      </c>
      <c r="Q126" t="s">
        <v>3330</v>
      </c>
      <c r="R126" t="s">
        <v>4026</v>
      </c>
      <c r="S126" t="s">
        <v>4027</v>
      </c>
      <c r="T126" t="s">
        <v>3677</v>
      </c>
      <c r="U126" t="s">
        <v>3678</v>
      </c>
      <c r="V126" t="s">
        <v>664</v>
      </c>
      <c r="W126" t="s">
        <v>3657</v>
      </c>
      <c r="X126" t="s">
        <v>3679</v>
      </c>
      <c r="Y126" t="s">
        <v>3680</v>
      </c>
      <c r="Z126" t="s">
        <v>4088</v>
      </c>
      <c r="AA126" t="s">
        <v>3975</v>
      </c>
      <c r="AB126" t="s">
        <v>664</v>
      </c>
      <c r="AC126" t="s">
        <v>6</v>
      </c>
      <c r="AD126" t="s">
        <v>52</v>
      </c>
      <c r="AE126" t="s">
        <v>6</v>
      </c>
      <c r="AF126" t="s">
        <v>9</v>
      </c>
      <c r="AG126" t="s">
        <v>9</v>
      </c>
      <c r="AH126" t="s">
        <v>4089</v>
      </c>
      <c r="AI126" t="s">
        <v>4090</v>
      </c>
      <c r="AJ126" t="s">
        <v>4089</v>
      </c>
      <c r="AK126" t="s">
        <v>4090</v>
      </c>
      <c r="AL126" t="s">
        <v>9</v>
      </c>
    </row>
    <row r="127" spans="1:38" ht="11.25" customHeight="1">
      <c r="A127" t="s">
        <v>9</v>
      </c>
      <c r="B127" t="s">
        <v>35</v>
      </c>
      <c r="C127" t="s">
        <v>37</v>
      </c>
      <c r="D127" t="s">
        <v>9</v>
      </c>
      <c r="E127" t="s">
        <v>1091</v>
      </c>
      <c r="F127" t="s">
        <v>1046</v>
      </c>
      <c r="G127" t="s">
        <v>3303</v>
      </c>
      <c r="H127" t="s">
        <v>3329</v>
      </c>
      <c r="I127" t="s">
        <v>3330</v>
      </c>
      <c r="J127" t="s">
        <v>4026</v>
      </c>
      <c r="K127" t="s">
        <v>4027</v>
      </c>
      <c r="L127" t="s">
        <v>4091</v>
      </c>
      <c r="M127" t="s">
        <v>1053</v>
      </c>
      <c r="N127" t="s">
        <v>161</v>
      </c>
      <c r="O127" t="s">
        <v>3303</v>
      </c>
      <c r="P127" t="s">
        <v>3329</v>
      </c>
      <c r="Q127" t="s">
        <v>3330</v>
      </c>
      <c r="R127" t="s">
        <v>4026</v>
      </c>
      <c r="S127" t="s">
        <v>4027</v>
      </c>
      <c r="T127" t="s">
        <v>3677</v>
      </c>
      <c r="U127" t="s">
        <v>3678</v>
      </c>
      <c r="V127" t="s">
        <v>664</v>
      </c>
      <c r="W127" t="s">
        <v>3657</v>
      </c>
      <c r="X127" t="s">
        <v>3679</v>
      </c>
      <c r="Y127" t="s">
        <v>3680</v>
      </c>
      <c r="Z127" t="s">
        <v>4092</v>
      </c>
      <c r="AA127" t="s">
        <v>3975</v>
      </c>
      <c r="AB127" t="s">
        <v>664</v>
      </c>
      <c r="AC127" t="s">
        <v>52</v>
      </c>
      <c r="AD127" t="s">
        <v>52</v>
      </c>
      <c r="AE127" t="s">
        <v>52</v>
      </c>
      <c r="AF127" t="s">
        <v>161</v>
      </c>
      <c r="AG127" t="s">
        <v>4093</v>
      </c>
      <c r="AH127" t="s">
        <v>161</v>
      </c>
      <c r="AI127" t="s">
        <v>4093</v>
      </c>
      <c r="AJ127" t="s">
        <v>161</v>
      </c>
      <c r="AK127" t="s">
        <v>4093</v>
      </c>
      <c r="AL127" t="s">
        <v>3662</v>
      </c>
    </row>
    <row r="128" spans="1:38" ht="11.25" customHeight="1">
      <c r="A128" t="s">
        <v>9</v>
      </c>
      <c r="B128" t="s">
        <v>35</v>
      </c>
      <c r="C128" t="s">
        <v>37</v>
      </c>
      <c r="D128" t="s">
        <v>9</v>
      </c>
      <c r="E128" t="s">
        <v>4094</v>
      </c>
      <c r="F128" t="s">
        <v>3672</v>
      </c>
      <c r="G128" t="s">
        <v>3303</v>
      </c>
      <c r="H128" t="s">
        <v>3329</v>
      </c>
      <c r="I128" t="s">
        <v>3330</v>
      </c>
      <c r="J128" t="s">
        <v>4026</v>
      </c>
      <c r="K128" t="s">
        <v>4027</v>
      </c>
      <c r="L128" t="s">
        <v>4061</v>
      </c>
      <c r="M128" t="s">
        <v>1053</v>
      </c>
      <c r="N128" t="s">
        <v>161</v>
      </c>
      <c r="O128" t="s">
        <v>3303</v>
      </c>
      <c r="P128" t="s">
        <v>3329</v>
      </c>
      <c r="Q128" t="s">
        <v>3330</v>
      </c>
      <c r="R128" t="s">
        <v>4026</v>
      </c>
      <c r="S128" t="s">
        <v>4027</v>
      </c>
      <c r="T128" t="s">
        <v>3655</v>
      </c>
      <c r="U128" t="s">
        <v>3659</v>
      </c>
      <c r="V128" t="s">
        <v>664</v>
      </c>
      <c r="W128" t="s">
        <v>3657</v>
      </c>
      <c r="X128" t="s">
        <v>3658</v>
      </c>
      <c r="Y128" t="s">
        <v>3659</v>
      </c>
      <c r="Z128" t="s">
        <v>4095</v>
      </c>
      <c r="AA128" t="s">
        <v>4096</v>
      </c>
      <c r="AB128" t="s">
        <v>664</v>
      </c>
      <c r="AC128" t="s">
        <v>6</v>
      </c>
      <c r="AD128" t="s">
        <v>52</v>
      </c>
      <c r="AE128" t="s">
        <v>6</v>
      </c>
      <c r="AF128" t="s">
        <v>9</v>
      </c>
      <c r="AG128" t="s">
        <v>9</v>
      </c>
      <c r="AH128" t="s">
        <v>4097</v>
      </c>
      <c r="AI128" t="s">
        <v>4097</v>
      </c>
      <c r="AJ128" t="s">
        <v>4097</v>
      </c>
      <c r="AK128" t="s">
        <v>4097</v>
      </c>
      <c r="AL128" t="s">
        <v>9</v>
      </c>
    </row>
    <row r="129" spans="1:38" ht="11.25" customHeight="1">
      <c r="A129" t="s">
        <v>9</v>
      </c>
      <c r="B129" t="s">
        <v>35</v>
      </c>
      <c r="C129" t="s">
        <v>37</v>
      </c>
      <c r="D129" t="s">
        <v>9</v>
      </c>
      <c r="E129" t="s">
        <v>4098</v>
      </c>
      <c r="F129" t="s">
        <v>3672</v>
      </c>
      <c r="G129" t="s">
        <v>3303</v>
      </c>
      <c r="H129" t="s">
        <v>3329</v>
      </c>
      <c r="I129" t="s">
        <v>3330</v>
      </c>
      <c r="J129" t="s">
        <v>4026</v>
      </c>
      <c r="K129" t="s">
        <v>4027</v>
      </c>
      <c r="L129" t="s">
        <v>4061</v>
      </c>
      <c r="M129" t="s">
        <v>1053</v>
      </c>
      <c r="N129" t="s">
        <v>161</v>
      </c>
      <c r="O129" t="s">
        <v>3303</v>
      </c>
      <c r="P129" t="s">
        <v>3329</v>
      </c>
      <c r="Q129" t="s">
        <v>3330</v>
      </c>
      <c r="R129" t="s">
        <v>4026</v>
      </c>
      <c r="S129" t="s">
        <v>4027</v>
      </c>
      <c r="T129" t="s">
        <v>3655</v>
      </c>
      <c r="U129" t="s">
        <v>3659</v>
      </c>
      <c r="V129" t="s">
        <v>664</v>
      </c>
      <c r="W129" t="s">
        <v>3657</v>
      </c>
      <c r="X129" t="s">
        <v>3658</v>
      </c>
      <c r="Y129" t="s">
        <v>3659</v>
      </c>
      <c r="Z129" t="s">
        <v>4095</v>
      </c>
      <c r="AA129" t="s">
        <v>4096</v>
      </c>
      <c r="AB129" t="s">
        <v>664</v>
      </c>
      <c r="AC129" t="s">
        <v>6</v>
      </c>
      <c r="AD129" t="s">
        <v>52</v>
      </c>
      <c r="AE129" t="s">
        <v>6</v>
      </c>
      <c r="AF129" t="s">
        <v>9</v>
      </c>
      <c r="AG129" t="s">
        <v>9</v>
      </c>
      <c r="AH129" t="s">
        <v>4097</v>
      </c>
      <c r="AI129" t="s">
        <v>4097</v>
      </c>
      <c r="AJ129" t="s">
        <v>4097</v>
      </c>
      <c r="AK129" t="s">
        <v>4097</v>
      </c>
      <c r="AL129" t="s">
        <v>9</v>
      </c>
    </row>
    <row r="130" spans="1:38" ht="11.25" customHeight="1">
      <c r="A130" t="s">
        <v>9</v>
      </c>
      <c r="B130" t="s">
        <v>35</v>
      </c>
      <c r="C130" t="s">
        <v>37</v>
      </c>
      <c r="D130" t="s">
        <v>9</v>
      </c>
      <c r="E130" t="s">
        <v>4099</v>
      </c>
      <c r="F130" t="s">
        <v>3672</v>
      </c>
      <c r="G130" t="s">
        <v>3303</v>
      </c>
      <c r="H130" t="s">
        <v>3329</v>
      </c>
      <c r="I130" t="s">
        <v>3330</v>
      </c>
      <c r="J130" t="s">
        <v>4026</v>
      </c>
      <c r="K130" t="s">
        <v>4027</v>
      </c>
      <c r="L130" t="s">
        <v>4061</v>
      </c>
      <c r="M130" t="s">
        <v>1053</v>
      </c>
      <c r="N130" t="s">
        <v>161</v>
      </c>
      <c r="O130" t="s">
        <v>3303</v>
      </c>
      <c r="P130" t="s">
        <v>3329</v>
      </c>
      <c r="Q130" t="s">
        <v>3330</v>
      </c>
      <c r="R130" t="s">
        <v>4026</v>
      </c>
      <c r="S130" t="s">
        <v>4027</v>
      </c>
      <c r="T130" t="s">
        <v>3655</v>
      </c>
      <c r="U130" t="s">
        <v>3659</v>
      </c>
      <c r="V130" t="s">
        <v>664</v>
      </c>
      <c r="W130" t="s">
        <v>3657</v>
      </c>
      <c r="X130" t="s">
        <v>3658</v>
      </c>
      <c r="Y130" t="s">
        <v>3659</v>
      </c>
      <c r="Z130" t="s">
        <v>4095</v>
      </c>
      <c r="AA130" t="s">
        <v>4096</v>
      </c>
      <c r="AB130" t="s">
        <v>664</v>
      </c>
      <c r="AC130" t="s">
        <v>6</v>
      </c>
      <c r="AD130" t="s">
        <v>52</v>
      </c>
      <c r="AE130" t="s">
        <v>6</v>
      </c>
      <c r="AF130" t="s">
        <v>9</v>
      </c>
      <c r="AG130" t="s">
        <v>9</v>
      </c>
      <c r="AH130" t="s">
        <v>4097</v>
      </c>
      <c r="AI130" t="s">
        <v>4097</v>
      </c>
      <c r="AJ130" t="s">
        <v>4097</v>
      </c>
      <c r="AK130" t="s">
        <v>4097</v>
      </c>
      <c r="AL130" t="s">
        <v>9</v>
      </c>
    </row>
    <row r="131" spans="1:38" ht="11.25" customHeight="1">
      <c r="A131" t="s">
        <v>9</v>
      </c>
      <c r="B131" t="s">
        <v>35</v>
      </c>
      <c r="C131" t="s">
        <v>37</v>
      </c>
      <c r="D131" t="s">
        <v>9</v>
      </c>
      <c r="E131" t="s">
        <v>4100</v>
      </c>
      <c r="F131" t="s">
        <v>3672</v>
      </c>
      <c r="G131" t="s">
        <v>3303</v>
      </c>
      <c r="H131" t="s">
        <v>3329</v>
      </c>
      <c r="I131" t="s">
        <v>3330</v>
      </c>
      <c r="J131" t="s">
        <v>4026</v>
      </c>
      <c r="K131" t="s">
        <v>4027</v>
      </c>
      <c r="L131" t="s">
        <v>4061</v>
      </c>
      <c r="M131" t="s">
        <v>1053</v>
      </c>
      <c r="N131" t="s">
        <v>161</v>
      </c>
      <c r="O131" t="s">
        <v>3303</v>
      </c>
      <c r="P131" t="s">
        <v>3329</v>
      </c>
      <c r="Q131" t="s">
        <v>3330</v>
      </c>
      <c r="R131" t="s">
        <v>4026</v>
      </c>
      <c r="S131" t="s">
        <v>4027</v>
      </c>
      <c r="T131" t="s">
        <v>3655</v>
      </c>
      <c r="U131" t="s">
        <v>3659</v>
      </c>
      <c r="V131" t="s">
        <v>664</v>
      </c>
      <c r="W131" t="s">
        <v>3657</v>
      </c>
      <c r="X131" t="s">
        <v>3658</v>
      </c>
      <c r="Y131" t="s">
        <v>3659</v>
      </c>
      <c r="Z131" t="s">
        <v>4095</v>
      </c>
      <c r="AA131" t="s">
        <v>4096</v>
      </c>
      <c r="AB131" t="s">
        <v>664</v>
      </c>
      <c r="AC131" t="s">
        <v>6</v>
      </c>
      <c r="AD131" t="s">
        <v>52</v>
      </c>
      <c r="AE131" t="s">
        <v>6</v>
      </c>
      <c r="AF131" t="s">
        <v>9</v>
      </c>
      <c r="AG131" t="s">
        <v>9</v>
      </c>
      <c r="AH131" t="s">
        <v>161</v>
      </c>
      <c r="AI131" t="s">
        <v>3889</v>
      </c>
      <c r="AJ131" t="s">
        <v>161</v>
      </c>
      <c r="AK131" t="s">
        <v>3889</v>
      </c>
      <c r="AL131" t="s">
        <v>9</v>
      </c>
    </row>
    <row r="132" spans="1:38" ht="11.25" customHeight="1">
      <c r="A132" t="s">
        <v>9</v>
      </c>
      <c r="B132" t="s">
        <v>35</v>
      </c>
      <c r="C132" t="s">
        <v>37</v>
      </c>
      <c r="D132" t="s">
        <v>9</v>
      </c>
      <c r="E132" t="s">
        <v>4101</v>
      </c>
      <c r="F132" t="s">
        <v>3672</v>
      </c>
      <c r="G132" t="s">
        <v>3303</v>
      </c>
      <c r="H132" t="s">
        <v>3329</v>
      </c>
      <c r="I132" t="s">
        <v>3330</v>
      </c>
      <c r="J132" t="s">
        <v>4026</v>
      </c>
      <c r="K132" t="s">
        <v>4027</v>
      </c>
      <c r="L132" t="s">
        <v>4061</v>
      </c>
      <c r="M132" t="s">
        <v>1053</v>
      </c>
      <c r="N132" t="s">
        <v>161</v>
      </c>
      <c r="O132" t="s">
        <v>3303</v>
      </c>
      <c r="P132" t="s">
        <v>3329</v>
      </c>
      <c r="Q132" t="s">
        <v>3330</v>
      </c>
      <c r="R132" t="s">
        <v>4026</v>
      </c>
      <c r="S132" t="s">
        <v>4027</v>
      </c>
      <c r="T132" t="s">
        <v>3655</v>
      </c>
      <c r="U132" t="s">
        <v>3659</v>
      </c>
      <c r="V132" t="s">
        <v>664</v>
      </c>
      <c r="W132" t="s">
        <v>3657</v>
      </c>
      <c r="X132" t="s">
        <v>3658</v>
      </c>
      <c r="Y132" t="s">
        <v>3659</v>
      </c>
      <c r="Z132" t="s">
        <v>4095</v>
      </c>
      <c r="AA132" t="s">
        <v>4096</v>
      </c>
      <c r="AB132" t="s">
        <v>664</v>
      </c>
      <c r="AC132" t="s">
        <v>6</v>
      </c>
      <c r="AD132" t="s">
        <v>52</v>
      </c>
      <c r="AE132" t="s">
        <v>6</v>
      </c>
      <c r="AF132" t="s">
        <v>9</v>
      </c>
      <c r="AG132" t="s">
        <v>9</v>
      </c>
      <c r="AH132" t="s">
        <v>4071</v>
      </c>
      <c r="AI132" t="s">
        <v>4071</v>
      </c>
      <c r="AJ132" t="s">
        <v>4071</v>
      </c>
      <c r="AK132" t="s">
        <v>4071</v>
      </c>
      <c r="AL132" t="s">
        <v>9</v>
      </c>
    </row>
    <row r="133" spans="1:38" ht="11.25" customHeight="1">
      <c r="A133" t="s">
        <v>9</v>
      </c>
      <c r="B133" t="s">
        <v>35</v>
      </c>
      <c r="C133" t="s">
        <v>37</v>
      </c>
      <c r="D133" t="s">
        <v>9</v>
      </c>
      <c r="E133" t="s">
        <v>4102</v>
      </c>
      <c r="F133" t="s">
        <v>3672</v>
      </c>
      <c r="G133" t="s">
        <v>3303</v>
      </c>
      <c r="H133" t="s">
        <v>3329</v>
      </c>
      <c r="I133" t="s">
        <v>3330</v>
      </c>
      <c r="J133" t="s">
        <v>4026</v>
      </c>
      <c r="K133" t="s">
        <v>4027</v>
      </c>
      <c r="L133" t="s">
        <v>4061</v>
      </c>
      <c r="M133" t="s">
        <v>1053</v>
      </c>
      <c r="N133" t="s">
        <v>161</v>
      </c>
      <c r="O133" t="s">
        <v>3303</v>
      </c>
      <c r="P133" t="s">
        <v>3329</v>
      </c>
      <c r="Q133" t="s">
        <v>3330</v>
      </c>
      <c r="R133" t="s">
        <v>4026</v>
      </c>
      <c r="S133" t="s">
        <v>4027</v>
      </c>
      <c r="T133" t="s">
        <v>3655</v>
      </c>
      <c r="U133" t="s">
        <v>3659</v>
      </c>
      <c r="V133" t="s">
        <v>664</v>
      </c>
      <c r="W133" t="s">
        <v>3657</v>
      </c>
      <c r="X133" t="s">
        <v>3658</v>
      </c>
      <c r="Y133" t="s">
        <v>3659</v>
      </c>
      <c r="Z133" t="s">
        <v>4095</v>
      </c>
      <c r="AA133" t="s">
        <v>4096</v>
      </c>
      <c r="AB133" t="s">
        <v>664</v>
      </c>
      <c r="AC133" t="s">
        <v>6</v>
      </c>
      <c r="AD133" t="s">
        <v>52</v>
      </c>
      <c r="AE133" t="s">
        <v>6</v>
      </c>
      <c r="AF133" t="s">
        <v>9</v>
      </c>
      <c r="AG133" t="s">
        <v>9</v>
      </c>
      <c r="AH133" t="s">
        <v>4071</v>
      </c>
      <c r="AI133" t="s">
        <v>4071</v>
      </c>
      <c r="AJ133" t="s">
        <v>4071</v>
      </c>
      <c r="AK133" t="s">
        <v>4071</v>
      </c>
      <c r="AL133" t="s">
        <v>9</v>
      </c>
    </row>
    <row r="134" spans="1:38" ht="11.25" customHeight="1">
      <c r="A134" t="s">
        <v>9</v>
      </c>
      <c r="B134" t="s">
        <v>35</v>
      </c>
      <c r="C134" t="s">
        <v>37</v>
      </c>
      <c r="D134" t="s">
        <v>9</v>
      </c>
      <c r="E134" t="s">
        <v>4103</v>
      </c>
      <c r="F134" t="s">
        <v>3672</v>
      </c>
      <c r="G134" t="s">
        <v>3303</v>
      </c>
      <c r="H134" t="s">
        <v>3329</v>
      </c>
      <c r="I134" t="s">
        <v>3330</v>
      </c>
      <c r="J134" t="s">
        <v>4026</v>
      </c>
      <c r="K134" t="s">
        <v>4027</v>
      </c>
      <c r="L134" t="s">
        <v>4061</v>
      </c>
      <c r="M134" t="s">
        <v>1053</v>
      </c>
      <c r="N134" t="s">
        <v>161</v>
      </c>
      <c r="O134" t="s">
        <v>3303</v>
      </c>
      <c r="P134" t="s">
        <v>3329</v>
      </c>
      <c r="Q134" t="s">
        <v>3330</v>
      </c>
      <c r="R134" t="s">
        <v>4026</v>
      </c>
      <c r="S134" t="s">
        <v>4027</v>
      </c>
      <c r="T134" t="s">
        <v>3655</v>
      </c>
      <c r="U134" t="s">
        <v>3659</v>
      </c>
      <c r="V134" t="s">
        <v>664</v>
      </c>
      <c r="W134" t="s">
        <v>3657</v>
      </c>
      <c r="X134" t="s">
        <v>3658</v>
      </c>
      <c r="Y134" t="s">
        <v>3659</v>
      </c>
      <c r="Z134" t="s">
        <v>4095</v>
      </c>
      <c r="AA134" t="s">
        <v>4096</v>
      </c>
      <c r="AB134" t="s">
        <v>664</v>
      </c>
      <c r="AC134" t="s">
        <v>6</v>
      </c>
      <c r="AD134" t="s">
        <v>52</v>
      </c>
      <c r="AE134" t="s">
        <v>6</v>
      </c>
      <c r="AF134" t="s">
        <v>9</v>
      </c>
      <c r="AG134" t="s">
        <v>9</v>
      </c>
      <c r="AH134" t="s">
        <v>4071</v>
      </c>
      <c r="AI134" t="s">
        <v>4071</v>
      </c>
      <c r="AJ134" t="s">
        <v>4071</v>
      </c>
      <c r="AK134" t="s">
        <v>4071</v>
      </c>
      <c r="AL134" t="s">
        <v>9</v>
      </c>
    </row>
    <row r="135" spans="1:38" ht="11.25" customHeight="1">
      <c r="A135" t="s">
        <v>9</v>
      </c>
      <c r="B135" t="s">
        <v>35</v>
      </c>
      <c r="C135" t="s">
        <v>37</v>
      </c>
      <c r="D135" t="s">
        <v>9</v>
      </c>
      <c r="E135" t="s">
        <v>3761</v>
      </c>
      <c r="F135" t="s">
        <v>1046</v>
      </c>
      <c r="G135" t="s">
        <v>3303</v>
      </c>
      <c r="H135" t="s">
        <v>3329</v>
      </c>
      <c r="I135" t="s">
        <v>3330</v>
      </c>
      <c r="J135" t="s">
        <v>4026</v>
      </c>
      <c r="K135" t="s">
        <v>4027</v>
      </c>
      <c r="L135" t="s">
        <v>4042</v>
      </c>
      <c r="M135" t="s">
        <v>1053</v>
      </c>
      <c r="N135" t="s">
        <v>161</v>
      </c>
      <c r="O135" t="s">
        <v>3303</v>
      </c>
      <c r="P135" t="s">
        <v>3329</v>
      </c>
      <c r="Q135" t="s">
        <v>3330</v>
      </c>
      <c r="R135" t="s">
        <v>4026</v>
      </c>
      <c r="S135" t="s">
        <v>4027</v>
      </c>
      <c r="T135" t="s">
        <v>3677</v>
      </c>
      <c r="U135" t="s">
        <v>3678</v>
      </c>
      <c r="V135" t="s">
        <v>664</v>
      </c>
      <c r="W135" t="s">
        <v>3657</v>
      </c>
      <c r="X135" t="s">
        <v>3679</v>
      </c>
      <c r="Y135" t="s">
        <v>3680</v>
      </c>
      <c r="Z135" t="s">
        <v>4104</v>
      </c>
      <c r="AA135" t="s">
        <v>4105</v>
      </c>
      <c r="AB135" t="s">
        <v>664</v>
      </c>
      <c r="AC135" t="s">
        <v>52</v>
      </c>
      <c r="AD135" t="s">
        <v>52</v>
      </c>
      <c r="AE135" t="s">
        <v>52</v>
      </c>
      <c r="AF135" t="s">
        <v>1151</v>
      </c>
      <c r="AG135" t="s">
        <v>4106</v>
      </c>
      <c r="AH135" t="s">
        <v>1151</v>
      </c>
      <c r="AI135" t="s">
        <v>4106</v>
      </c>
      <c r="AJ135" t="s">
        <v>1151</v>
      </c>
      <c r="AK135" t="s">
        <v>4106</v>
      </c>
      <c r="AL135" t="s">
        <v>3662</v>
      </c>
    </row>
    <row r="136" spans="1:38" ht="11.25" customHeight="1">
      <c r="A136" t="s">
        <v>9</v>
      </c>
      <c r="B136" t="s">
        <v>35</v>
      </c>
      <c r="C136" t="s">
        <v>37</v>
      </c>
      <c r="D136" t="s">
        <v>9</v>
      </c>
      <c r="E136" t="s">
        <v>1121</v>
      </c>
      <c r="F136" t="s">
        <v>1046</v>
      </c>
      <c r="G136" t="s">
        <v>3303</v>
      </c>
      <c r="H136" t="s">
        <v>3329</v>
      </c>
      <c r="I136" t="s">
        <v>3330</v>
      </c>
      <c r="J136" t="s">
        <v>4026</v>
      </c>
      <c r="K136" t="s">
        <v>4027</v>
      </c>
      <c r="L136" t="s">
        <v>4079</v>
      </c>
      <c r="M136" t="s">
        <v>1053</v>
      </c>
      <c r="N136" t="s">
        <v>161</v>
      </c>
      <c r="O136" t="s">
        <v>3303</v>
      </c>
      <c r="P136" t="s">
        <v>3329</v>
      </c>
      <c r="Q136" t="s">
        <v>3330</v>
      </c>
      <c r="R136" t="s">
        <v>4026</v>
      </c>
      <c r="S136" t="s">
        <v>4027</v>
      </c>
      <c r="T136" t="s">
        <v>3677</v>
      </c>
      <c r="U136" t="s">
        <v>3678</v>
      </c>
      <c r="V136" t="s">
        <v>664</v>
      </c>
      <c r="W136" t="s">
        <v>3657</v>
      </c>
      <c r="X136" t="s">
        <v>3679</v>
      </c>
      <c r="Y136" t="s">
        <v>3680</v>
      </c>
      <c r="Z136" t="s">
        <v>4080</v>
      </c>
      <c r="AA136" t="s">
        <v>4081</v>
      </c>
      <c r="AB136" t="s">
        <v>664</v>
      </c>
      <c r="AC136" t="s">
        <v>52</v>
      </c>
      <c r="AD136" t="s">
        <v>52</v>
      </c>
      <c r="AE136" t="s">
        <v>52</v>
      </c>
      <c r="AF136" t="s">
        <v>133</v>
      </c>
      <c r="AG136" t="s">
        <v>4082</v>
      </c>
      <c r="AH136" t="s">
        <v>133</v>
      </c>
      <c r="AI136" t="s">
        <v>4082</v>
      </c>
      <c r="AJ136" t="s">
        <v>133</v>
      </c>
      <c r="AK136" t="s">
        <v>4082</v>
      </c>
      <c r="AL136" t="s">
        <v>3662</v>
      </c>
    </row>
    <row r="137" spans="1:38" ht="11.25" customHeight="1">
      <c r="A137" t="s">
        <v>9</v>
      </c>
      <c r="B137" t="s">
        <v>35</v>
      </c>
      <c r="C137" t="s">
        <v>37</v>
      </c>
      <c r="D137" t="s">
        <v>9</v>
      </c>
      <c r="E137" t="s">
        <v>1045</v>
      </c>
      <c r="F137" t="s">
        <v>1046</v>
      </c>
      <c r="G137" t="s">
        <v>1073</v>
      </c>
      <c r="H137" t="s">
        <v>3362</v>
      </c>
      <c r="I137" t="s">
        <v>3363</v>
      </c>
      <c r="J137" t="s">
        <v>4107</v>
      </c>
      <c r="K137" t="s">
        <v>4108</v>
      </c>
      <c r="L137" t="s">
        <v>4109</v>
      </c>
      <c r="M137" t="s">
        <v>1053</v>
      </c>
      <c r="N137" t="s">
        <v>161</v>
      </c>
      <c r="O137" t="s">
        <v>1073</v>
      </c>
      <c r="P137" t="s">
        <v>3362</v>
      </c>
      <c r="Q137" t="s">
        <v>3363</v>
      </c>
      <c r="R137" t="s">
        <v>4107</v>
      </c>
      <c r="S137" t="s">
        <v>4108</v>
      </c>
      <c r="T137" t="s">
        <v>3677</v>
      </c>
      <c r="U137" t="s">
        <v>3678</v>
      </c>
      <c r="V137" t="s">
        <v>664</v>
      </c>
      <c r="W137" t="s">
        <v>3657</v>
      </c>
      <c r="X137" t="s">
        <v>3679</v>
      </c>
      <c r="Y137" t="s">
        <v>3680</v>
      </c>
      <c r="Z137" t="s">
        <v>4110</v>
      </c>
      <c r="AA137" t="s">
        <v>4111</v>
      </c>
      <c r="AB137" t="s">
        <v>664</v>
      </c>
      <c r="AC137" t="s">
        <v>52</v>
      </c>
      <c r="AD137" t="s">
        <v>52</v>
      </c>
      <c r="AE137" t="s">
        <v>52</v>
      </c>
      <c r="AF137" t="s">
        <v>3861</v>
      </c>
      <c r="AG137" t="s">
        <v>4112</v>
      </c>
      <c r="AH137" t="s">
        <v>3861</v>
      </c>
      <c r="AI137" t="s">
        <v>4112</v>
      </c>
      <c r="AJ137" t="s">
        <v>3861</v>
      </c>
      <c r="AK137" t="s">
        <v>4112</v>
      </c>
      <c r="AL137" t="s">
        <v>3662</v>
      </c>
    </row>
    <row r="138" spans="1:38" ht="11.25" customHeight="1">
      <c r="A138" t="s">
        <v>9</v>
      </c>
      <c r="B138" t="s">
        <v>35</v>
      </c>
      <c r="C138" t="s">
        <v>37</v>
      </c>
      <c r="D138" t="s">
        <v>9</v>
      </c>
      <c r="E138" t="s">
        <v>3769</v>
      </c>
      <c r="F138" t="s">
        <v>1046</v>
      </c>
      <c r="G138" t="s">
        <v>1073</v>
      </c>
      <c r="H138" t="s">
        <v>3374</v>
      </c>
      <c r="I138" t="s">
        <v>3375</v>
      </c>
      <c r="J138" t="s">
        <v>4113</v>
      </c>
      <c r="K138" t="s">
        <v>4114</v>
      </c>
      <c r="L138" t="s">
        <v>4115</v>
      </c>
      <c r="M138" t="s">
        <v>1053</v>
      </c>
      <c r="N138" t="s">
        <v>161</v>
      </c>
      <c r="O138" t="s">
        <v>1073</v>
      </c>
      <c r="P138" t="s">
        <v>3374</v>
      </c>
      <c r="Q138" t="s">
        <v>3375</v>
      </c>
      <c r="R138" t="s">
        <v>4113</v>
      </c>
      <c r="S138" t="s">
        <v>4114</v>
      </c>
      <c r="T138" t="s">
        <v>3655</v>
      </c>
      <c r="U138" t="s">
        <v>3659</v>
      </c>
      <c r="V138" t="s">
        <v>664</v>
      </c>
      <c r="W138" t="s">
        <v>3657</v>
      </c>
      <c r="X138" t="s">
        <v>3658</v>
      </c>
      <c r="Y138" t="s">
        <v>3659</v>
      </c>
      <c r="Z138" t="s">
        <v>1533</v>
      </c>
      <c r="AA138" t="s">
        <v>4116</v>
      </c>
      <c r="AB138" t="s">
        <v>664</v>
      </c>
      <c r="AC138" t="s">
        <v>52</v>
      </c>
      <c r="AD138" t="s">
        <v>52</v>
      </c>
      <c r="AE138" t="s">
        <v>52</v>
      </c>
      <c r="AF138" t="s">
        <v>4089</v>
      </c>
      <c r="AG138" t="s">
        <v>4117</v>
      </c>
      <c r="AH138" t="s">
        <v>4089</v>
      </c>
      <c r="AI138" t="s">
        <v>4117</v>
      </c>
      <c r="AJ138" t="s">
        <v>4089</v>
      </c>
      <c r="AK138" t="s">
        <v>4117</v>
      </c>
      <c r="AL138" t="s">
        <v>3662</v>
      </c>
    </row>
    <row r="139" spans="1:38" ht="11.25" customHeight="1">
      <c r="A139" t="s">
        <v>9</v>
      </c>
      <c r="B139" t="s">
        <v>35</v>
      </c>
      <c r="C139" t="s">
        <v>37</v>
      </c>
      <c r="D139" t="s">
        <v>9</v>
      </c>
      <c r="E139" t="s">
        <v>3831</v>
      </c>
      <c r="F139" t="s">
        <v>1046</v>
      </c>
      <c r="G139" t="s">
        <v>1073</v>
      </c>
      <c r="H139" t="s">
        <v>1074</v>
      </c>
      <c r="I139" t="s">
        <v>1075</v>
      </c>
      <c r="J139" t="s">
        <v>1076</v>
      </c>
      <c r="K139" t="s">
        <v>1077</v>
      </c>
      <c r="L139" t="s">
        <v>3814</v>
      </c>
      <c r="M139" t="s">
        <v>1053</v>
      </c>
      <c r="N139" t="s">
        <v>161</v>
      </c>
      <c r="O139" t="s">
        <v>1073</v>
      </c>
      <c r="P139" t="s">
        <v>1074</v>
      </c>
      <c r="Q139" t="s">
        <v>1075</v>
      </c>
      <c r="R139" t="s">
        <v>1076</v>
      </c>
      <c r="S139" t="s">
        <v>1077</v>
      </c>
      <c r="T139" t="s">
        <v>3655</v>
      </c>
      <c r="U139" t="s">
        <v>3656</v>
      </c>
      <c r="V139" t="s">
        <v>664</v>
      </c>
      <c r="W139" t="s">
        <v>3657</v>
      </c>
      <c r="X139" t="s">
        <v>3658</v>
      </c>
      <c r="Y139" t="s">
        <v>3659</v>
      </c>
      <c r="Z139" t="s">
        <v>4118</v>
      </c>
      <c r="AA139" t="s">
        <v>4119</v>
      </c>
      <c r="AB139" t="s">
        <v>664</v>
      </c>
      <c r="AC139" t="s">
        <v>52</v>
      </c>
      <c r="AD139" t="s">
        <v>52</v>
      </c>
      <c r="AE139" t="s">
        <v>52</v>
      </c>
      <c r="AF139" t="s">
        <v>843</v>
      </c>
      <c r="AG139" t="s">
        <v>4120</v>
      </c>
      <c r="AH139" t="s">
        <v>843</v>
      </c>
      <c r="AI139" t="s">
        <v>4120</v>
      </c>
      <c r="AJ139" t="s">
        <v>843</v>
      </c>
      <c r="AK139" t="s">
        <v>4120</v>
      </c>
      <c r="AL139" t="s">
        <v>3662</v>
      </c>
    </row>
    <row r="140" spans="1:38" ht="11.25" customHeight="1">
      <c r="A140" t="s">
        <v>9</v>
      </c>
      <c r="B140" t="s">
        <v>35</v>
      </c>
      <c r="C140" t="s">
        <v>37</v>
      </c>
      <c r="D140" t="s">
        <v>9</v>
      </c>
      <c r="E140" t="s">
        <v>3663</v>
      </c>
      <c r="F140" t="s">
        <v>1046</v>
      </c>
      <c r="G140" t="s">
        <v>1073</v>
      </c>
      <c r="H140" t="s">
        <v>1074</v>
      </c>
      <c r="I140" t="s">
        <v>1075</v>
      </c>
      <c r="J140" t="s">
        <v>1076</v>
      </c>
      <c r="K140" t="s">
        <v>1077</v>
      </c>
      <c r="L140" t="s">
        <v>4121</v>
      </c>
      <c r="M140" t="s">
        <v>3725</v>
      </c>
      <c r="N140" t="s">
        <v>161</v>
      </c>
      <c r="O140" t="s">
        <v>1073</v>
      </c>
      <c r="P140" t="s">
        <v>1074</v>
      </c>
      <c r="Q140" t="s">
        <v>1075</v>
      </c>
      <c r="R140" t="s">
        <v>1076</v>
      </c>
      <c r="S140" t="s">
        <v>1077</v>
      </c>
      <c r="T140" t="s">
        <v>3655</v>
      </c>
      <c r="U140" t="s">
        <v>3656</v>
      </c>
      <c r="V140" t="s">
        <v>664</v>
      </c>
      <c r="W140" t="s">
        <v>3657</v>
      </c>
      <c r="X140" t="s">
        <v>3658</v>
      </c>
      <c r="Y140" t="s">
        <v>3659</v>
      </c>
      <c r="Z140" t="s">
        <v>4118</v>
      </c>
      <c r="AA140" t="s">
        <v>4119</v>
      </c>
      <c r="AB140" t="s">
        <v>664</v>
      </c>
      <c r="AC140" t="s">
        <v>52</v>
      </c>
      <c r="AD140" t="s">
        <v>52</v>
      </c>
      <c r="AE140" t="s">
        <v>52</v>
      </c>
      <c r="AF140" t="s">
        <v>4122</v>
      </c>
      <c r="AG140" t="s">
        <v>3890</v>
      </c>
      <c r="AH140" t="s">
        <v>4122</v>
      </c>
      <c r="AI140" t="s">
        <v>3890</v>
      </c>
      <c r="AJ140" t="s">
        <v>4122</v>
      </c>
      <c r="AK140" t="s">
        <v>3890</v>
      </c>
      <c r="AL140" t="s">
        <v>3662</v>
      </c>
    </row>
    <row r="141" spans="1:38" ht="11.25" customHeight="1">
      <c r="A141" t="s">
        <v>9</v>
      </c>
      <c r="B141" t="s">
        <v>35</v>
      </c>
      <c r="C141" t="s">
        <v>37</v>
      </c>
      <c r="D141" t="s">
        <v>9</v>
      </c>
      <c r="E141" t="s">
        <v>1106</v>
      </c>
      <c r="F141" t="s">
        <v>1046</v>
      </c>
      <c r="G141" t="s">
        <v>1073</v>
      </c>
      <c r="H141" t="s">
        <v>1074</v>
      </c>
      <c r="I141" t="s">
        <v>1075</v>
      </c>
      <c r="J141" t="s">
        <v>1076</v>
      </c>
      <c r="K141" t="s">
        <v>1077</v>
      </c>
      <c r="L141" t="s">
        <v>4121</v>
      </c>
      <c r="M141" t="s">
        <v>1053</v>
      </c>
      <c r="N141" t="s">
        <v>161</v>
      </c>
      <c r="O141" t="s">
        <v>1073</v>
      </c>
      <c r="P141" t="s">
        <v>1074</v>
      </c>
      <c r="Q141" t="s">
        <v>1075</v>
      </c>
      <c r="R141" t="s">
        <v>1076</v>
      </c>
      <c r="S141" t="s">
        <v>1077</v>
      </c>
      <c r="T141" t="s">
        <v>3655</v>
      </c>
      <c r="U141" t="s">
        <v>3656</v>
      </c>
      <c r="V141" t="s">
        <v>664</v>
      </c>
      <c r="W141" t="s">
        <v>3657</v>
      </c>
      <c r="X141" t="s">
        <v>3658</v>
      </c>
      <c r="Y141" t="s">
        <v>3659</v>
      </c>
      <c r="Z141" t="s">
        <v>4118</v>
      </c>
      <c r="AA141" t="s">
        <v>4119</v>
      </c>
      <c r="AB141" t="s">
        <v>664</v>
      </c>
      <c r="AC141" t="s">
        <v>52</v>
      </c>
      <c r="AD141" t="s">
        <v>52</v>
      </c>
      <c r="AE141" t="s">
        <v>52</v>
      </c>
      <c r="AF141" t="s">
        <v>4122</v>
      </c>
      <c r="AG141" t="s">
        <v>4123</v>
      </c>
      <c r="AH141" t="s">
        <v>4122</v>
      </c>
      <c r="AI141" t="s">
        <v>4123</v>
      </c>
      <c r="AJ141" t="s">
        <v>4122</v>
      </c>
      <c r="AK141" t="s">
        <v>4123</v>
      </c>
      <c r="AL141" t="s">
        <v>3662</v>
      </c>
    </row>
    <row r="142" spans="1:38" ht="11.25" customHeight="1">
      <c r="A142" t="s">
        <v>9</v>
      </c>
      <c r="B142" t="s">
        <v>35</v>
      </c>
      <c r="C142" t="s">
        <v>37</v>
      </c>
      <c r="D142" t="s">
        <v>9</v>
      </c>
      <c r="E142" t="s">
        <v>1089</v>
      </c>
      <c r="F142" t="s">
        <v>1046</v>
      </c>
      <c r="G142" t="s">
        <v>1073</v>
      </c>
      <c r="H142" t="s">
        <v>1074</v>
      </c>
      <c r="I142" t="s">
        <v>1075</v>
      </c>
      <c r="J142" t="s">
        <v>1076</v>
      </c>
      <c r="K142" t="s">
        <v>1077</v>
      </c>
      <c r="L142" t="s">
        <v>1090</v>
      </c>
      <c r="M142" t="s">
        <v>1053</v>
      </c>
      <c r="N142" t="s">
        <v>161</v>
      </c>
      <c r="O142" t="s">
        <v>1073</v>
      </c>
      <c r="P142" t="s">
        <v>1074</v>
      </c>
      <c r="Q142" t="s">
        <v>1075</v>
      </c>
      <c r="R142" t="s">
        <v>1076</v>
      </c>
      <c r="S142" t="s">
        <v>1077</v>
      </c>
      <c r="T142" t="s">
        <v>3655</v>
      </c>
      <c r="U142" t="s">
        <v>3656</v>
      </c>
      <c r="V142" t="s">
        <v>664</v>
      </c>
      <c r="W142" t="s">
        <v>3657</v>
      </c>
      <c r="X142" t="s">
        <v>3658</v>
      </c>
      <c r="Y142" t="s">
        <v>3659</v>
      </c>
      <c r="Z142" t="s">
        <v>4124</v>
      </c>
      <c r="AA142" t="s">
        <v>4125</v>
      </c>
      <c r="AB142" t="s">
        <v>664</v>
      </c>
      <c r="AC142" t="s">
        <v>52</v>
      </c>
      <c r="AD142" t="s">
        <v>52</v>
      </c>
      <c r="AE142" t="s">
        <v>52</v>
      </c>
      <c r="AF142" t="s">
        <v>1685</v>
      </c>
      <c r="AG142" t="s">
        <v>4126</v>
      </c>
      <c r="AH142" t="s">
        <v>1685</v>
      </c>
      <c r="AI142" t="s">
        <v>4126</v>
      </c>
      <c r="AJ142" t="s">
        <v>1685</v>
      </c>
      <c r="AK142" t="s">
        <v>4126</v>
      </c>
      <c r="AL142" t="s">
        <v>3662</v>
      </c>
    </row>
    <row r="143" spans="1:38" ht="11.25" customHeight="1">
      <c r="A143" t="s">
        <v>9</v>
      </c>
      <c r="B143" t="s">
        <v>35</v>
      </c>
      <c r="C143" t="s">
        <v>37</v>
      </c>
      <c r="D143" t="s">
        <v>9</v>
      </c>
      <c r="E143" t="s">
        <v>4127</v>
      </c>
      <c r="F143" t="s">
        <v>3672</v>
      </c>
      <c r="G143" t="s">
        <v>1073</v>
      </c>
      <c r="H143" t="s">
        <v>1074</v>
      </c>
      <c r="I143" t="s">
        <v>1075</v>
      </c>
      <c r="J143" t="s">
        <v>1076</v>
      </c>
      <c r="K143" t="s">
        <v>1077</v>
      </c>
      <c r="L143" t="s">
        <v>1090</v>
      </c>
      <c r="M143" t="s">
        <v>1053</v>
      </c>
      <c r="N143" t="s">
        <v>161</v>
      </c>
      <c r="O143" t="s">
        <v>1073</v>
      </c>
      <c r="P143" t="s">
        <v>1074</v>
      </c>
      <c r="Q143" t="s">
        <v>1075</v>
      </c>
      <c r="R143" t="s">
        <v>1076</v>
      </c>
      <c r="S143" t="s">
        <v>1077</v>
      </c>
      <c r="T143" t="s">
        <v>3655</v>
      </c>
      <c r="U143" t="s">
        <v>3656</v>
      </c>
      <c r="V143" t="s">
        <v>664</v>
      </c>
      <c r="W143" t="s">
        <v>3657</v>
      </c>
      <c r="X143" t="s">
        <v>3658</v>
      </c>
      <c r="Y143" t="s">
        <v>3659</v>
      </c>
      <c r="Z143" t="s">
        <v>4124</v>
      </c>
      <c r="AA143" t="s">
        <v>4125</v>
      </c>
      <c r="AB143" t="s">
        <v>664</v>
      </c>
      <c r="AC143" t="s">
        <v>6</v>
      </c>
      <c r="AD143" t="s">
        <v>52</v>
      </c>
      <c r="AE143" t="s">
        <v>6</v>
      </c>
      <c r="AF143" t="s">
        <v>9</v>
      </c>
      <c r="AG143" t="s">
        <v>9</v>
      </c>
      <c r="AH143" t="s">
        <v>1685</v>
      </c>
      <c r="AI143" t="s">
        <v>4126</v>
      </c>
      <c r="AJ143" t="s">
        <v>1685</v>
      </c>
      <c r="AK143" t="s">
        <v>4126</v>
      </c>
      <c r="AL143" t="s">
        <v>9</v>
      </c>
    </row>
    <row r="144" spans="1:38" ht="11.25" customHeight="1">
      <c r="A144" t="s">
        <v>9</v>
      </c>
      <c r="B144" t="s">
        <v>35</v>
      </c>
      <c r="C144" t="s">
        <v>37</v>
      </c>
      <c r="D144" t="s">
        <v>9</v>
      </c>
      <c r="E144" t="s">
        <v>4128</v>
      </c>
      <c r="F144" t="s">
        <v>3672</v>
      </c>
      <c r="G144" t="s">
        <v>1073</v>
      </c>
      <c r="H144" t="s">
        <v>1074</v>
      </c>
      <c r="I144" t="s">
        <v>1075</v>
      </c>
      <c r="J144" t="s">
        <v>1076</v>
      </c>
      <c r="K144" t="s">
        <v>1077</v>
      </c>
      <c r="L144" t="s">
        <v>1090</v>
      </c>
      <c r="M144" t="s">
        <v>1053</v>
      </c>
      <c r="N144" t="s">
        <v>161</v>
      </c>
      <c r="O144" t="s">
        <v>1073</v>
      </c>
      <c r="P144" t="s">
        <v>1074</v>
      </c>
      <c r="Q144" t="s">
        <v>1075</v>
      </c>
      <c r="R144" t="s">
        <v>1076</v>
      </c>
      <c r="S144" t="s">
        <v>1077</v>
      </c>
      <c r="T144" t="s">
        <v>3655</v>
      </c>
      <c r="U144" t="s">
        <v>3656</v>
      </c>
      <c r="V144" t="s">
        <v>664</v>
      </c>
      <c r="W144" t="s">
        <v>3657</v>
      </c>
      <c r="X144" t="s">
        <v>3658</v>
      </c>
      <c r="Y144" t="s">
        <v>3659</v>
      </c>
      <c r="Z144" t="s">
        <v>4124</v>
      </c>
      <c r="AA144" t="s">
        <v>4125</v>
      </c>
      <c r="AB144" t="s">
        <v>664</v>
      </c>
      <c r="AC144" t="s">
        <v>6</v>
      </c>
      <c r="AD144" t="s">
        <v>52</v>
      </c>
      <c r="AE144" t="s">
        <v>6</v>
      </c>
      <c r="AF144" t="s">
        <v>9</v>
      </c>
      <c r="AG144" t="s">
        <v>9</v>
      </c>
      <c r="AH144" t="s">
        <v>1685</v>
      </c>
      <c r="AI144" t="s">
        <v>4126</v>
      </c>
      <c r="AJ144" t="s">
        <v>1685</v>
      </c>
      <c r="AK144" t="s">
        <v>4126</v>
      </c>
      <c r="AL144" t="s">
        <v>9</v>
      </c>
    </row>
    <row r="145" spans="1:38" ht="11.25" customHeight="1">
      <c r="A145" t="s">
        <v>9</v>
      </c>
      <c r="B145" t="s">
        <v>35</v>
      </c>
      <c r="C145" t="s">
        <v>37</v>
      </c>
      <c r="D145" t="s">
        <v>9</v>
      </c>
      <c r="E145" t="s">
        <v>4129</v>
      </c>
      <c r="F145" t="s">
        <v>3672</v>
      </c>
      <c r="G145" t="s">
        <v>1073</v>
      </c>
      <c r="H145" t="s">
        <v>1074</v>
      </c>
      <c r="I145" t="s">
        <v>1075</v>
      </c>
      <c r="J145" t="s">
        <v>1076</v>
      </c>
      <c r="K145" t="s">
        <v>1077</v>
      </c>
      <c r="L145" t="s">
        <v>1083</v>
      </c>
      <c r="M145" t="s">
        <v>1084</v>
      </c>
      <c r="N145" t="s">
        <v>161</v>
      </c>
      <c r="O145" t="s">
        <v>1073</v>
      </c>
      <c r="P145" t="s">
        <v>1074</v>
      </c>
      <c r="Q145" t="s">
        <v>1075</v>
      </c>
      <c r="R145" t="s">
        <v>1076</v>
      </c>
      <c r="S145" t="s">
        <v>1077</v>
      </c>
      <c r="T145" t="s">
        <v>3655</v>
      </c>
      <c r="U145" t="s">
        <v>3656</v>
      </c>
      <c r="V145" t="s">
        <v>664</v>
      </c>
      <c r="W145" t="s">
        <v>3657</v>
      </c>
      <c r="X145" t="s">
        <v>3658</v>
      </c>
      <c r="Y145" t="s">
        <v>3659</v>
      </c>
      <c r="Z145" t="s">
        <v>4130</v>
      </c>
      <c r="AA145" t="s">
        <v>4131</v>
      </c>
      <c r="AB145" t="s">
        <v>664</v>
      </c>
      <c r="AC145" t="s">
        <v>6</v>
      </c>
      <c r="AD145" t="s">
        <v>52</v>
      </c>
      <c r="AE145" t="s">
        <v>6</v>
      </c>
      <c r="AF145" t="s">
        <v>9</v>
      </c>
      <c r="AG145" t="s">
        <v>9</v>
      </c>
      <c r="AH145" t="s">
        <v>3302</v>
      </c>
      <c r="AI145" t="s">
        <v>4132</v>
      </c>
      <c r="AJ145" t="s">
        <v>3302</v>
      </c>
      <c r="AK145" t="s">
        <v>4132</v>
      </c>
      <c r="AL145" t="s">
        <v>9</v>
      </c>
    </row>
    <row r="146" spans="1:38" ht="11.25" customHeight="1">
      <c r="A146" t="s">
        <v>9</v>
      </c>
      <c r="B146" t="s">
        <v>35</v>
      </c>
      <c r="C146" t="s">
        <v>37</v>
      </c>
      <c r="D146" t="s">
        <v>9</v>
      </c>
      <c r="E146" t="s">
        <v>4133</v>
      </c>
      <c r="F146" t="s">
        <v>3672</v>
      </c>
      <c r="G146" t="s">
        <v>1073</v>
      </c>
      <c r="H146" t="s">
        <v>1074</v>
      </c>
      <c r="I146" t="s">
        <v>1075</v>
      </c>
      <c r="J146" t="s">
        <v>1076</v>
      </c>
      <c r="K146" t="s">
        <v>1077</v>
      </c>
      <c r="L146" t="s">
        <v>1083</v>
      </c>
      <c r="M146" t="s">
        <v>1084</v>
      </c>
      <c r="N146" t="s">
        <v>161</v>
      </c>
      <c r="O146" t="s">
        <v>1073</v>
      </c>
      <c r="P146" t="s">
        <v>1074</v>
      </c>
      <c r="Q146" t="s">
        <v>1075</v>
      </c>
      <c r="R146" t="s">
        <v>1076</v>
      </c>
      <c r="S146" t="s">
        <v>1077</v>
      </c>
      <c r="T146" t="s">
        <v>3655</v>
      </c>
      <c r="U146" t="s">
        <v>3656</v>
      </c>
      <c r="V146" t="s">
        <v>664</v>
      </c>
      <c r="W146" t="s">
        <v>3657</v>
      </c>
      <c r="X146" t="s">
        <v>3658</v>
      </c>
      <c r="Y146" t="s">
        <v>3659</v>
      </c>
      <c r="Z146" t="s">
        <v>4130</v>
      </c>
      <c r="AA146" t="s">
        <v>4131</v>
      </c>
      <c r="AB146" t="s">
        <v>664</v>
      </c>
      <c r="AC146" t="s">
        <v>6</v>
      </c>
      <c r="AD146" t="s">
        <v>52</v>
      </c>
      <c r="AE146" t="s">
        <v>6</v>
      </c>
      <c r="AF146" t="s">
        <v>9</v>
      </c>
      <c r="AG146" t="s">
        <v>9</v>
      </c>
      <c r="AH146" t="s">
        <v>3302</v>
      </c>
      <c r="AI146" t="s">
        <v>4132</v>
      </c>
      <c r="AJ146" t="s">
        <v>3302</v>
      </c>
      <c r="AK146" t="s">
        <v>4132</v>
      </c>
      <c r="AL146" t="s">
        <v>9</v>
      </c>
    </row>
    <row r="147" spans="1:38" ht="11.25" customHeight="1">
      <c r="A147" t="s">
        <v>9</v>
      </c>
      <c r="B147" t="s">
        <v>35</v>
      </c>
      <c r="C147" t="s">
        <v>37</v>
      </c>
      <c r="D147" t="s">
        <v>9</v>
      </c>
      <c r="E147" t="s">
        <v>4045</v>
      </c>
      <c r="F147" t="s">
        <v>1046</v>
      </c>
      <c r="G147" t="s">
        <v>1073</v>
      </c>
      <c r="H147" t="s">
        <v>1074</v>
      </c>
      <c r="I147" t="s">
        <v>1075</v>
      </c>
      <c r="J147" t="s">
        <v>1076</v>
      </c>
      <c r="K147" t="s">
        <v>1077</v>
      </c>
      <c r="L147" t="s">
        <v>4134</v>
      </c>
      <c r="M147" t="s">
        <v>1053</v>
      </c>
      <c r="N147" t="s">
        <v>161</v>
      </c>
      <c r="O147" t="s">
        <v>1073</v>
      </c>
      <c r="P147" t="s">
        <v>1074</v>
      </c>
      <c r="Q147" t="s">
        <v>1075</v>
      </c>
      <c r="R147" t="s">
        <v>1076</v>
      </c>
      <c r="S147" t="s">
        <v>1077</v>
      </c>
      <c r="T147" t="s">
        <v>3655</v>
      </c>
      <c r="U147" t="s">
        <v>3656</v>
      </c>
      <c r="V147" t="s">
        <v>664</v>
      </c>
      <c r="W147" t="s">
        <v>3657</v>
      </c>
      <c r="X147" t="s">
        <v>3658</v>
      </c>
      <c r="Y147" t="s">
        <v>3659</v>
      </c>
      <c r="Z147" t="s">
        <v>4135</v>
      </c>
      <c r="AA147" t="s">
        <v>4136</v>
      </c>
      <c r="AB147" t="s">
        <v>664</v>
      </c>
      <c r="AC147" t="s">
        <v>52</v>
      </c>
      <c r="AD147" t="s">
        <v>52</v>
      </c>
      <c r="AE147" t="s">
        <v>52</v>
      </c>
      <c r="AF147" t="s">
        <v>3923</v>
      </c>
      <c r="AG147" t="s">
        <v>4137</v>
      </c>
      <c r="AH147" t="s">
        <v>3923</v>
      </c>
      <c r="AI147" t="s">
        <v>4137</v>
      </c>
      <c r="AJ147" t="s">
        <v>3923</v>
      </c>
      <c r="AK147" t="s">
        <v>4137</v>
      </c>
      <c r="AL147" t="s">
        <v>3662</v>
      </c>
    </row>
    <row r="148" spans="1:38" ht="11.25" customHeight="1">
      <c r="A148" t="s">
        <v>9</v>
      </c>
      <c r="B148" t="s">
        <v>35</v>
      </c>
      <c r="C148" t="s">
        <v>37</v>
      </c>
      <c r="D148" t="s">
        <v>9</v>
      </c>
      <c r="E148" t="s">
        <v>1058</v>
      </c>
      <c r="F148" t="s">
        <v>1046</v>
      </c>
      <c r="G148" t="s">
        <v>1073</v>
      </c>
      <c r="H148" t="s">
        <v>1074</v>
      </c>
      <c r="I148" t="s">
        <v>1075</v>
      </c>
      <c r="J148" t="s">
        <v>1076</v>
      </c>
      <c r="K148" t="s">
        <v>1077</v>
      </c>
      <c r="L148" t="s">
        <v>1087</v>
      </c>
      <c r="M148" t="s">
        <v>1053</v>
      </c>
      <c r="N148" t="s">
        <v>161</v>
      </c>
      <c r="O148" t="s">
        <v>1073</v>
      </c>
      <c r="P148" t="s">
        <v>1074</v>
      </c>
      <c r="Q148" t="s">
        <v>1075</v>
      </c>
      <c r="R148" t="s">
        <v>1076</v>
      </c>
      <c r="S148" t="s">
        <v>1077</v>
      </c>
      <c r="T148" t="s">
        <v>3677</v>
      </c>
      <c r="U148" t="s">
        <v>3678</v>
      </c>
      <c r="V148" t="s">
        <v>664</v>
      </c>
      <c r="W148" t="s">
        <v>3657</v>
      </c>
      <c r="X148" t="s">
        <v>3679</v>
      </c>
      <c r="Y148" t="s">
        <v>3680</v>
      </c>
      <c r="Z148" t="s">
        <v>4138</v>
      </c>
      <c r="AA148" t="s">
        <v>4139</v>
      </c>
      <c r="AB148" t="s">
        <v>664</v>
      </c>
      <c r="AC148" t="s">
        <v>52</v>
      </c>
      <c r="AD148" t="s">
        <v>52</v>
      </c>
      <c r="AE148" t="s">
        <v>52</v>
      </c>
      <c r="AF148" t="s">
        <v>1151</v>
      </c>
      <c r="AG148" t="s">
        <v>4140</v>
      </c>
      <c r="AH148" t="s">
        <v>1151</v>
      </c>
      <c r="AI148" t="s">
        <v>4140</v>
      </c>
      <c r="AJ148" t="s">
        <v>1151</v>
      </c>
      <c r="AK148" t="s">
        <v>4140</v>
      </c>
      <c r="AL148" t="s">
        <v>3662</v>
      </c>
    </row>
    <row r="149" spans="1:38" ht="11.25" customHeight="1">
      <c r="A149" t="s">
        <v>9</v>
      </c>
      <c r="B149" t="s">
        <v>35</v>
      </c>
      <c r="C149" t="s">
        <v>37</v>
      </c>
      <c r="D149" t="s">
        <v>9</v>
      </c>
      <c r="E149" t="s">
        <v>1062</v>
      </c>
      <c r="F149" t="s">
        <v>1046</v>
      </c>
      <c r="G149" t="s">
        <v>1073</v>
      </c>
      <c r="H149" t="s">
        <v>1074</v>
      </c>
      <c r="I149" t="s">
        <v>1075</v>
      </c>
      <c r="J149" t="s">
        <v>1076</v>
      </c>
      <c r="K149" t="s">
        <v>1077</v>
      </c>
      <c r="L149" t="s">
        <v>1088</v>
      </c>
      <c r="M149" t="s">
        <v>1053</v>
      </c>
      <c r="N149" t="s">
        <v>161</v>
      </c>
      <c r="O149" t="s">
        <v>1073</v>
      </c>
      <c r="P149" t="s">
        <v>1074</v>
      </c>
      <c r="Q149" t="s">
        <v>1075</v>
      </c>
      <c r="R149" t="s">
        <v>1076</v>
      </c>
      <c r="S149" t="s">
        <v>1077</v>
      </c>
      <c r="T149" t="s">
        <v>3677</v>
      </c>
      <c r="U149" t="s">
        <v>3678</v>
      </c>
      <c r="V149" t="s">
        <v>664</v>
      </c>
      <c r="W149" t="s">
        <v>3657</v>
      </c>
      <c r="X149" t="s">
        <v>3679</v>
      </c>
      <c r="Y149" t="s">
        <v>3680</v>
      </c>
      <c r="Z149" t="s">
        <v>4141</v>
      </c>
      <c r="AA149" t="s">
        <v>4142</v>
      </c>
      <c r="AB149" t="s">
        <v>664</v>
      </c>
      <c r="AC149" t="s">
        <v>52</v>
      </c>
      <c r="AD149" t="s">
        <v>52</v>
      </c>
      <c r="AE149" t="s">
        <v>52</v>
      </c>
      <c r="AF149" t="s">
        <v>1151</v>
      </c>
      <c r="AG149" t="s">
        <v>4143</v>
      </c>
      <c r="AH149" t="s">
        <v>1151</v>
      </c>
      <c r="AI149" t="s">
        <v>4143</v>
      </c>
      <c r="AJ149" t="s">
        <v>1151</v>
      </c>
      <c r="AK149" t="s">
        <v>4143</v>
      </c>
      <c r="AL149" t="s">
        <v>3662</v>
      </c>
    </row>
    <row r="150" spans="1:38" ht="11.25" customHeight="1">
      <c r="A150" t="s">
        <v>9</v>
      </c>
      <c r="B150" t="s">
        <v>35</v>
      </c>
      <c r="C150" t="s">
        <v>37</v>
      </c>
      <c r="D150" t="s">
        <v>9</v>
      </c>
      <c r="E150" t="s">
        <v>3870</v>
      </c>
      <c r="F150" t="s">
        <v>3672</v>
      </c>
      <c r="G150" t="s">
        <v>1073</v>
      </c>
      <c r="H150" t="s">
        <v>1074</v>
      </c>
      <c r="I150" t="s">
        <v>1075</v>
      </c>
      <c r="J150" t="s">
        <v>1076</v>
      </c>
      <c r="K150" t="s">
        <v>1077</v>
      </c>
      <c r="L150" t="s">
        <v>1088</v>
      </c>
      <c r="M150" t="s">
        <v>1053</v>
      </c>
      <c r="N150" t="s">
        <v>161</v>
      </c>
      <c r="O150" t="s">
        <v>1073</v>
      </c>
      <c r="P150" t="s">
        <v>1074</v>
      </c>
      <c r="Q150" t="s">
        <v>1075</v>
      </c>
      <c r="R150" t="s">
        <v>1076</v>
      </c>
      <c r="S150" t="s">
        <v>1077</v>
      </c>
      <c r="T150" t="s">
        <v>3677</v>
      </c>
      <c r="U150" t="s">
        <v>3678</v>
      </c>
      <c r="V150" t="s">
        <v>664</v>
      </c>
      <c r="W150" t="s">
        <v>3657</v>
      </c>
      <c r="X150" t="s">
        <v>3679</v>
      </c>
      <c r="Y150" t="s">
        <v>3680</v>
      </c>
      <c r="Z150" t="s">
        <v>4141</v>
      </c>
      <c r="AA150" t="s">
        <v>4142</v>
      </c>
      <c r="AB150" t="s">
        <v>664</v>
      </c>
      <c r="AC150" t="s">
        <v>6</v>
      </c>
      <c r="AD150" t="s">
        <v>52</v>
      </c>
      <c r="AE150" t="s">
        <v>6</v>
      </c>
      <c r="AF150" t="s">
        <v>9</v>
      </c>
      <c r="AG150" t="s">
        <v>9</v>
      </c>
      <c r="AH150" t="s">
        <v>1151</v>
      </c>
      <c r="AI150" t="s">
        <v>4143</v>
      </c>
      <c r="AJ150" t="s">
        <v>1151</v>
      </c>
      <c r="AK150" t="s">
        <v>4143</v>
      </c>
      <c r="AL150" t="s">
        <v>9</v>
      </c>
    </row>
    <row r="151" spans="1:38" ht="11.25" customHeight="1">
      <c r="A151" t="s">
        <v>9</v>
      </c>
      <c r="B151" t="s">
        <v>35</v>
      </c>
      <c r="C151" t="s">
        <v>37</v>
      </c>
      <c r="D151" t="s">
        <v>9</v>
      </c>
      <c r="E151" t="s">
        <v>3731</v>
      </c>
      <c r="F151" t="s">
        <v>1046</v>
      </c>
      <c r="G151" t="s">
        <v>1073</v>
      </c>
      <c r="H151" t="s">
        <v>1074</v>
      </c>
      <c r="I151" t="s">
        <v>1075</v>
      </c>
      <c r="J151" t="s">
        <v>1076</v>
      </c>
      <c r="K151" t="s">
        <v>1077</v>
      </c>
      <c r="L151" t="s">
        <v>4144</v>
      </c>
      <c r="M151" t="s">
        <v>1053</v>
      </c>
      <c r="N151" t="s">
        <v>161</v>
      </c>
      <c r="O151" t="s">
        <v>1073</v>
      </c>
      <c r="P151" t="s">
        <v>1074</v>
      </c>
      <c r="Q151" t="s">
        <v>1075</v>
      </c>
      <c r="R151" t="s">
        <v>1076</v>
      </c>
      <c r="S151" t="s">
        <v>1077</v>
      </c>
      <c r="T151" t="s">
        <v>3655</v>
      </c>
      <c r="U151" t="s">
        <v>3656</v>
      </c>
      <c r="V151" t="s">
        <v>664</v>
      </c>
      <c r="W151" t="s">
        <v>3657</v>
      </c>
      <c r="X151" t="s">
        <v>3658</v>
      </c>
      <c r="Y151" t="s">
        <v>3659</v>
      </c>
      <c r="Z151" t="s">
        <v>4118</v>
      </c>
      <c r="AA151" t="s">
        <v>4119</v>
      </c>
      <c r="AB151" t="s">
        <v>664</v>
      </c>
      <c r="AC151" t="s">
        <v>52</v>
      </c>
      <c r="AD151" t="s">
        <v>52</v>
      </c>
      <c r="AE151" t="s">
        <v>52</v>
      </c>
      <c r="AF151" t="s">
        <v>1527</v>
      </c>
      <c r="AG151" t="s">
        <v>4145</v>
      </c>
      <c r="AH151" t="s">
        <v>1527</v>
      </c>
      <c r="AI151" t="s">
        <v>4145</v>
      </c>
      <c r="AJ151" t="s">
        <v>1527</v>
      </c>
      <c r="AK151" t="s">
        <v>4145</v>
      </c>
      <c r="AL151" t="s">
        <v>3662</v>
      </c>
    </row>
    <row r="152" spans="1:38" ht="11.25" customHeight="1">
      <c r="A152" t="s">
        <v>9</v>
      </c>
      <c r="B152" t="s">
        <v>35</v>
      </c>
      <c r="C152" t="s">
        <v>37</v>
      </c>
      <c r="D152" t="s">
        <v>9</v>
      </c>
      <c r="E152" t="s">
        <v>3736</v>
      </c>
      <c r="F152" t="s">
        <v>1046</v>
      </c>
      <c r="G152" t="s">
        <v>1073</v>
      </c>
      <c r="H152" t="s">
        <v>1074</v>
      </c>
      <c r="I152" t="s">
        <v>1075</v>
      </c>
      <c r="J152" t="s">
        <v>1076</v>
      </c>
      <c r="K152" t="s">
        <v>1077</v>
      </c>
      <c r="L152" t="s">
        <v>4146</v>
      </c>
      <c r="M152" t="s">
        <v>1053</v>
      </c>
      <c r="N152" t="s">
        <v>161</v>
      </c>
      <c r="O152" t="s">
        <v>1073</v>
      </c>
      <c r="P152" t="s">
        <v>1074</v>
      </c>
      <c r="Q152" t="s">
        <v>1075</v>
      </c>
      <c r="R152" t="s">
        <v>1076</v>
      </c>
      <c r="S152" t="s">
        <v>1077</v>
      </c>
      <c r="T152" t="s">
        <v>3655</v>
      </c>
      <c r="U152" t="s">
        <v>3659</v>
      </c>
      <c r="V152" t="s">
        <v>664</v>
      </c>
      <c r="W152" t="s">
        <v>3657</v>
      </c>
      <c r="X152" t="s">
        <v>3658</v>
      </c>
      <c r="Y152" t="s">
        <v>3659</v>
      </c>
      <c r="Z152" t="s">
        <v>4147</v>
      </c>
      <c r="AA152" t="s">
        <v>3994</v>
      </c>
      <c r="AB152" t="s">
        <v>664</v>
      </c>
      <c r="AC152" t="s">
        <v>52</v>
      </c>
      <c r="AD152" t="s">
        <v>52</v>
      </c>
      <c r="AE152" t="s">
        <v>52</v>
      </c>
      <c r="AF152" t="s">
        <v>4148</v>
      </c>
      <c r="AG152" t="s">
        <v>3958</v>
      </c>
      <c r="AH152" t="s">
        <v>4148</v>
      </c>
      <c r="AI152" t="s">
        <v>3958</v>
      </c>
      <c r="AJ152" t="s">
        <v>4148</v>
      </c>
      <c r="AK152" t="s">
        <v>3958</v>
      </c>
      <c r="AL152" t="s">
        <v>3662</v>
      </c>
    </row>
    <row r="153" spans="1:38" ht="11.25" customHeight="1">
      <c r="A153" t="s">
        <v>9</v>
      </c>
      <c r="B153" t="s">
        <v>35</v>
      </c>
      <c r="C153" t="s">
        <v>37</v>
      </c>
      <c r="D153" t="s">
        <v>9</v>
      </c>
      <c r="E153" t="s">
        <v>1098</v>
      </c>
      <c r="F153" t="s">
        <v>1046</v>
      </c>
      <c r="G153" t="s">
        <v>1073</v>
      </c>
      <c r="H153" t="s">
        <v>1074</v>
      </c>
      <c r="I153" t="s">
        <v>1075</v>
      </c>
      <c r="J153" t="s">
        <v>1076</v>
      </c>
      <c r="K153" t="s">
        <v>1077</v>
      </c>
      <c r="L153" t="s">
        <v>4149</v>
      </c>
      <c r="M153" t="s">
        <v>460</v>
      </c>
      <c r="N153" t="s">
        <v>161</v>
      </c>
      <c r="O153" t="s">
        <v>1073</v>
      </c>
      <c r="P153" t="s">
        <v>1074</v>
      </c>
      <c r="Q153" t="s">
        <v>1075</v>
      </c>
      <c r="R153" t="s">
        <v>1076</v>
      </c>
      <c r="S153" t="s">
        <v>1077</v>
      </c>
      <c r="T153" t="s">
        <v>3655</v>
      </c>
      <c r="U153" t="s">
        <v>3656</v>
      </c>
      <c r="V153" t="s">
        <v>664</v>
      </c>
      <c r="W153" t="s">
        <v>3657</v>
      </c>
      <c r="X153" t="s">
        <v>3658</v>
      </c>
      <c r="Y153" t="s">
        <v>3659</v>
      </c>
      <c r="Z153" t="s">
        <v>4150</v>
      </c>
      <c r="AA153" t="s">
        <v>3994</v>
      </c>
      <c r="AB153" t="s">
        <v>664</v>
      </c>
      <c r="AC153" t="s">
        <v>52</v>
      </c>
      <c r="AD153" t="s">
        <v>52</v>
      </c>
      <c r="AE153" t="s">
        <v>52</v>
      </c>
      <c r="AF153" t="s">
        <v>78</v>
      </c>
      <c r="AG153" t="s">
        <v>4151</v>
      </c>
      <c r="AH153" t="s">
        <v>78</v>
      </c>
      <c r="AI153" t="s">
        <v>4151</v>
      </c>
      <c r="AJ153" t="s">
        <v>78</v>
      </c>
      <c r="AK153" t="s">
        <v>4151</v>
      </c>
      <c r="AL153" t="s">
        <v>3662</v>
      </c>
    </row>
    <row r="154" spans="1:38" ht="11.25" customHeight="1">
      <c r="A154" t="s">
        <v>9</v>
      </c>
      <c r="B154" t="s">
        <v>35</v>
      </c>
      <c r="C154" t="s">
        <v>37</v>
      </c>
      <c r="D154" t="s">
        <v>9</v>
      </c>
      <c r="E154" t="s">
        <v>1100</v>
      </c>
      <c r="F154" t="s">
        <v>1046</v>
      </c>
      <c r="G154" t="s">
        <v>1073</v>
      </c>
      <c r="H154" t="s">
        <v>1074</v>
      </c>
      <c r="I154" t="s">
        <v>1075</v>
      </c>
      <c r="J154" t="s">
        <v>1076</v>
      </c>
      <c r="K154" t="s">
        <v>1077</v>
      </c>
      <c r="L154" t="s">
        <v>4152</v>
      </c>
      <c r="M154" t="s">
        <v>1053</v>
      </c>
      <c r="N154" t="s">
        <v>161</v>
      </c>
      <c r="O154" t="s">
        <v>1073</v>
      </c>
      <c r="P154" t="s">
        <v>1074</v>
      </c>
      <c r="Q154" t="s">
        <v>1075</v>
      </c>
      <c r="R154" t="s">
        <v>1076</v>
      </c>
      <c r="S154" t="s">
        <v>1077</v>
      </c>
      <c r="T154" t="s">
        <v>3655</v>
      </c>
      <c r="U154" t="s">
        <v>3656</v>
      </c>
      <c r="V154" t="s">
        <v>664</v>
      </c>
      <c r="W154" t="s">
        <v>3657</v>
      </c>
      <c r="X154" t="s">
        <v>3658</v>
      </c>
      <c r="Y154" t="s">
        <v>3659</v>
      </c>
      <c r="Z154" t="s">
        <v>4118</v>
      </c>
      <c r="AA154" t="s">
        <v>4119</v>
      </c>
      <c r="AB154" t="s">
        <v>664</v>
      </c>
      <c r="AC154" t="s">
        <v>52</v>
      </c>
      <c r="AD154" t="s">
        <v>52</v>
      </c>
      <c r="AE154" t="s">
        <v>52</v>
      </c>
      <c r="AF154" t="s">
        <v>4153</v>
      </c>
      <c r="AG154" t="s">
        <v>4154</v>
      </c>
      <c r="AH154" t="s">
        <v>4153</v>
      </c>
      <c r="AI154" t="s">
        <v>4154</v>
      </c>
      <c r="AJ154" t="s">
        <v>4153</v>
      </c>
      <c r="AK154" t="s">
        <v>4154</v>
      </c>
      <c r="AL154" t="s">
        <v>3662</v>
      </c>
    </row>
    <row r="155" spans="1:38" ht="11.25" customHeight="1">
      <c r="A155" t="s">
        <v>9</v>
      </c>
      <c r="B155" t="s">
        <v>35</v>
      </c>
      <c r="C155" t="s">
        <v>37</v>
      </c>
      <c r="D155" t="s">
        <v>9</v>
      </c>
      <c r="E155" t="s">
        <v>4155</v>
      </c>
      <c r="F155" t="s">
        <v>3672</v>
      </c>
      <c r="G155" t="s">
        <v>1073</v>
      </c>
      <c r="H155" t="s">
        <v>1074</v>
      </c>
      <c r="I155" t="s">
        <v>1075</v>
      </c>
      <c r="J155" t="s">
        <v>1076</v>
      </c>
      <c r="K155" t="s">
        <v>1077</v>
      </c>
      <c r="L155" t="s">
        <v>4152</v>
      </c>
      <c r="M155" t="s">
        <v>1053</v>
      </c>
      <c r="N155" t="s">
        <v>161</v>
      </c>
      <c r="O155" t="s">
        <v>1073</v>
      </c>
      <c r="P155" t="s">
        <v>1074</v>
      </c>
      <c r="Q155" t="s">
        <v>1075</v>
      </c>
      <c r="R155" t="s">
        <v>1076</v>
      </c>
      <c r="S155" t="s">
        <v>1077</v>
      </c>
      <c r="T155" t="s">
        <v>3655</v>
      </c>
      <c r="U155" t="s">
        <v>3656</v>
      </c>
      <c r="V155" t="s">
        <v>664</v>
      </c>
      <c r="W155" t="s">
        <v>3657</v>
      </c>
      <c r="X155" t="s">
        <v>3658</v>
      </c>
      <c r="Y155" t="s">
        <v>3659</v>
      </c>
      <c r="Z155" t="s">
        <v>4118</v>
      </c>
      <c r="AA155" t="s">
        <v>4119</v>
      </c>
      <c r="AB155" t="s">
        <v>664</v>
      </c>
      <c r="AC155" t="s">
        <v>6</v>
      </c>
      <c r="AD155" t="s">
        <v>52</v>
      </c>
      <c r="AE155" t="s">
        <v>6</v>
      </c>
      <c r="AF155" t="s">
        <v>9</v>
      </c>
      <c r="AG155" t="s">
        <v>9</v>
      </c>
      <c r="AH155" t="s">
        <v>4153</v>
      </c>
      <c r="AI155" t="s">
        <v>4154</v>
      </c>
      <c r="AJ155" t="s">
        <v>4153</v>
      </c>
      <c r="AK155" t="s">
        <v>4154</v>
      </c>
      <c r="AL155" t="s">
        <v>9</v>
      </c>
    </row>
    <row r="156" spans="1:38" ht="11.25" customHeight="1">
      <c r="A156" t="s">
        <v>9</v>
      </c>
      <c r="B156" t="s">
        <v>35</v>
      </c>
      <c r="C156" t="s">
        <v>37</v>
      </c>
      <c r="D156" t="s">
        <v>9</v>
      </c>
      <c r="E156" t="s">
        <v>1091</v>
      </c>
      <c r="F156" t="s">
        <v>1046</v>
      </c>
      <c r="G156" t="s">
        <v>1073</v>
      </c>
      <c r="H156" t="s">
        <v>1074</v>
      </c>
      <c r="I156" t="s">
        <v>1075</v>
      </c>
      <c r="J156" t="s">
        <v>1076</v>
      </c>
      <c r="K156" t="s">
        <v>1077</v>
      </c>
      <c r="L156" t="s">
        <v>4156</v>
      </c>
      <c r="M156" t="s">
        <v>1053</v>
      </c>
      <c r="N156" t="s">
        <v>161</v>
      </c>
      <c r="O156" t="s">
        <v>1073</v>
      </c>
      <c r="P156" t="s">
        <v>1074</v>
      </c>
      <c r="Q156" t="s">
        <v>1075</v>
      </c>
      <c r="R156" t="s">
        <v>1076</v>
      </c>
      <c r="S156" t="s">
        <v>1077</v>
      </c>
      <c r="T156" t="s">
        <v>3655</v>
      </c>
      <c r="U156" t="s">
        <v>3656</v>
      </c>
      <c r="V156" t="s">
        <v>664</v>
      </c>
      <c r="W156" t="s">
        <v>3657</v>
      </c>
      <c r="X156" t="s">
        <v>3658</v>
      </c>
      <c r="Y156" t="s">
        <v>3659</v>
      </c>
      <c r="Z156" t="s">
        <v>4118</v>
      </c>
      <c r="AA156" t="s">
        <v>4119</v>
      </c>
      <c r="AB156" t="s">
        <v>664</v>
      </c>
      <c r="AC156" t="s">
        <v>52</v>
      </c>
      <c r="AD156" t="s">
        <v>52</v>
      </c>
      <c r="AE156" t="s">
        <v>52</v>
      </c>
      <c r="AF156" t="s">
        <v>3879</v>
      </c>
      <c r="AG156" t="s">
        <v>4157</v>
      </c>
      <c r="AH156" t="s">
        <v>3879</v>
      </c>
      <c r="AI156" t="s">
        <v>4157</v>
      </c>
      <c r="AJ156" t="s">
        <v>3879</v>
      </c>
      <c r="AK156" t="s">
        <v>4157</v>
      </c>
      <c r="AL156" t="s">
        <v>3662</v>
      </c>
    </row>
    <row r="157" spans="1:38" ht="11.25" customHeight="1">
      <c r="A157" t="s">
        <v>9</v>
      </c>
      <c r="B157" t="s">
        <v>35</v>
      </c>
      <c r="C157" t="s">
        <v>37</v>
      </c>
      <c r="D157" t="s">
        <v>9</v>
      </c>
      <c r="E157" t="s">
        <v>3761</v>
      </c>
      <c r="F157" t="s">
        <v>1046</v>
      </c>
      <c r="G157" t="s">
        <v>1073</v>
      </c>
      <c r="H157" t="s">
        <v>1074</v>
      </c>
      <c r="I157" t="s">
        <v>1075</v>
      </c>
      <c r="J157" t="s">
        <v>1076</v>
      </c>
      <c r="K157" t="s">
        <v>1077</v>
      </c>
      <c r="L157" t="s">
        <v>4121</v>
      </c>
      <c r="M157" t="s">
        <v>1053</v>
      </c>
      <c r="N157" t="s">
        <v>161</v>
      </c>
      <c r="O157" t="s">
        <v>1073</v>
      </c>
      <c r="P157" t="s">
        <v>1074</v>
      </c>
      <c r="Q157" t="s">
        <v>1075</v>
      </c>
      <c r="R157" t="s">
        <v>1076</v>
      </c>
      <c r="S157" t="s">
        <v>1077</v>
      </c>
      <c r="T157" t="s">
        <v>3655</v>
      </c>
      <c r="U157" t="s">
        <v>3656</v>
      </c>
      <c r="V157" t="s">
        <v>664</v>
      </c>
      <c r="W157" t="s">
        <v>3657</v>
      </c>
      <c r="X157" t="s">
        <v>3658</v>
      </c>
      <c r="Y157" t="s">
        <v>3659</v>
      </c>
      <c r="Z157" t="s">
        <v>4118</v>
      </c>
      <c r="AA157" t="s">
        <v>4119</v>
      </c>
      <c r="AB157" t="s">
        <v>664</v>
      </c>
      <c r="AC157" t="s">
        <v>52</v>
      </c>
      <c r="AD157" t="s">
        <v>52</v>
      </c>
      <c r="AE157" t="s">
        <v>52</v>
      </c>
      <c r="AF157" t="s">
        <v>4122</v>
      </c>
      <c r="AG157" t="s">
        <v>4158</v>
      </c>
      <c r="AH157" t="s">
        <v>4122</v>
      </c>
      <c r="AI157" t="s">
        <v>4158</v>
      </c>
      <c r="AJ157" t="s">
        <v>4122</v>
      </c>
      <c r="AK157" t="s">
        <v>4158</v>
      </c>
      <c r="AL157" t="s">
        <v>3662</v>
      </c>
    </row>
    <row r="158" spans="1:38" ht="11.25" customHeight="1">
      <c r="A158" t="s">
        <v>9</v>
      </c>
      <c r="B158" t="s">
        <v>35</v>
      </c>
      <c r="C158" t="s">
        <v>37</v>
      </c>
      <c r="D158" t="s">
        <v>9</v>
      </c>
      <c r="E158" t="s">
        <v>1082</v>
      </c>
      <c r="F158" t="s">
        <v>1046</v>
      </c>
      <c r="G158" t="s">
        <v>1073</v>
      </c>
      <c r="H158" t="s">
        <v>1074</v>
      </c>
      <c r="I158" t="s">
        <v>1075</v>
      </c>
      <c r="J158" t="s">
        <v>1076</v>
      </c>
      <c r="K158" t="s">
        <v>1077</v>
      </c>
      <c r="L158" t="s">
        <v>1083</v>
      </c>
      <c r="M158" t="s">
        <v>1084</v>
      </c>
      <c r="N158" t="s">
        <v>161</v>
      </c>
      <c r="O158" t="s">
        <v>1073</v>
      </c>
      <c r="P158" t="s">
        <v>1074</v>
      </c>
      <c r="Q158" t="s">
        <v>1075</v>
      </c>
      <c r="R158" t="s">
        <v>1076</v>
      </c>
      <c r="S158" t="s">
        <v>1077</v>
      </c>
      <c r="T158" t="s">
        <v>3655</v>
      </c>
      <c r="U158" t="s">
        <v>3656</v>
      </c>
      <c r="V158" t="s">
        <v>664</v>
      </c>
      <c r="W158" t="s">
        <v>3657</v>
      </c>
      <c r="X158" t="s">
        <v>3658</v>
      </c>
      <c r="Y158" t="s">
        <v>3659</v>
      </c>
      <c r="Z158" t="s">
        <v>4130</v>
      </c>
      <c r="AA158" t="s">
        <v>4131</v>
      </c>
      <c r="AB158" t="s">
        <v>664</v>
      </c>
      <c r="AC158" t="s">
        <v>52</v>
      </c>
      <c r="AD158" t="s">
        <v>52</v>
      </c>
      <c r="AE158" t="s">
        <v>52</v>
      </c>
      <c r="AF158" t="s">
        <v>3302</v>
      </c>
      <c r="AG158" t="s">
        <v>4132</v>
      </c>
      <c r="AH158" t="s">
        <v>3302</v>
      </c>
      <c r="AI158" t="s">
        <v>4132</v>
      </c>
      <c r="AJ158" t="s">
        <v>3302</v>
      </c>
      <c r="AK158" t="s">
        <v>4132</v>
      </c>
      <c r="AL158" t="s">
        <v>3662</v>
      </c>
    </row>
    <row r="159" spans="1:38" ht="11.25" customHeight="1">
      <c r="A159" t="s">
        <v>9</v>
      </c>
      <c r="B159" t="s">
        <v>35</v>
      </c>
      <c r="C159" t="s">
        <v>37</v>
      </c>
      <c r="D159" t="s">
        <v>9</v>
      </c>
      <c r="E159" t="s">
        <v>1072</v>
      </c>
      <c r="F159" t="s">
        <v>1046</v>
      </c>
      <c r="G159" t="s">
        <v>1073</v>
      </c>
      <c r="H159" t="s">
        <v>1074</v>
      </c>
      <c r="I159" t="s">
        <v>1075</v>
      </c>
      <c r="J159" t="s">
        <v>1076</v>
      </c>
      <c r="K159" t="s">
        <v>1077</v>
      </c>
      <c r="L159" t="s">
        <v>1078</v>
      </c>
      <c r="M159" t="s">
        <v>1079</v>
      </c>
      <c r="N159" t="s">
        <v>161</v>
      </c>
      <c r="O159" t="s">
        <v>1073</v>
      </c>
      <c r="P159" t="s">
        <v>1074</v>
      </c>
      <c r="Q159" t="s">
        <v>1075</v>
      </c>
      <c r="R159" t="s">
        <v>1076</v>
      </c>
      <c r="S159" t="s">
        <v>1077</v>
      </c>
      <c r="T159" t="s">
        <v>3677</v>
      </c>
      <c r="U159" t="s">
        <v>3678</v>
      </c>
      <c r="V159" t="s">
        <v>664</v>
      </c>
      <c r="W159" t="s">
        <v>3657</v>
      </c>
      <c r="X159" t="s">
        <v>3824</v>
      </c>
      <c r="Y159" t="s">
        <v>3680</v>
      </c>
      <c r="Z159" t="s">
        <v>1053</v>
      </c>
      <c r="AA159" t="s">
        <v>4159</v>
      </c>
      <c r="AB159" t="s">
        <v>664</v>
      </c>
      <c r="AC159" t="s">
        <v>52</v>
      </c>
      <c r="AD159" t="s">
        <v>52</v>
      </c>
      <c r="AE159" t="s">
        <v>52</v>
      </c>
      <c r="AF159" t="s">
        <v>4160</v>
      </c>
      <c r="AG159" t="s">
        <v>4161</v>
      </c>
      <c r="AH159" t="s">
        <v>4160</v>
      </c>
      <c r="AI159" t="s">
        <v>4161</v>
      </c>
      <c r="AJ159" t="s">
        <v>4160</v>
      </c>
      <c r="AK159" t="s">
        <v>4161</v>
      </c>
      <c r="AL159" t="s">
        <v>3662</v>
      </c>
    </row>
    <row r="160" spans="1:38" ht="11.25" customHeight="1">
      <c r="A160" t="s">
        <v>9</v>
      </c>
      <c r="B160" t="s">
        <v>35</v>
      </c>
      <c r="C160" t="s">
        <v>37</v>
      </c>
      <c r="D160" t="s">
        <v>9</v>
      </c>
      <c r="E160" t="s">
        <v>1072</v>
      </c>
      <c r="F160" t="s">
        <v>3672</v>
      </c>
      <c r="G160" t="s">
        <v>1073</v>
      </c>
      <c r="H160" t="s">
        <v>1074</v>
      </c>
      <c r="I160" t="s">
        <v>1075</v>
      </c>
      <c r="J160" t="s">
        <v>1076</v>
      </c>
      <c r="K160" t="s">
        <v>1077</v>
      </c>
      <c r="L160" t="s">
        <v>1078</v>
      </c>
      <c r="M160" t="s">
        <v>4162</v>
      </c>
      <c r="N160" t="s">
        <v>161</v>
      </c>
      <c r="O160" t="s">
        <v>1073</v>
      </c>
      <c r="P160" t="s">
        <v>1074</v>
      </c>
      <c r="Q160" t="s">
        <v>1075</v>
      </c>
      <c r="R160" t="s">
        <v>1076</v>
      </c>
      <c r="S160" t="s">
        <v>1077</v>
      </c>
      <c r="T160" t="s">
        <v>3677</v>
      </c>
      <c r="U160" t="s">
        <v>3678</v>
      </c>
      <c r="V160" t="s">
        <v>664</v>
      </c>
      <c r="W160" t="s">
        <v>3657</v>
      </c>
      <c r="X160" t="s">
        <v>3824</v>
      </c>
      <c r="Y160" t="s">
        <v>3680</v>
      </c>
      <c r="Z160" t="s">
        <v>1053</v>
      </c>
      <c r="AA160" t="s">
        <v>4159</v>
      </c>
      <c r="AB160" t="s">
        <v>664</v>
      </c>
      <c r="AC160" t="s">
        <v>6</v>
      </c>
      <c r="AD160" t="s">
        <v>52</v>
      </c>
      <c r="AE160" t="s">
        <v>6</v>
      </c>
      <c r="AF160" t="s">
        <v>9</v>
      </c>
      <c r="AG160" t="s">
        <v>9</v>
      </c>
      <c r="AH160" t="s">
        <v>4160</v>
      </c>
      <c r="AI160" t="s">
        <v>4161</v>
      </c>
      <c r="AJ160" t="s">
        <v>4160</v>
      </c>
      <c r="AK160" t="s">
        <v>4161</v>
      </c>
      <c r="AL160" t="s">
        <v>9</v>
      </c>
    </row>
    <row r="161" spans="1:38" ht="11.25" customHeight="1">
      <c r="A161" t="s">
        <v>9</v>
      </c>
      <c r="B161" t="s">
        <v>35</v>
      </c>
      <c r="C161" t="s">
        <v>37</v>
      </c>
      <c r="D161" t="s">
        <v>9</v>
      </c>
      <c r="E161" t="s">
        <v>1121</v>
      </c>
      <c r="F161" t="s">
        <v>1046</v>
      </c>
      <c r="G161" t="s">
        <v>1073</v>
      </c>
      <c r="H161" t="s">
        <v>1074</v>
      </c>
      <c r="I161" t="s">
        <v>1075</v>
      </c>
      <c r="J161" t="s">
        <v>1076</v>
      </c>
      <c r="K161" t="s">
        <v>1077</v>
      </c>
      <c r="L161" t="s">
        <v>4163</v>
      </c>
      <c r="M161" t="s">
        <v>4164</v>
      </c>
      <c r="N161" t="s">
        <v>161</v>
      </c>
      <c r="O161" t="s">
        <v>1073</v>
      </c>
      <c r="P161" t="s">
        <v>1074</v>
      </c>
      <c r="Q161" t="s">
        <v>1075</v>
      </c>
      <c r="R161" t="s">
        <v>1076</v>
      </c>
      <c r="S161" t="s">
        <v>1077</v>
      </c>
      <c r="T161" t="s">
        <v>3655</v>
      </c>
      <c r="U161" t="s">
        <v>3656</v>
      </c>
      <c r="V161" t="s">
        <v>664</v>
      </c>
      <c r="W161" t="s">
        <v>3657</v>
      </c>
      <c r="X161" t="s">
        <v>3658</v>
      </c>
      <c r="Y161" t="s">
        <v>3659</v>
      </c>
      <c r="Z161" t="s">
        <v>4118</v>
      </c>
      <c r="AA161" t="s">
        <v>4119</v>
      </c>
      <c r="AB161" t="s">
        <v>664</v>
      </c>
      <c r="AC161" t="s">
        <v>52</v>
      </c>
      <c r="AD161" t="s">
        <v>52</v>
      </c>
      <c r="AE161" t="s">
        <v>52</v>
      </c>
      <c r="AF161" t="s">
        <v>4165</v>
      </c>
      <c r="AG161" t="s">
        <v>4166</v>
      </c>
      <c r="AH161" t="s">
        <v>4165</v>
      </c>
      <c r="AI161" t="s">
        <v>4166</v>
      </c>
      <c r="AJ161" t="s">
        <v>4165</v>
      </c>
      <c r="AK161" t="s">
        <v>4166</v>
      </c>
      <c r="AL161" t="s">
        <v>3662</v>
      </c>
    </row>
    <row r="162" spans="1:38" ht="11.25" customHeight="1">
      <c r="A162" t="s">
        <v>9</v>
      </c>
      <c r="B162" t="s">
        <v>35</v>
      </c>
      <c r="C162" t="s">
        <v>37</v>
      </c>
      <c r="D162" t="s">
        <v>9</v>
      </c>
      <c r="E162" t="s">
        <v>1045</v>
      </c>
      <c r="F162" t="s">
        <v>1046</v>
      </c>
      <c r="G162" t="s">
        <v>3397</v>
      </c>
      <c r="H162" t="s">
        <v>3417</v>
      </c>
      <c r="I162" t="s">
        <v>3418</v>
      </c>
      <c r="J162" t="s">
        <v>4167</v>
      </c>
      <c r="K162" t="s">
        <v>4168</v>
      </c>
      <c r="L162" t="s">
        <v>4169</v>
      </c>
      <c r="M162" t="s">
        <v>1053</v>
      </c>
      <c r="N162" t="s">
        <v>161</v>
      </c>
      <c r="O162" t="s">
        <v>3397</v>
      </c>
      <c r="P162" t="s">
        <v>3417</v>
      </c>
      <c r="Q162" t="s">
        <v>3418</v>
      </c>
      <c r="R162" t="s">
        <v>4167</v>
      </c>
      <c r="S162" t="s">
        <v>4168</v>
      </c>
      <c r="T162" t="s">
        <v>3655</v>
      </c>
      <c r="U162" t="s">
        <v>3659</v>
      </c>
      <c r="V162" t="s">
        <v>664</v>
      </c>
      <c r="W162" t="s">
        <v>3657</v>
      </c>
      <c r="X162" t="s">
        <v>3658</v>
      </c>
      <c r="Y162" t="s">
        <v>3659</v>
      </c>
      <c r="Z162" t="s">
        <v>4170</v>
      </c>
      <c r="AA162" t="s">
        <v>4171</v>
      </c>
      <c r="AB162" t="s">
        <v>664</v>
      </c>
      <c r="AC162" t="s">
        <v>52</v>
      </c>
      <c r="AD162" t="s">
        <v>52</v>
      </c>
      <c r="AE162" t="s">
        <v>52</v>
      </c>
      <c r="AF162" t="s">
        <v>4172</v>
      </c>
      <c r="AG162" t="s">
        <v>4173</v>
      </c>
      <c r="AH162" t="s">
        <v>4172</v>
      </c>
      <c r="AI162" t="s">
        <v>2173</v>
      </c>
      <c r="AJ162" t="s">
        <v>4172</v>
      </c>
      <c r="AK162" t="s">
        <v>2173</v>
      </c>
      <c r="AL162" t="s">
        <v>3662</v>
      </c>
    </row>
    <row r="163" spans="1:38" ht="11.25" customHeight="1">
      <c r="A163" t="s">
        <v>9</v>
      </c>
      <c r="B163" t="s">
        <v>35</v>
      </c>
      <c r="C163" t="s">
        <v>37</v>
      </c>
      <c r="D163" t="s">
        <v>9</v>
      </c>
      <c r="E163" t="s">
        <v>4174</v>
      </c>
      <c r="F163" t="s">
        <v>1046</v>
      </c>
      <c r="G163" t="s">
        <v>3397</v>
      </c>
      <c r="H163" t="s">
        <v>3417</v>
      </c>
      <c r="I163" t="s">
        <v>3418</v>
      </c>
      <c r="J163" t="s">
        <v>4175</v>
      </c>
      <c r="K163" t="s">
        <v>4176</v>
      </c>
      <c r="L163" t="s">
        <v>1053</v>
      </c>
      <c r="M163" t="s">
        <v>1053</v>
      </c>
      <c r="N163" t="s">
        <v>161</v>
      </c>
      <c r="O163" t="s">
        <v>3397</v>
      </c>
      <c r="P163" t="s">
        <v>3417</v>
      </c>
      <c r="Q163" t="s">
        <v>3418</v>
      </c>
      <c r="R163" t="s">
        <v>4175</v>
      </c>
      <c r="S163" t="s">
        <v>4176</v>
      </c>
      <c r="T163" t="s">
        <v>3655</v>
      </c>
      <c r="U163" t="s">
        <v>3659</v>
      </c>
      <c r="V163" t="s">
        <v>664</v>
      </c>
      <c r="W163" t="s">
        <v>3657</v>
      </c>
      <c r="X163" t="s">
        <v>3658</v>
      </c>
      <c r="Y163" t="s">
        <v>3659</v>
      </c>
      <c r="Z163" t="s">
        <v>1053</v>
      </c>
      <c r="AA163" t="s">
        <v>4177</v>
      </c>
      <c r="AB163" t="s">
        <v>664</v>
      </c>
      <c r="AC163" t="s">
        <v>52</v>
      </c>
      <c r="AD163" t="s">
        <v>52</v>
      </c>
      <c r="AE163" t="s">
        <v>52</v>
      </c>
      <c r="AF163" t="s">
        <v>89</v>
      </c>
      <c r="AG163" t="s">
        <v>4178</v>
      </c>
      <c r="AH163" t="s">
        <v>89</v>
      </c>
      <c r="AI163" t="s">
        <v>4179</v>
      </c>
      <c r="AJ163" t="s">
        <v>89</v>
      </c>
      <c r="AK163" t="s">
        <v>4179</v>
      </c>
      <c r="AL163" t="s">
        <v>3662</v>
      </c>
    </row>
    <row r="164" spans="1:38" ht="11.25" customHeight="1">
      <c r="A164" t="s">
        <v>9</v>
      </c>
      <c r="B164" t="s">
        <v>35</v>
      </c>
      <c r="C164" t="s">
        <v>37</v>
      </c>
      <c r="D164" t="s">
        <v>9</v>
      </c>
      <c r="E164" t="s">
        <v>1058</v>
      </c>
      <c r="F164" t="s">
        <v>1046</v>
      </c>
      <c r="G164" t="s">
        <v>3397</v>
      </c>
      <c r="H164" t="s">
        <v>3444</v>
      </c>
      <c r="I164" t="s">
        <v>3445</v>
      </c>
      <c r="J164" t="s">
        <v>4180</v>
      </c>
      <c r="K164" t="s">
        <v>4181</v>
      </c>
      <c r="L164" t="s">
        <v>4182</v>
      </c>
      <c r="M164" t="s">
        <v>1053</v>
      </c>
      <c r="N164" t="s">
        <v>161</v>
      </c>
      <c r="O164" t="s">
        <v>3397</v>
      </c>
      <c r="P164" t="s">
        <v>3444</v>
      </c>
      <c r="Q164" t="s">
        <v>3445</v>
      </c>
      <c r="R164" t="s">
        <v>4180</v>
      </c>
      <c r="S164" t="s">
        <v>4181</v>
      </c>
      <c r="T164" t="s">
        <v>3655</v>
      </c>
      <c r="U164" t="s">
        <v>3659</v>
      </c>
      <c r="V164" t="s">
        <v>664</v>
      </c>
      <c r="W164" t="s">
        <v>3657</v>
      </c>
      <c r="X164" t="s">
        <v>3658</v>
      </c>
      <c r="Y164" t="s">
        <v>3659</v>
      </c>
      <c r="Z164" t="s">
        <v>4183</v>
      </c>
      <c r="AA164" t="s">
        <v>4184</v>
      </c>
      <c r="AB164" t="s">
        <v>664</v>
      </c>
      <c r="AC164" t="s">
        <v>52</v>
      </c>
      <c r="AD164" t="s">
        <v>52</v>
      </c>
      <c r="AE164" t="s">
        <v>52</v>
      </c>
      <c r="AF164" t="s">
        <v>4185</v>
      </c>
      <c r="AG164" t="s">
        <v>4186</v>
      </c>
      <c r="AH164" t="s">
        <v>4185</v>
      </c>
      <c r="AI164" t="s">
        <v>4186</v>
      </c>
      <c r="AJ164" t="s">
        <v>4185</v>
      </c>
      <c r="AK164" t="s">
        <v>4186</v>
      </c>
      <c r="AL164" t="s">
        <v>3662</v>
      </c>
    </row>
    <row r="165" spans="1:38" ht="11.25" customHeight="1">
      <c r="A165" t="s">
        <v>9</v>
      </c>
      <c r="B165" t="s">
        <v>35</v>
      </c>
      <c r="C165" t="s">
        <v>37</v>
      </c>
      <c r="D165" t="s">
        <v>9</v>
      </c>
      <c r="E165" t="s">
        <v>1062</v>
      </c>
      <c r="F165" t="s">
        <v>1046</v>
      </c>
      <c r="G165" t="s">
        <v>3397</v>
      </c>
      <c r="H165" t="s">
        <v>3451</v>
      </c>
      <c r="I165" t="s">
        <v>3452</v>
      </c>
      <c r="J165" t="s">
        <v>4187</v>
      </c>
      <c r="K165" t="s">
        <v>4188</v>
      </c>
      <c r="L165" t="s">
        <v>4189</v>
      </c>
      <c r="M165" t="s">
        <v>1053</v>
      </c>
      <c r="N165" t="s">
        <v>161</v>
      </c>
      <c r="O165" t="s">
        <v>3397</v>
      </c>
      <c r="P165" t="s">
        <v>3451</v>
      </c>
      <c r="Q165" t="s">
        <v>3452</v>
      </c>
      <c r="R165" t="s">
        <v>4187</v>
      </c>
      <c r="S165" t="s">
        <v>4188</v>
      </c>
      <c r="T165" t="s">
        <v>3655</v>
      </c>
      <c r="U165" t="s">
        <v>3659</v>
      </c>
      <c r="V165" t="s">
        <v>664</v>
      </c>
      <c r="W165" t="s">
        <v>3657</v>
      </c>
      <c r="X165" t="s">
        <v>3658</v>
      </c>
      <c r="Y165" t="s">
        <v>3659</v>
      </c>
      <c r="Z165" t="s">
        <v>4190</v>
      </c>
      <c r="AA165" t="s">
        <v>996</v>
      </c>
      <c r="AB165" t="s">
        <v>664</v>
      </c>
      <c r="AC165" t="s">
        <v>52</v>
      </c>
      <c r="AD165" t="s">
        <v>52</v>
      </c>
      <c r="AE165" t="s">
        <v>52</v>
      </c>
      <c r="AF165" t="s">
        <v>4191</v>
      </c>
      <c r="AG165" t="s">
        <v>4192</v>
      </c>
      <c r="AH165" t="s">
        <v>4191</v>
      </c>
      <c r="AI165" t="s">
        <v>4192</v>
      </c>
      <c r="AJ165" t="s">
        <v>4191</v>
      </c>
      <c r="AK165" t="s">
        <v>4192</v>
      </c>
      <c r="AL165" t="s">
        <v>3662</v>
      </c>
    </row>
    <row r="166" spans="1:38" ht="11.25" customHeight="1">
      <c r="A166" t="s">
        <v>9</v>
      </c>
      <c r="B166" t="s">
        <v>35</v>
      </c>
      <c r="C166" t="s">
        <v>37</v>
      </c>
      <c r="D166" t="s">
        <v>9</v>
      </c>
      <c r="E166" t="s">
        <v>4193</v>
      </c>
      <c r="F166" t="s">
        <v>1046</v>
      </c>
      <c r="G166" t="s">
        <v>1128</v>
      </c>
      <c r="H166" t="s">
        <v>1129</v>
      </c>
      <c r="I166" t="s">
        <v>1130</v>
      </c>
      <c r="J166" t="s">
        <v>1131</v>
      </c>
      <c r="K166" t="s">
        <v>1132</v>
      </c>
      <c r="L166" t="s">
        <v>1088</v>
      </c>
      <c r="M166" t="s">
        <v>1053</v>
      </c>
      <c r="N166" t="s">
        <v>161</v>
      </c>
      <c r="O166" t="s">
        <v>1128</v>
      </c>
      <c r="P166" t="s">
        <v>1129</v>
      </c>
      <c r="Q166" t="s">
        <v>1130</v>
      </c>
      <c r="R166" t="s">
        <v>1131</v>
      </c>
      <c r="S166" t="s">
        <v>1132</v>
      </c>
      <c r="T166" t="s">
        <v>3677</v>
      </c>
      <c r="U166" t="s">
        <v>3678</v>
      </c>
      <c r="V166" t="s">
        <v>664</v>
      </c>
      <c r="W166" t="s">
        <v>3657</v>
      </c>
      <c r="X166" t="s">
        <v>3679</v>
      </c>
      <c r="Y166" t="s">
        <v>3680</v>
      </c>
      <c r="Z166" t="s">
        <v>4194</v>
      </c>
      <c r="AA166" t="s">
        <v>3682</v>
      </c>
      <c r="AB166" t="s">
        <v>664</v>
      </c>
      <c r="AC166" t="s">
        <v>52</v>
      </c>
      <c r="AD166" t="s">
        <v>52</v>
      </c>
      <c r="AE166" t="s">
        <v>52</v>
      </c>
      <c r="AF166" t="s">
        <v>958</v>
      </c>
      <c r="AG166" t="s">
        <v>4195</v>
      </c>
      <c r="AH166" t="s">
        <v>958</v>
      </c>
      <c r="AI166" t="s">
        <v>4195</v>
      </c>
      <c r="AJ166" t="s">
        <v>958</v>
      </c>
      <c r="AK166" t="s">
        <v>4195</v>
      </c>
      <c r="AL166" t="s">
        <v>3662</v>
      </c>
    </row>
    <row r="167" spans="1:38" ht="11.25" customHeight="1">
      <c r="A167" t="s">
        <v>9</v>
      </c>
      <c r="B167" t="s">
        <v>35</v>
      </c>
      <c r="C167" t="s">
        <v>37</v>
      </c>
      <c r="D167" t="s">
        <v>9</v>
      </c>
      <c r="E167" t="s">
        <v>4196</v>
      </c>
      <c r="F167" t="s">
        <v>3672</v>
      </c>
      <c r="G167" t="s">
        <v>1128</v>
      </c>
      <c r="H167" t="s">
        <v>1129</v>
      </c>
      <c r="I167" t="s">
        <v>1130</v>
      </c>
      <c r="J167" t="s">
        <v>1131</v>
      </c>
      <c r="K167" t="s">
        <v>1132</v>
      </c>
      <c r="L167" t="s">
        <v>1088</v>
      </c>
      <c r="M167" t="s">
        <v>1053</v>
      </c>
      <c r="N167" t="s">
        <v>161</v>
      </c>
      <c r="O167" t="s">
        <v>1128</v>
      </c>
      <c r="P167" t="s">
        <v>1129</v>
      </c>
      <c r="Q167" t="s">
        <v>1130</v>
      </c>
      <c r="R167" t="s">
        <v>1131</v>
      </c>
      <c r="S167" t="s">
        <v>1132</v>
      </c>
      <c r="T167" t="s">
        <v>3677</v>
      </c>
      <c r="U167" t="s">
        <v>3678</v>
      </c>
      <c r="V167" t="s">
        <v>664</v>
      </c>
      <c r="W167" t="s">
        <v>3657</v>
      </c>
      <c r="X167" t="s">
        <v>3679</v>
      </c>
      <c r="Y167" t="s">
        <v>3680</v>
      </c>
      <c r="Z167" t="s">
        <v>4194</v>
      </c>
      <c r="AA167" t="s">
        <v>3682</v>
      </c>
      <c r="AB167" t="s">
        <v>664</v>
      </c>
      <c r="AC167" t="s">
        <v>6</v>
      </c>
      <c r="AD167" t="s">
        <v>52</v>
      </c>
      <c r="AE167" t="s">
        <v>6</v>
      </c>
      <c r="AF167" t="s">
        <v>9</v>
      </c>
      <c r="AG167" t="s">
        <v>9</v>
      </c>
      <c r="AH167" t="s">
        <v>958</v>
      </c>
      <c r="AI167" t="s">
        <v>4195</v>
      </c>
      <c r="AJ167" t="s">
        <v>958</v>
      </c>
      <c r="AK167" t="s">
        <v>4195</v>
      </c>
      <c r="AL167" t="s">
        <v>9</v>
      </c>
    </row>
    <row r="168" spans="1:38" ht="11.25" customHeight="1">
      <c r="A168" t="s">
        <v>9</v>
      </c>
      <c r="B168" t="s">
        <v>35</v>
      </c>
      <c r="C168" t="s">
        <v>37</v>
      </c>
      <c r="D168" t="s">
        <v>9</v>
      </c>
      <c r="E168" t="s">
        <v>1127</v>
      </c>
      <c r="F168" t="s">
        <v>1046</v>
      </c>
      <c r="G168" t="s">
        <v>1128</v>
      </c>
      <c r="H168" t="s">
        <v>1129</v>
      </c>
      <c r="I168" t="s">
        <v>1130</v>
      </c>
      <c r="J168" t="s">
        <v>1131</v>
      </c>
      <c r="K168" t="s">
        <v>1132</v>
      </c>
      <c r="L168" t="s">
        <v>1133</v>
      </c>
      <c r="M168" t="s">
        <v>1134</v>
      </c>
      <c r="N168" t="s">
        <v>161</v>
      </c>
      <c r="O168" t="s">
        <v>1128</v>
      </c>
      <c r="P168" t="s">
        <v>1129</v>
      </c>
      <c r="Q168" t="s">
        <v>1130</v>
      </c>
      <c r="R168" t="s">
        <v>1131</v>
      </c>
      <c r="S168" t="s">
        <v>1132</v>
      </c>
      <c r="T168" t="s">
        <v>3677</v>
      </c>
      <c r="U168" t="s">
        <v>3678</v>
      </c>
      <c r="V168" t="s">
        <v>664</v>
      </c>
      <c r="W168" t="s">
        <v>3657</v>
      </c>
      <c r="X168" t="s">
        <v>3679</v>
      </c>
      <c r="Y168" t="s">
        <v>3680</v>
      </c>
      <c r="Z168" t="s">
        <v>4197</v>
      </c>
      <c r="AA168" t="s">
        <v>3682</v>
      </c>
      <c r="AB168" t="s">
        <v>664</v>
      </c>
      <c r="AC168" t="s">
        <v>52</v>
      </c>
      <c r="AD168" t="s">
        <v>52</v>
      </c>
      <c r="AE168" t="s">
        <v>52</v>
      </c>
      <c r="AF168" t="s">
        <v>78</v>
      </c>
      <c r="AG168" t="s">
        <v>4198</v>
      </c>
      <c r="AH168" t="s">
        <v>78</v>
      </c>
      <c r="AI168" t="s">
        <v>4198</v>
      </c>
      <c r="AJ168" t="s">
        <v>78</v>
      </c>
      <c r="AK168" t="s">
        <v>4198</v>
      </c>
      <c r="AL168" t="s">
        <v>3662</v>
      </c>
    </row>
    <row r="169" spans="1:38" ht="11.25" customHeight="1">
      <c r="A169" t="s">
        <v>9</v>
      </c>
      <c r="B169" t="s">
        <v>35</v>
      </c>
      <c r="C169" t="s">
        <v>37</v>
      </c>
      <c r="D169" t="s">
        <v>9</v>
      </c>
      <c r="E169" t="s">
        <v>4199</v>
      </c>
      <c r="F169" t="s">
        <v>1046</v>
      </c>
      <c r="G169" t="s">
        <v>1128</v>
      </c>
      <c r="H169" t="s">
        <v>1129</v>
      </c>
      <c r="I169" t="s">
        <v>1130</v>
      </c>
      <c r="J169" t="s">
        <v>1131</v>
      </c>
      <c r="K169" t="s">
        <v>1132</v>
      </c>
      <c r="L169" t="s">
        <v>4200</v>
      </c>
      <c r="M169" t="s">
        <v>4201</v>
      </c>
      <c r="N169" t="s">
        <v>161</v>
      </c>
      <c r="O169" t="s">
        <v>1128</v>
      </c>
      <c r="P169" t="s">
        <v>1129</v>
      </c>
      <c r="Q169" t="s">
        <v>1130</v>
      </c>
      <c r="R169" t="s">
        <v>1131</v>
      </c>
      <c r="S169" t="s">
        <v>1132</v>
      </c>
      <c r="T169" t="s">
        <v>3677</v>
      </c>
      <c r="U169" t="s">
        <v>3678</v>
      </c>
      <c r="V169" t="s">
        <v>4202</v>
      </c>
      <c r="W169" t="s">
        <v>3657</v>
      </c>
      <c r="X169" t="s">
        <v>3679</v>
      </c>
      <c r="Y169" t="s">
        <v>3680</v>
      </c>
      <c r="Z169" t="s">
        <v>3820</v>
      </c>
      <c r="AA169" t="s">
        <v>4203</v>
      </c>
      <c r="AB169" t="s">
        <v>664</v>
      </c>
      <c r="AC169" t="s">
        <v>52</v>
      </c>
      <c r="AD169" t="s">
        <v>52</v>
      </c>
      <c r="AE169" t="s">
        <v>52</v>
      </c>
      <c r="AF169" t="s">
        <v>3980</v>
      </c>
      <c r="AG169" t="s">
        <v>3890</v>
      </c>
      <c r="AH169" t="s">
        <v>3980</v>
      </c>
      <c r="AI169" t="s">
        <v>3890</v>
      </c>
      <c r="AJ169" t="s">
        <v>3980</v>
      </c>
      <c r="AK169" t="s">
        <v>3890</v>
      </c>
      <c r="AL169" t="s">
        <v>3662</v>
      </c>
    </row>
    <row r="170" spans="1:38" ht="11.25" customHeight="1">
      <c r="A170" t="s">
        <v>9</v>
      </c>
      <c r="B170" t="s">
        <v>35</v>
      </c>
      <c r="C170" t="s">
        <v>37</v>
      </c>
      <c r="D170" t="s">
        <v>9</v>
      </c>
      <c r="E170" t="s">
        <v>4204</v>
      </c>
      <c r="F170" t="s">
        <v>1046</v>
      </c>
      <c r="G170" t="s">
        <v>1114</v>
      </c>
      <c r="H170" t="s">
        <v>3538</v>
      </c>
      <c r="I170" t="s">
        <v>3539</v>
      </c>
      <c r="J170" t="s">
        <v>4205</v>
      </c>
      <c r="K170" t="s">
        <v>4206</v>
      </c>
      <c r="L170" t="s">
        <v>4207</v>
      </c>
      <c r="M170" t="s">
        <v>4208</v>
      </c>
      <c r="N170" t="s">
        <v>161</v>
      </c>
      <c r="O170" t="s">
        <v>1114</v>
      </c>
      <c r="P170" t="s">
        <v>3538</v>
      </c>
      <c r="Q170" t="s">
        <v>3539</v>
      </c>
      <c r="R170" t="s">
        <v>4205</v>
      </c>
      <c r="S170" t="s">
        <v>4206</v>
      </c>
      <c r="T170" t="s">
        <v>3655</v>
      </c>
      <c r="U170" t="s">
        <v>3659</v>
      </c>
      <c r="V170" t="s">
        <v>4209</v>
      </c>
      <c r="W170" t="s">
        <v>3657</v>
      </c>
      <c r="X170" t="s">
        <v>3658</v>
      </c>
      <c r="Y170" t="s">
        <v>3659</v>
      </c>
      <c r="Z170" t="s">
        <v>1558</v>
      </c>
      <c r="AA170" t="s">
        <v>4210</v>
      </c>
      <c r="AB170" t="s">
        <v>4209</v>
      </c>
      <c r="AC170" t="s">
        <v>52</v>
      </c>
      <c r="AD170" t="s">
        <v>52</v>
      </c>
      <c r="AE170" t="s">
        <v>52</v>
      </c>
      <c r="AF170" t="s">
        <v>921</v>
      </c>
      <c r="AG170" t="s">
        <v>4211</v>
      </c>
      <c r="AH170" t="s">
        <v>921</v>
      </c>
      <c r="AI170" t="s">
        <v>4211</v>
      </c>
      <c r="AJ170" t="s">
        <v>921</v>
      </c>
      <c r="AK170" t="s">
        <v>4211</v>
      </c>
      <c r="AL170" t="s">
        <v>3662</v>
      </c>
    </row>
    <row r="171" spans="1:38" ht="11.25" customHeight="1">
      <c r="A171" t="s">
        <v>9</v>
      </c>
      <c r="B171" t="s">
        <v>35</v>
      </c>
      <c r="C171" t="s">
        <v>37</v>
      </c>
      <c r="D171" t="s">
        <v>9</v>
      </c>
      <c r="E171" t="s">
        <v>1045</v>
      </c>
      <c r="F171" t="s">
        <v>1046</v>
      </c>
      <c r="G171" t="s">
        <v>1114</v>
      </c>
      <c r="H171" t="s">
        <v>1115</v>
      </c>
      <c r="I171" t="s">
        <v>1116</v>
      </c>
      <c r="J171" t="s">
        <v>1117</v>
      </c>
      <c r="K171" t="s">
        <v>1118</v>
      </c>
      <c r="L171" t="s">
        <v>1119</v>
      </c>
      <c r="M171" t="s">
        <v>1053</v>
      </c>
      <c r="N171" t="s">
        <v>161</v>
      </c>
      <c r="O171" t="s">
        <v>1114</v>
      </c>
      <c r="P171" t="s">
        <v>1115</v>
      </c>
      <c r="Q171" t="s">
        <v>1116</v>
      </c>
      <c r="R171" t="s">
        <v>1117</v>
      </c>
      <c r="S171" t="s">
        <v>1118</v>
      </c>
      <c r="T171" t="s">
        <v>3677</v>
      </c>
      <c r="U171" t="s">
        <v>3678</v>
      </c>
      <c r="V171" t="s">
        <v>664</v>
      </c>
      <c r="W171" t="s">
        <v>3657</v>
      </c>
      <c r="X171" t="s">
        <v>3679</v>
      </c>
      <c r="Y171" t="s">
        <v>3680</v>
      </c>
      <c r="Z171" t="s">
        <v>4212</v>
      </c>
      <c r="AA171" t="s">
        <v>4213</v>
      </c>
      <c r="AB171" t="s">
        <v>664</v>
      </c>
      <c r="AC171" t="s">
        <v>52</v>
      </c>
      <c r="AD171" t="s">
        <v>52</v>
      </c>
      <c r="AE171" t="s">
        <v>52</v>
      </c>
      <c r="AF171" t="s">
        <v>4214</v>
      </c>
      <c r="AG171" t="s">
        <v>4215</v>
      </c>
      <c r="AH171" t="s">
        <v>4214</v>
      </c>
      <c r="AI171" t="s">
        <v>4215</v>
      </c>
      <c r="AJ171" t="s">
        <v>4214</v>
      </c>
      <c r="AK171" t="s">
        <v>4215</v>
      </c>
      <c r="AL171" t="s">
        <v>3662</v>
      </c>
    </row>
    <row r="172" spans="1:38" ht="11.25" customHeight="1">
      <c r="A172" t="s">
        <v>9</v>
      </c>
      <c r="B172" t="s">
        <v>35</v>
      </c>
      <c r="C172" t="s">
        <v>37</v>
      </c>
      <c r="D172" t="s">
        <v>9</v>
      </c>
      <c r="E172" t="s">
        <v>4216</v>
      </c>
      <c r="F172" t="s">
        <v>3672</v>
      </c>
      <c r="G172" t="s">
        <v>1114</v>
      </c>
      <c r="H172" t="s">
        <v>1115</v>
      </c>
      <c r="I172" t="s">
        <v>1116</v>
      </c>
      <c r="J172" t="s">
        <v>1117</v>
      </c>
      <c r="K172" t="s">
        <v>1118</v>
      </c>
      <c r="L172" t="s">
        <v>1119</v>
      </c>
      <c r="M172" t="s">
        <v>1053</v>
      </c>
      <c r="N172" t="s">
        <v>161</v>
      </c>
      <c r="O172" t="s">
        <v>1114</v>
      </c>
      <c r="P172" t="s">
        <v>1115</v>
      </c>
      <c r="Q172" t="s">
        <v>1116</v>
      </c>
      <c r="R172" t="s">
        <v>1117</v>
      </c>
      <c r="S172" t="s">
        <v>1118</v>
      </c>
      <c r="T172" t="s">
        <v>3677</v>
      </c>
      <c r="U172" t="s">
        <v>3678</v>
      </c>
      <c r="V172" t="s">
        <v>664</v>
      </c>
      <c r="W172" t="s">
        <v>3657</v>
      </c>
      <c r="X172" t="s">
        <v>3679</v>
      </c>
      <c r="Y172" t="s">
        <v>3680</v>
      </c>
      <c r="Z172" t="s">
        <v>4212</v>
      </c>
      <c r="AA172" t="s">
        <v>4213</v>
      </c>
      <c r="AB172" t="s">
        <v>664</v>
      </c>
      <c r="AC172" t="s">
        <v>6</v>
      </c>
      <c r="AD172" t="s">
        <v>52</v>
      </c>
      <c r="AE172" t="s">
        <v>6</v>
      </c>
      <c r="AF172" t="s">
        <v>9</v>
      </c>
      <c r="AG172" t="s">
        <v>9</v>
      </c>
      <c r="AH172" t="s">
        <v>4214</v>
      </c>
      <c r="AI172" t="s">
        <v>4215</v>
      </c>
      <c r="AJ172" t="s">
        <v>4214</v>
      </c>
      <c r="AK172" t="s">
        <v>4215</v>
      </c>
      <c r="AL172" t="s">
        <v>9</v>
      </c>
    </row>
    <row r="173" spans="1:38" ht="11.25" customHeight="1">
      <c r="A173" t="s">
        <v>9</v>
      </c>
      <c r="B173" t="s">
        <v>35</v>
      </c>
      <c r="C173" t="s">
        <v>37</v>
      </c>
      <c r="D173" t="s">
        <v>9</v>
      </c>
      <c r="E173" t="s">
        <v>1058</v>
      </c>
      <c r="F173" t="s">
        <v>1046</v>
      </c>
      <c r="G173" t="s">
        <v>1114</v>
      </c>
      <c r="H173" t="s">
        <v>1115</v>
      </c>
      <c r="I173" t="s">
        <v>1116</v>
      </c>
      <c r="J173" t="s">
        <v>1117</v>
      </c>
      <c r="K173" t="s">
        <v>1118</v>
      </c>
      <c r="L173" t="s">
        <v>1120</v>
      </c>
      <c r="M173" t="s">
        <v>1053</v>
      </c>
      <c r="N173" t="s">
        <v>161</v>
      </c>
      <c r="O173" t="s">
        <v>1114</v>
      </c>
      <c r="P173" t="s">
        <v>1115</v>
      </c>
      <c r="Q173" t="s">
        <v>1116</v>
      </c>
      <c r="R173" t="s">
        <v>1117</v>
      </c>
      <c r="S173" t="s">
        <v>1118</v>
      </c>
      <c r="T173" t="s">
        <v>3655</v>
      </c>
      <c r="U173" t="s">
        <v>4217</v>
      </c>
      <c r="V173" t="s">
        <v>664</v>
      </c>
      <c r="W173" t="s">
        <v>3657</v>
      </c>
      <c r="X173" t="s">
        <v>4218</v>
      </c>
      <c r="Y173" t="s">
        <v>4217</v>
      </c>
      <c r="Z173" t="s">
        <v>4219</v>
      </c>
      <c r="AA173" t="s">
        <v>3852</v>
      </c>
      <c r="AB173" t="s">
        <v>664</v>
      </c>
      <c r="AC173" t="s">
        <v>52</v>
      </c>
      <c r="AD173" t="s">
        <v>52</v>
      </c>
      <c r="AE173" t="s">
        <v>52</v>
      </c>
      <c r="AF173" t="s">
        <v>4220</v>
      </c>
      <c r="AG173" t="s">
        <v>1153</v>
      </c>
      <c r="AH173" t="s">
        <v>4220</v>
      </c>
      <c r="AI173" t="s">
        <v>1153</v>
      </c>
      <c r="AJ173" t="s">
        <v>4220</v>
      </c>
      <c r="AK173" t="s">
        <v>1153</v>
      </c>
      <c r="AL173" t="s">
        <v>3662</v>
      </c>
    </row>
    <row r="174" spans="1:38" ht="11.25" customHeight="1">
      <c r="A174" t="s">
        <v>9</v>
      </c>
      <c r="B174" t="s">
        <v>35</v>
      </c>
      <c r="C174" t="s">
        <v>37</v>
      </c>
      <c r="D174" t="s">
        <v>9</v>
      </c>
      <c r="E174" t="s">
        <v>1062</v>
      </c>
      <c r="F174" t="s">
        <v>1046</v>
      </c>
      <c r="G174" t="s">
        <v>1114</v>
      </c>
      <c r="H174" t="s">
        <v>1115</v>
      </c>
      <c r="I174" t="s">
        <v>1116</v>
      </c>
      <c r="J174" t="s">
        <v>1117</v>
      </c>
      <c r="K174" t="s">
        <v>1118</v>
      </c>
      <c r="L174" t="s">
        <v>1083</v>
      </c>
      <c r="M174" t="s">
        <v>1053</v>
      </c>
      <c r="N174" t="s">
        <v>161</v>
      </c>
      <c r="O174" t="s">
        <v>1114</v>
      </c>
      <c r="P174" t="s">
        <v>1115</v>
      </c>
      <c r="Q174" t="s">
        <v>1116</v>
      </c>
      <c r="R174" t="s">
        <v>1117</v>
      </c>
      <c r="S174" t="s">
        <v>1118</v>
      </c>
      <c r="T174" t="s">
        <v>3655</v>
      </c>
      <c r="U174" t="s">
        <v>4217</v>
      </c>
      <c r="V174" t="s">
        <v>664</v>
      </c>
      <c r="W174" t="s">
        <v>3657</v>
      </c>
      <c r="X174" t="s">
        <v>4218</v>
      </c>
      <c r="Y174" t="s">
        <v>4217</v>
      </c>
      <c r="Z174" t="s">
        <v>4219</v>
      </c>
      <c r="AA174" t="s">
        <v>3852</v>
      </c>
      <c r="AB174" t="s">
        <v>664</v>
      </c>
      <c r="AC174" t="s">
        <v>52</v>
      </c>
      <c r="AD174" t="s">
        <v>52</v>
      </c>
      <c r="AE174" t="s">
        <v>52</v>
      </c>
      <c r="AF174" t="s">
        <v>4221</v>
      </c>
      <c r="AG174" t="s">
        <v>4222</v>
      </c>
      <c r="AH174" t="s">
        <v>3995</v>
      </c>
      <c r="AI174" t="s">
        <v>4222</v>
      </c>
      <c r="AJ174" t="s">
        <v>3995</v>
      </c>
      <c r="AK174" t="s">
        <v>4222</v>
      </c>
      <c r="AL174" t="s">
        <v>3662</v>
      </c>
    </row>
    <row r="175" spans="1:38" ht="11.25" customHeight="1">
      <c r="A175" t="s">
        <v>9</v>
      </c>
      <c r="B175" t="s">
        <v>35</v>
      </c>
      <c r="C175" t="s">
        <v>37</v>
      </c>
      <c r="D175" t="s">
        <v>9</v>
      </c>
      <c r="E175" t="s">
        <v>1045</v>
      </c>
      <c r="F175" t="s">
        <v>1046</v>
      </c>
      <c r="G175" t="s">
        <v>1047</v>
      </c>
      <c r="H175" t="s">
        <v>1048</v>
      </c>
      <c r="I175" t="s">
        <v>1049</v>
      </c>
      <c r="J175" t="s">
        <v>1050</v>
      </c>
      <c r="K175" t="s">
        <v>1051</v>
      </c>
      <c r="L175" t="s">
        <v>1052</v>
      </c>
      <c r="M175" t="s">
        <v>1053</v>
      </c>
      <c r="N175" t="s">
        <v>161</v>
      </c>
      <c r="O175" t="s">
        <v>1047</v>
      </c>
      <c r="P175" t="s">
        <v>1048</v>
      </c>
      <c r="Q175" t="s">
        <v>1049</v>
      </c>
      <c r="R175" t="s">
        <v>1050</v>
      </c>
      <c r="S175" t="s">
        <v>1051</v>
      </c>
      <c r="T175" t="s">
        <v>3677</v>
      </c>
      <c r="U175" t="s">
        <v>3678</v>
      </c>
      <c r="V175" t="s">
        <v>664</v>
      </c>
      <c r="W175" t="s">
        <v>3657</v>
      </c>
      <c r="X175" t="s">
        <v>3679</v>
      </c>
      <c r="Y175" t="s">
        <v>3680</v>
      </c>
      <c r="Z175" t="s">
        <v>4223</v>
      </c>
      <c r="AA175" t="s">
        <v>4224</v>
      </c>
      <c r="AB175" t="s">
        <v>664</v>
      </c>
      <c r="AC175" t="s">
        <v>52</v>
      </c>
      <c r="AD175" t="s">
        <v>52</v>
      </c>
      <c r="AE175" t="s">
        <v>52</v>
      </c>
      <c r="AF175" t="s">
        <v>4225</v>
      </c>
      <c r="AG175" t="s">
        <v>4166</v>
      </c>
      <c r="AH175" t="s">
        <v>4225</v>
      </c>
      <c r="AI175" t="s">
        <v>4166</v>
      </c>
      <c r="AJ175" t="s">
        <v>4225</v>
      </c>
      <c r="AK175" t="s">
        <v>4166</v>
      </c>
      <c r="AL175" t="s">
        <v>3662</v>
      </c>
    </row>
    <row r="176" spans="1:38" ht="11.25" customHeight="1">
      <c r="A176" t="s">
        <v>9</v>
      </c>
      <c r="B176" t="s">
        <v>35</v>
      </c>
      <c r="C176" t="s">
        <v>37</v>
      </c>
      <c r="D176" t="s">
        <v>9</v>
      </c>
      <c r="E176" t="s">
        <v>1058</v>
      </c>
      <c r="F176" t="s">
        <v>1046</v>
      </c>
      <c r="G176" t="s">
        <v>1047</v>
      </c>
      <c r="H176" t="s">
        <v>1048</v>
      </c>
      <c r="I176" t="s">
        <v>1049</v>
      </c>
      <c r="J176" t="s">
        <v>1050</v>
      </c>
      <c r="K176" t="s">
        <v>1051</v>
      </c>
      <c r="L176" t="s">
        <v>1059</v>
      </c>
      <c r="M176" t="s">
        <v>1053</v>
      </c>
      <c r="N176" t="s">
        <v>161</v>
      </c>
      <c r="O176" t="s">
        <v>1047</v>
      </c>
      <c r="P176" t="s">
        <v>1048</v>
      </c>
      <c r="Q176" t="s">
        <v>1049</v>
      </c>
      <c r="R176" t="s">
        <v>1050</v>
      </c>
      <c r="S176" t="s">
        <v>1051</v>
      </c>
      <c r="T176" t="s">
        <v>3677</v>
      </c>
      <c r="U176" t="s">
        <v>3678</v>
      </c>
      <c r="V176" t="s">
        <v>664</v>
      </c>
      <c r="W176" t="s">
        <v>3657</v>
      </c>
      <c r="X176" t="s">
        <v>3679</v>
      </c>
      <c r="Y176" t="s">
        <v>3680</v>
      </c>
      <c r="Z176" t="s">
        <v>4226</v>
      </c>
      <c r="AA176" t="s">
        <v>4227</v>
      </c>
      <c r="AB176" t="s">
        <v>664</v>
      </c>
      <c r="AC176" t="s">
        <v>52</v>
      </c>
      <c r="AD176" t="s">
        <v>52</v>
      </c>
      <c r="AE176" t="s">
        <v>52</v>
      </c>
      <c r="AF176" t="s">
        <v>161</v>
      </c>
      <c r="AG176" t="s">
        <v>4228</v>
      </c>
      <c r="AH176" t="s">
        <v>161</v>
      </c>
      <c r="AI176" t="s">
        <v>4228</v>
      </c>
      <c r="AJ176" t="s">
        <v>161</v>
      </c>
      <c r="AK176" t="s">
        <v>4228</v>
      </c>
      <c r="AL176" t="s">
        <v>3774</v>
      </c>
    </row>
    <row r="177" spans="1:38" ht="11.25" customHeight="1">
      <c r="A177" t="s">
        <v>9</v>
      </c>
      <c r="B177" t="s">
        <v>35</v>
      </c>
      <c r="C177" t="s">
        <v>37</v>
      </c>
      <c r="D177" t="s">
        <v>9</v>
      </c>
      <c r="E177" t="s">
        <v>1058</v>
      </c>
      <c r="F177" t="s">
        <v>1046</v>
      </c>
      <c r="G177" t="s">
        <v>1047</v>
      </c>
      <c r="H177" t="s">
        <v>1048</v>
      </c>
      <c r="I177" t="s">
        <v>1049</v>
      </c>
      <c r="J177" t="s">
        <v>1050</v>
      </c>
      <c r="K177" t="s">
        <v>1051</v>
      </c>
      <c r="L177" t="s">
        <v>1059</v>
      </c>
      <c r="M177" t="s">
        <v>1053</v>
      </c>
      <c r="N177" t="s">
        <v>161</v>
      </c>
      <c r="O177" t="s">
        <v>1047</v>
      </c>
      <c r="P177" t="s">
        <v>1048</v>
      </c>
      <c r="Q177" t="s">
        <v>1049</v>
      </c>
      <c r="R177" t="s">
        <v>1050</v>
      </c>
      <c r="S177" t="s">
        <v>1051</v>
      </c>
      <c r="T177" t="s">
        <v>3677</v>
      </c>
      <c r="U177" t="s">
        <v>3678</v>
      </c>
      <c r="V177" t="s">
        <v>664</v>
      </c>
      <c r="W177" t="s">
        <v>3657</v>
      </c>
      <c r="X177" t="s">
        <v>3679</v>
      </c>
      <c r="Y177" t="s">
        <v>3680</v>
      </c>
      <c r="Z177" t="s">
        <v>4226</v>
      </c>
      <c r="AA177" t="s">
        <v>4227</v>
      </c>
      <c r="AB177" t="s">
        <v>664</v>
      </c>
      <c r="AC177" t="s">
        <v>52</v>
      </c>
      <c r="AD177" t="s">
        <v>52</v>
      </c>
      <c r="AE177" t="s">
        <v>52</v>
      </c>
      <c r="AF177" t="s">
        <v>4229</v>
      </c>
      <c r="AG177" t="s">
        <v>4230</v>
      </c>
      <c r="AH177" t="s">
        <v>4229</v>
      </c>
      <c r="AI177" t="s">
        <v>4230</v>
      </c>
      <c r="AJ177" t="s">
        <v>4229</v>
      </c>
      <c r="AK177" t="s">
        <v>4230</v>
      </c>
      <c r="AL177" t="s">
        <v>3662</v>
      </c>
    </row>
    <row r="178" spans="1:38" ht="11.25" customHeight="1">
      <c r="A178" t="s">
        <v>9</v>
      </c>
      <c r="B178" t="s">
        <v>35</v>
      </c>
      <c r="C178" t="s">
        <v>37</v>
      </c>
      <c r="D178" t="s">
        <v>9</v>
      </c>
      <c r="E178" t="s">
        <v>1062</v>
      </c>
      <c r="F178" t="s">
        <v>1063</v>
      </c>
      <c r="G178" t="s">
        <v>1047</v>
      </c>
      <c r="H178" t="s">
        <v>1048</v>
      </c>
      <c r="I178" t="s">
        <v>1049</v>
      </c>
      <c r="J178" t="s">
        <v>1050</v>
      </c>
      <c r="K178" t="s">
        <v>1051</v>
      </c>
      <c r="L178" t="s">
        <v>1064</v>
      </c>
      <c r="M178" t="s">
        <v>1053</v>
      </c>
      <c r="N178" t="s">
        <v>161</v>
      </c>
      <c r="O178" t="s">
        <v>1047</v>
      </c>
      <c r="P178" t="s">
        <v>1048</v>
      </c>
      <c r="Q178" t="s">
        <v>1049</v>
      </c>
      <c r="R178" t="s">
        <v>1050</v>
      </c>
      <c r="S178" t="s">
        <v>1051</v>
      </c>
      <c r="T178" t="s">
        <v>3677</v>
      </c>
      <c r="U178" t="s">
        <v>3678</v>
      </c>
      <c r="V178" t="s">
        <v>664</v>
      </c>
      <c r="W178" t="s">
        <v>3657</v>
      </c>
      <c r="X178" t="s">
        <v>3679</v>
      </c>
      <c r="Y178" t="s">
        <v>3680</v>
      </c>
      <c r="Z178" t="s">
        <v>4231</v>
      </c>
      <c r="AA178" t="s">
        <v>4227</v>
      </c>
      <c r="AB178" t="s">
        <v>664</v>
      </c>
      <c r="AC178" t="s">
        <v>52</v>
      </c>
      <c r="AD178" t="s">
        <v>6</v>
      </c>
      <c r="AE178" t="s">
        <v>6</v>
      </c>
      <c r="AF178" t="s">
        <v>1157</v>
      </c>
      <c r="AG178" t="s">
        <v>4232</v>
      </c>
      <c r="AH178" t="s">
        <v>9</v>
      </c>
      <c r="AI178" t="s">
        <v>9</v>
      </c>
      <c r="AJ178" t="s">
        <v>9</v>
      </c>
      <c r="AK178" t="s">
        <v>9</v>
      </c>
      <c r="AL178" t="s">
        <v>3774</v>
      </c>
    </row>
    <row r="179" spans="1:38" ht="11.25" customHeight="1">
      <c r="A179" t="s">
        <v>9</v>
      </c>
      <c r="B179" t="s">
        <v>35</v>
      </c>
      <c r="C179" t="s">
        <v>37</v>
      </c>
      <c r="D179" t="s">
        <v>9</v>
      </c>
      <c r="E179" t="s">
        <v>3761</v>
      </c>
      <c r="F179" t="s">
        <v>1046</v>
      </c>
      <c r="G179" t="s">
        <v>3573</v>
      </c>
      <c r="H179" t="s">
        <v>3578</v>
      </c>
      <c r="I179" t="s">
        <v>3579</v>
      </c>
      <c r="J179" t="s">
        <v>4233</v>
      </c>
      <c r="K179" t="s">
        <v>4234</v>
      </c>
      <c r="L179" t="s">
        <v>4235</v>
      </c>
      <c r="M179" t="s">
        <v>1053</v>
      </c>
      <c r="N179" t="s">
        <v>161</v>
      </c>
      <c r="O179" t="s">
        <v>3573</v>
      </c>
      <c r="P179" t="s">
        <v>3578</v>
      </c>
      <c r="Q179" t="s">
        <v>3579</v>
      </c>
      <c r="R179" t="s">
        <v>4233</v>
      </c>
      <c r="S179" t="s">
        <v>4234</v>
      </c>
      <c r="T179" t="s">
        <v>3655</v>
      </c>
      <c r="U179" t="s">
        <v>3656</v>
      </c>
      <c r="V179" t="s">
        <v>664</v>
      </c>
      <c r="W179" t="s">
        <v>3657</v>
      </c>
      <c r="X179" t="s">
        <v>3658</v>
      </c>
      <c r="Y179" t="s">
        <v>3659</v>
      </c>
      <c r="Z179" t="s">
        <v>3820</v>
      </c>
      <c r="AA179" t="s">
        <v>4236</v>
      </c>
      <c r="AB179" t="s">
        <v>664</v>
      </c>
      <c r="AC179" t="s">
        <v>52</v>
      </c>
      <c r="AD179" t="s">
        <v>52</v>
      </c>
      <c r="AE179" t="s">
        <v>52</v>
      </c>
      <c r="AF179" t="s">
        <v>115</v>
      </c>
      <c r="AG179" t="s">
        <v>4237</v>
      </c>
      <c r="AH179" t="s">
        <v>78</v>
      </c>
      <c r="AI179" t="s">
        <v>161</v>
      </c>
      <c r="AJ179" t="s">
        <v>78</v>
      </c>
      <c r="AK179" t="s">
        <v>161</v>
      </c>
      <c r="AL179" t="s">
        <v>3662</v>
      </c>
    </row>
    <row r="180" spans="1:38" ht="11.25" customHeight="1">
      <c r="A180" t="s">
        <v>9</v>
      </c>
      <c r="B180" t="s">
        <v>35</v>
      </c>
      <c r="C180" t="s">
        <v>37</v>
      </c>
      <c r="D180" t="s">
        <v>9</v>
      </c>
      <c r="E180" t="s">
        <v>3663</v>
      </c>
      <c r="F180" t="s">
        <v>1046</v>
      </c>
      <c r="G180" t="s">
        <v>3573</v>
      </c>
      <c r="H180" t="s">
        <v>3587</v>
      </c>
      <c r="I180" t="s">
        <v>3588</v>
      </c>
      <c r="J180" t="s">
        <v>4238</v>
      </c>
      <c r="K180" t="s">
        <v>4239</v>
      </c>
      <c r="L180" t="s">
        <v>4240</v>
      </c>
      <c r="M180" t="s">
        <v>1053</v>
      </c>
      <c r="N180" t="s">
        <v>161</v>
      </c>
      <c r="O180" t="s">
        <v>3573</v>
      </c>
      <c r="P180" t="s">
        <v>3587</v>
      </c>
      <c r="Q180" t="s">
        <v>3588</v>
      </c>
      <c r="R180" t="s">
        <v>4238</v>
      </c>
      <c r="S180" t="s">
        <v>4239</v>
      </c>
      <c r="T180" t="s">
        <v>3655</v>
      </c>
      <c r="U180" t="s">
        <v>3656</v>
      </c>
      <c r="V180" t="s">
        <v>664</v>
      </c>
      <c r="W180" t="s">
        <v>3657</v>
      </c>
      <c r="X180" t="s">
        <v>3658</v>
      </c>
      <c r="Y180" t="s">
        <v>3659</v>
      </c>
      <c r="Z180" t="s">
        <v>3820</v>
      </c>
      <c r="AA180" t="s">
        <v>4236</v>
      </c>
      <c r="AB180" t="s">
        <v>664</v>
      </c>
      <c r="AC180" t="s">
        <v>52</v>
      </c>
      <c r="AD180" t="s">
        <v>52</v>
      </c>
      <c r="AE180" t="s">
        <v>52</v>
      </c>
      <c r="AF180" t="s">
        <v>953</v>
      </c>
      <c r="AG180" t="s">
        <v>4241</v>
      </c>
      <c r="AH180" t="s">
        <v>953</v>
      </c>
      <c r="AI180" t="s">
        <v>4241</v>
      </c>
      <c r="AJ180" t="s">
        <v>953</v>
      </c>
      <c r="AK180" t="s">
        <v>4241</v>
      </c>
      <c r="AL180" t="s">
        <v>3662</v>
      </c>
    </row>
    <row r="181" spans="1:38" ht="11.25" customHeight="1">
      <c r="A181" t="s">
        <v>9</v>
      </c>
      <c r="B181" t="s">
        <v>35</v>
      </c>
      <c r="C181" t="s">
        <v>37</v>
      </c>
      <c r="D181" t="s">
        <v>9</v>
      </c>
      <c r="E181" t="s">
        <v>4242</v>
      </c>
      <c r="F181" t="s">
        <v>1046</v>
      </c>
      <c r="G181" t="s">
        <v>3573</v>
      </c>
      <c r="H181" t="s">
        <v>3591</v>
      </c>
      <c r="I181" t="s">
        <v>3592</v>
      </c>
      <c r="J181" t="s">
        <v>4243</v>
      </c>
      <c r="K181" t="s">
        <v>4244</v>
      </c>
      <c r="L181" t="s">
        <v>4245</v>
      </c>
      <c r="M181" t="s">
        <v>4246</v>
      </c>
      <c r="N181" t="s">
        <v>161</v>
      </c>
      <c r="O181" t="s">
        <v>3573</v>
      </c>
      <c r="P181" t="s">
        <v>3591</v>
      </c>
      <c r="Q181" t="s">
        <v>3592</v>
      </c>
      <c r="R181" t="s">
        <v>4243</v>
      </c>
      <c r="S181" t="s">
        <v>4244</v>
      </c>
      <c r="T181" t="s">
        <v>3655</v>
      </c>
      <c r="U181" t="s">
        <v>3656</v>
      </c>
      <c r="V181" t="s">
        <v>664</v>
      </c>
      <c r="W181" t="s">
        <v>3657</v>
      </c>
      <c r="X181" t="s">
        <v>3658</v>
      </c>
      <c r="Y181" t="s">
        <v>3659</v>
      </c>
      <c r="Z181" t="s">
        <v>4247</v>
      </c>
      <c r="AA181" t="s">
        <v>4248</v>
      </c>
      <c r="AB181" t="s">
        <v>664</v>
      </c>
      <c r="AC181" t="s">
        <v>52</v>
      </c>
      <c r="AD181" t="s">
        <v>52</v>
      </c>
      <c r="AE181" t="s">
        <v>52</v>
      </c>
      <c r="AF181" t="s">
        <v>4249</v>
      </c>
      <c r="AG181" t="s">
        <v>4250</v>
      </c>
      <c r="AH181" t="s">
        <v>4249</v>
      </c>
      <c r="AI181" t="s">
        <v>4250</v>
      </c>
      <c r="AJ181" t="s">
        <v>4249</v>
      </c>
      <c r="AK181" t="s">
        <v>4250</v>
      </c>
      <c r="AL181" t="s">
        <v>3662</v>
      </c>
    </row>
    <row r="182" spans="1:38" ht="11.25" customHeight="1">
      <c r="A182" t="s">
        <v>9</v>
      </c>
      <c r="B182" t="s">
        <v>35</v>
      </c>
      <c r="C182" t="s">
        <v>37</v>
      </c>
      <c r="D182" t="s">
        <v>9</v>
      </c>
      <c r="E182" t="s">
        <v>4251</v>
      </c>
      <c r="F182" t="s">
        <v>3672</v>
      </c>
      <c r="G182" t="s">
        <v>3573</v>
      </c>
      <c r="H182" t="s">
        <v>3591</v>
      </c>
      <c r="I182" t="s">
        <v>3592</v>
      </c>
      <c r="J182" t="s">
        <v>4243</v>
      </c>
      <c r="K182" t="s">
        <v>4244</v>
      </c>
      <c r="L182" t="s">
        <v>4245</v>
      </c>
      <c r="M182" t="s">
        <v>4246</v>
      </c>
      <c r="N182" t="s">
        <v>161</v>
      </c>
      <c r="O182" t="s">
        <v>3573</v>
      </c>
      <c r="P182" t="s">
        <v>3591</v>
      </c>
      <c r="Q182" t="s">
        <v>3592</v>
      </c>
      <c r="R182" t="s">
        <v>4243</v>
      </c>
      <c r="S182" t="s">
        <v>4244</v>
      </c>
      <c r="T182" t="s">
        <v>3655</v>
      </c>
      <c r="U182" t="s">
        <v>3656</v>
      </c>
      <c r="V182" t="s">
        <v>664</v>
      </c>
      <c r="W182" t="s">
        <v>3657</v>
      </c>
      <c r="X182" t="s">
        <v>3658</v>
      </c>
      <c r="Y182" t="s">
        <v>3659</v>
      </c>
      <c r="Z182" t="s">
        <v>4247</v>
      </c>
      <c r="AA182" t="s">
        <v>4248</v>
      </c>
      <c r="AB182" t="s">
        <v>664</v>
      </c>
      <c r="AC182" t="s">
        <v>6</v>
      </c>
      <c r="AD182" t="s">
        <v>52</v>
      </c>
      <c r="AE182" t="s">
        <v>6</v>
      </c>
      <c r="AF182" t="s">
        <v>9</v>
      </c>
      <c r="AG182" t="s">
        <v>9</v>
      </c>
      <c r="AH182" t="s">
        <v>4249</v>
      </c>
      <c r="AI182" t="s">
        <v>4252</v>
      </c>
      <c r="AJ182" t="s">
        <v>4249</v>
      </c>
      <c r="AK182" t="s">
        <v>4252</v>
      </c>
      <c r="AL182" t="s">
        <v>9</v>
      </c>
    </row>
    <row r="183" spans="1:38" ht="11.25" customHeight="1">
      <c r="A183" t="s">
        <v>9</v>
      </c>
      <c r="B183" t="s">
        <v>35</v>
      </c>
      <c r="C183" t="s">
        <v>37</v>
      </c>
      <c r="D183" t="s">
        <v>9</v>
      </c>
      <c r="E183" t="s">
        <v>4253</v>
      </c>
      <c r="F183" t="s">
        <v>3672</v>
      </c>
      <c r="G183" t="s">
        <v>3573</v>
      </c>
      <c r="H183" t="s">
        <v>3591</v>
      </c>
      <c r="I183" t="s">
        <v>3592</v>
      </c>
      <c r="J183" t="s">
        <v>4243</v>
      </c>
      <c r="K183" t="s">
        <v>4244</v>
      </c>
      <c r="L183" t="s">
        <v>4245</v>
      </c>
      <c r="M183" t="s">
        <v>4246</v>
      </c>
      <c r="N183" t="s">
        <v>161</v>
      </c>
      <c r="O183" t="s">
        <v>3573</v>
      </c>
      <c r="P183" t="s">
        <v>3591</v>
      </c>
      <c r="Q183" t="s">
        <v>3592</v>
      </c>
      <c r="R183" t="s">
        <v>4243</v>
      </c>
      <c r="S183" t="s">
        <v>4244</v>
      </c>
      <c r="T183" t="s">
        <v>3655</v>
      </c>
      <c r="U183" t="s">
        <v>3656</v>
      </c>
      <c r="V183" t="s">
        <v>664</v>
      </c>
      <c r="W183" t="s">
        <v>3657</v>
      </c>
      <c r="X183" t="s">
        <v>3658</v>
      </c>
      <c r="Y183" t="s">
        <v>3659</v>
      </c>
      <c r="Z183" t="s">
        <v>4247</v>
      </c>
      <c r="AA183" t="s">
        <v>4248</v>
      </c>
      <c r="AB183" t="s">
        <v>664</v>
      </c>
      <c r="AC183" t="s">
        <v>6</v>
      </c>
      <c r="AD183" t="s">
        <v>52</v>
      </c>
      <c r="AE183" t="s">
        <v>6</v>
      </c>
      <c r="AF183" t="s">
        <v>9</v>
      </c>
      <c r="AG183" t="s">
        <v>9</v>
      </c>
      <c r="AH183" t="s">
        <v>4249</v>
      </c>
      <c r="AI183" t="s">
        <v>4252</v>
      </c>
      <c r="AJ183" t="s">
        <v>4249</v>
      </c>
      <c r="AK183" t="s">
        <v>4252</v>
      </c>
      <c r="AL183" t="s">
        <v>9</v>
      </c>
    </row>
    <row r="184" spans="1:38" ht="11.25" customHeight="1">
      <c r="A184" t="s">
        <v>9</v>
      </c>
      <c r="B184" t="s">
        <v>35</v>
      </c>
      <c r="C184" t="s">
        <v>37</v>
      </c>
      <c r="D184" t="s">
        <v>9</v>
      </c>
      <c r="E184" t="s">
        <v>3831</v>
      </c>
      <c r="F184" t="s">
        <v>1046</v>
      </c>
      <c r="G184" t="s">
        <v>3573</v>
      </c>
      <c r="H184" t="s">
        <v>3591</v>
      </c>
      <c r="I184" t="s">
        <v>3592</v>
      </c>
      <c r="J184" t="s">
        <v>4243</v>
      </c>
      <c r="K184" t="s">
        <v>4244</v>
      </c>
      <c r="L184" t="s">
        <v>4254</v>
      </c>
      <c r="M184" t="s">
        <v>4255</v>
      </c>
      <c r="N184" t="s">
        <v>161</v>
      </c>
      <c r="O184" t="s">
        <v>3573</v>
      </c>
      <c r="P184" t="s">
        <v>3591</v>
      </c>
      <c r="Q184" t="s">
        <v>3592</v>
      </c>
      <c r="R184" t="s">
        <v>4243</v>
      </c>
      <c r="S184" t="s">
        <v>4244</v>
      </c>
      <c r="T184" t="s">
        <v>3677</v>
      </c>
      <c r="U184" t="s">
        <v>3678</v>
      </c>
      <c r="V184" t="s">
        <v>664</v>
      </c>
      <c r="W184" t="s">
        <v>3657</v>
      </c>
      <c r="X184" t="s">
        <v>3679</v>
      </c>
      <c r="Y184" t="s">
        <v>3680</v>
      </c>
      <c r="Z184" t="s">
        <v>4256</v>
      </c>
      <c r="AA184" t="s">
        <v>4257</v>
      </c>
      <c r="AB184" t="s">
        <v>664</v>
      </c>
      <c r="AC184" t="s">
        <v>52</v>
      </c>
      <c r="AD184" t="s">
        <v>52</v>
      </c>
      <c r="AE184" t="s">
        <v>52</v>
      </c>
      <c r="AF184" t="s">
        <v>89</v>
      </c>
      <c r="AG184" t="s">
        <v>4258</v>
      </c>
      <c r="AH184" t="s">
        <v>89</v>
      </c>
      <c r="AI184" t="s">
        <v>4258</v>
      </c>
      <c r="AJ184" t="s">
        <v>89</v>
      </c>
      <c r="AK184" t="s">
        <v>4258</v>
      </c>
      <c r="AL184" t="s">
        <v>3662</v>
      </c>
    </row>
    <row r="185" spans="1:38" ht="11.25" customHeight="1">
      <c r="A185" t="s">
        <v>9</v>
      </c>
      <c r="B185" t="s">
        <v>35</v>
      </c>
      <c r="C185" t="s">
        <v>37</v>
      </c>
      <c r="D185" t="s">
        <v>9</v>
      </c>
      <c r="E185" t="s">
        <v>1106</v>
      </c>
      <c r="F185" t="s">
        <v>1046</v>
      </c>
      <c r="G185" t="s">
        <v>3573</v>
      </c>
      <c r="H185" t="s">
        <v>3591</v>
      </c>
      <c r="I185" t="s">
        <v>3592</v>
      </c>
      <c r="J185" t="s">
        <v>4243</v>
      </c>
      <c r="K185" t="s">
        <v>4244</v>
      </c>
      <c r="L185" t="s">
        <v>4259</v>
      </c>
      <c r="M185" t="s">
        <v>4260</v>
      </c>
      <c r="N185" t="s">
        <v>161</v>
      </c>
      <c r="O185" t="s">
        <v>3573</v>
      </c>
      <c r="P185" t="s">
        <v>3591</v>
      </c>
      <c r="Q185" t="s">
        <v>3592</v>
      </c>
      <c r="R185" t="s">
        <v>4243</v>
      </c>
      <c r="S185" t="s">
        <v>4244</v>
      </c>
      <c r="T185" t="s">
        <v>3655</v>
      </c>
      <c r="U185" t="s">
        <v>3656</v>
      </c>
      <c r="V185" t="s">
        <v>664</v>
      </c>
      <c r="W185" t="s">
        <v>3657</v>
      </c>
      <c r="X185" t="s">
        <v>3658</v>
      </c>
      <c r="Y185" t="s">
        <v>3659</v>
      </c>
      <c r="Z185" t="s">
        <v>4247</v>
      </c>
      <c r="AA185" t="s">
        <v>4248</v>
      </c>
      <c r="AB185" t="s">
        <v>664</v>
      </c>
      <c r="AC185" t="s">
        <v>52</v>
      </c>
      <c r="AD185" t="s">
        <v>52</v>
      </c>
      <c r="AE185" t="s">
        <v>52</v>
      </c>
      <c r="AF185" t="s">
        <v>115</v>
      </c>
      <c r="AG185" t="s">
        <v>161</v>
      </c>
      <c r="AH185" t="s">
        <v>961</v>
      </c>
      <c r="AI185" t="s">
        <v>4261</v>
      </c>
      <c r="AJ185" t="s">
        <v>961</v>
      </c>
      <c r="AK185" t="s">
        <v>4261</v>
      </c>
      <c r="AL185" t="s">
        <v>3662</v>
      </c>
    </row>
    <row r="186" spans="1:38" ht="11.25" customHeight="1">
      <c r="A186" t="s">
        <v>9</v>
      </c>
      <c r="B186" t="s">
        <v>35</v>
      </c>
      <c r="C186" t="s">
        <v>37</v>
      </c>
      <c r="D186" t="s">
        <v>9</v>
      </c>
      <c r="E186" t="s">
        <v>4262</v>
      </c>
      <c r="F186" t="s">
        <v>3672</v>
      </c>
      <c r="G186" t="s">
        <v>3573</v>
      </c>
      <c r="H186" t="s">
        <v>3591</v>
      </c>
      <c r="I186" t="s">
        <v>3592</v>
      </c>
      <c r="J186" t="s">
        <v>4243</v>
      </c>
      <c r="K186" t="s">
        <v>4244</v>
      </c>
      <c r="L186" t="s">
        <v>4259</v>
      </c>
      <c r="M186" t="s">
        <v>4260</v>
      </c>
      <c r="N186" t="s">
        <v>161</v>
      </c>
      <c r="O186" t="s">
        <v>3573</v>
      </c>
      <c r="P186" t="s">
        <v>3591</v>
      </c>
      <c r="Q186" t="s">
        <v>3592</v>
      </c>
      <c r="R186" t="s">
        <v>4243</v>
      </c>
      <c r="S186" t="s">
        <v>4244</v>
      </c>
      <c r="T186" t="s">
        <v>3655</v>
      </c>
      <c r="U186" t="s">
        <v>3656</v>
      </c>
      <c r="V186" t="s">
        <v>664</v>
      </c>
      <c r="W186" t="s">
        <v>3657</v>
      </c>
      <c r="X186" t="s">
        <v>3658</v>
      </c>
      <c r="Y186" t="s">
        <v>3659</v>
      </c>
      <c r="Z186" t="s">
        <v>4247</v>
      </c>
      <c r="AA186" t="s">
        <v>4248</v>
      </c>
      <c r="AB186" t="s">
        <v>664</v>
      </c>
      <c r="AC186" t="s">
        <v>6</v>
      </c>
      <c r="AD186" t="s">
        <v>52</v>
      </c>
      <c r="AE186" t="s">
        <v>6</v>
      </c>
      <c r="AF186" t="s">
        <v>9</v>
      </c>
      <c r="AG186" t="s">
        <v>9</v>
      </c>
      <c r="AH186" t="s">
        <v>961</v>
      </c>
      <c r="AI186" t="s">
        <v>4261</v>
      </c>
      <c r="AJ186" t="s">
        <v>961</v>
      </c>
      <c r="AK186" t="s">
        <v>4261</v>
      </c>
      <c r="AL186" t="s">
        <v>9</v>
      </c>
    </row>
    <row r="187" spans="1:38" ht="11.25" customHeight="1">
      <c r="A187" t="s">
        <v>9</v>
      </c>
      <c r="B187" t="s">
        <v>35</v>
      </c>
      <c r="C187" t="s">
        <v>37</v>
      </c>
      <c r="D187" t="s">
        <v>9</v>
      </c>
      <c r="E187" t="s">
        <v>4263</v>
      </c>
      <c r="F187" t="s">
        <v>1046</v>
      </c>
      <c r="G187" t="s">
        <v>3573</v>
      </c>
      <c r="H187" t="s">
        <v>3591</v>
      </c>
      <c r="I187" t="s">
        <v>3592</v>
      </c>
      <c r="J187" t="s">
        <v>4243</v>
      </c>
      <c r="K187" t="s">
        <v>4244</v>
      </c>
      <c r="L187" t="s">
        <v>4264</v>
      </c>
      <c r="M187" t="s">
        <v>1097</v>
      </c>
      <c r="N187" t="s">
        <v>161</v>
      </c>
      <c r="O187" t="s">
        <v>3573</v>
      </c>
      <c r="P187" t="s">
        <v>3591</v>
      </c>
      <c r="Q187" t="s">
        <v>3592</v>
      </c>
      <c r="R187" t="s">
        <v>4243</v>
      </c>
      <c r="S187" t="s">
        <v>4244</v>
      </c>
      <c r="T187" t="s">
        <v>3655</v>
      </c>
      <c r="U187" t="s">
        <v>3656</v>
      </c>
      <c r="V187" t="s">
        <v>664</v>
      </c>
      <c r="W187" t="s">
        <v>3657</v>
      </c>
      <c r="X187" t="s">
        <v>3658</v>
      </c>
      <c r="Y187" t="s">
        <v>3659</v>
      </c>
      <c r="Z187" t="s">
        <v>4265</v>
      </c>
      <c r="AA187" t="s">
        <v>4266</v>
      </c>
      <c r="AB187" t="s">
        <v>664</v>
      </c>
      <c r="AC187" t="s">
        <v>52</v>
      </c>
      <c r="AD187" t="s">
        <v>52</v>
      </c>
      <c r="AE187" t="s">
        <v>52</v>
      </c>
      <c r="AF187" t="s">
        <v>4078</v>
      </c>
      <c r="AG187" t="s">
        <v>4267</v>
      </c>
      <c r="AH187" t="s">
        <v>4078</v>
      </c>
      <c r="AI187" t="s">
        <v>4267</v>
      </c>
      <c r="AJ187" t="s">
        <v>4078</v>
      </c>
      <c r="AK187" t="s">
        <v>4267</v>
      </c>
      <c r="AL187" t="s">
        <v>3662</v>
      </c>
    </row>
    <row r="188" spans="1:38" ht="11.25" customHeight="1">
      <c r="A188" t="s">
        <v>9</v>
      </c>
      <c r="B188" t="s">
        <v>35</v>
      </c>
      <c r="C188" t="s">
        <v>37</v>
      </c>
      <c r="D188" t="s">
        <v>9</v>
      </c>
      <c r="E188" t="s">
        <v>1089</v>
      </c>
      <c r="F188" t="s">
        <v>1046</v>
      </c>
      <c r="G188" t="s">
        <v>3573</v>
      </c>
      <c r="H188" t="s">
        <v>3591</v>
      </c>
      <c r="I188" t="s">
        <v>3592</v>
      </c>
      <c r="J188" t="s">
        <v>4243</v>
      </c>
      <c r="K188" t="s">
        <v>4244</v>
      </c>
      <c r="L188" t="s">
        <v>4268</v>
      </c>
      <c r="M188" t="s">
        <v>1053</v>
      </c>
      <c r="N188" t="s">
        <v>161</v>
      </c>
      <c r="O188" t="s">
        <v>3573</v>
      </c>
      <c r="P188" t="s">
        <v>3591</v>
      </c>
      <c r="Q188" t="s">
        <v>3592</v>
      </c>
      <c r="R188" t="s">
        <v>4243</v>
      </c>
      <c r="S188" t="s">
        <v>4244</v>
      </c>
      <c r="T188" t="s">
        <v>3655</v>
      </c>
      <c r="U188" t="s">
        <v>3656</v>
      </c>
      <c r="V188" t="s">
        <v>664</v>
      </c>
      <c r="W188" t="s">
        <v>3657</v>
      </c>
      <c r="X188" t="s">
        <v>3658</v>
      </c>
      <c r="Y188" t="s">
        <v>3659</v>
      </c>
      <c r="Z188" t="s">
        <v>4247</v>
      </c>
      <c r="AA188" t="s">
        <v>4248</v>
      </c>
      <c r="AB188" t="s">
        <v>664</v>
      </c>
      <c r="AC188" t="s">
        <v>52</v>
      </c>
      <c r="AD188" t="s">
        <v>52</v>
      </c>
      <c r="AE188" t="s">
        <v>52</v>
      </c>
      <c r="AF188" t="s">
        <v>4269</v>
      </c>
      <c r="AG188" t="s">
        <v>4270</v>
      </c>
      <c r="AH188" t="s">
        <v>4269</v>
      </c>
      <c r="AI188" t="s">
        <v>4270</v>
      </c>
      <c r="AJ188" t="s">
        <v>4269</v>
      </c>
      <c r="AK188" t="s">
        <v>4270</v>
      </c>
      <c r="AL188" t="s">
        <v>3662</v>
      </c>
    </row>
    <row r="189" spans="1:38" ht="11.25" customHeight="1">
      <c r="A189" t="s">
        <v>9</v>
      </c>
      <c r="B189" t="s">
        <v>35</v>
      </c>
      <c r="C189" t="s">
        <v>37</v>
      </c>
      <c r="D189" t="s">
        <v>9</v>
      </c>
      <c r="E189" t="s">
        <v>1058</v>
      </c>
      <c r="F189" t="s">
        <v>1046</v>
      </c>
      <c r="G189" t="s">
        <v>3573</v>
      </c>
      <c r="H189" t="s">
        <v>3591</v>
      </c>
      <c r="I189" t="s">
        <v>3592</v>
      </c>
      <c r="J189" t="s">
        <v>4243</v>
      </c>
      <c r="K189" t="s">
        <v>4244</v>
      </c>
      <c r="L189" t="s">
        <v>4149</v>
      </c>
      <c r="M189" t="s">
        <v>1053</v>
      </c>
      <c r="N189" t="s">
        <v>161</v>
      </c>
      <c r="O189" t="s">
        <v>3573</v>
      </c>
      <c r="P189" t="s">
        <v>3591</v>
      </c>
      <c r="Q189" t="s">
        <v>3592</v>
      </c>
      <c r="R189" t="s">
        <v>4243</v>
      </c>
      <c r="S189" t="s">
        <v>4244</v>
      </c>
      <c r="T189" t="s">
        <v>3677</v>
      </c>
      <c r="U189" t="s">
        <v>3678</v>
      </c>
      <c r="V189" t="s">
        <v>664</v>
      </c>
      <c r="W189" t="s">
        <v>3657</v>
      </c>
      <c r="X189" t="s">
        <v>3679</v>
      </c>
      <c r="Y189" t="s">
        <v>3680</v>
      </c>
      <c r="Z189" t="s">
        <v>4271</v>
      </c>
      <c r="AA189" t="s">
        <v>4272</v>
      </c>
      <c r="AB189" t="s">
        <v>664</v>
      </c>
      <c r="AC189" t="s">
        <v>52</v>
      </c>
      <c r="AD189" t="s">
        <v>52</v>
      </c>
      <c r="AE189" t="s">
        <v>52</v>
      </c>
      <c r="AF189" t="s">
        <v>133</v>
      </c>
      <c r="AG189" t="s">
        <v>4273</v>
      </c>
      <c r="AH189" t="s">
        <v>133</v>
      </c>
      <c r="AI189" t="s">
        <v>4273</v>
      </c>
      <c r="AJ189" t="s">
        <v>133</v>
      </c>
      <c r="AK189" t="s">
        <v>4273</v>
      </c>
      <c r="AL189" t="s">
        <v>3662</v>
      </c>
    </row>
    <row r="190" spans="1:38" ht="11.25" customHeight="1">
      <c r="A190" t="s">
        <v>9</v>
      </c>
      <c r="B190" t="s">
        <v>35</v>
      </c>
      <c r="C190" t="s">
        <v>37</v>
      </c>
      <c r="D190" t="s">
        <v>9</v>
      </c>
      <c r="E190" t="s">
        <v>3691</v>
      </c>
      <c r="F190" t="s">
        <v>3672</v>
      </c>
      <c r="G190" t="s">
        <v>3573</v>
      </c>
      <c r="H190" t="s">
        <v>3591</v>
      </c>
      <c r="I190" t="s">
        <v>3592</v>
      </c>
      <c r="J190" t="s">
        <v>4243</v>
      </c>
      <c r="K190" t="s">
        <v>4244</v>
      </c>
      <c r="L190" t="s">
        <v>4149</v>
      </c>
      <c r="M190" t="s">
        <v>1053</v>
      </c>
      <c r="N190" t="s">
        <v>161</v>
      </c>
      <c r="O190" t="s">
        <v>3573</v>
      </c>
      <c r="P190" t="s">
        <v>3591</v>
      </c>
      <c r="Q190" t="s">
        <v>3592</v>
      </c>
      <c r="R190" t="s">
        <v>4243</v>
      </c>
      <c r="S190" t="s">
        <v>4244</v>
      </c>
      <c r="T190" t="s">
        <v>3677</v>
      </c>
      <c r="U190" t="s">
        <v>3678</v>
      </c>
      <c r="V190" t="s">
        <v>664</v>
      </c>
      <c r="W190" t="s">
        <v>3657</v>
      </c>
      <c r="X190" t="s">
        <v>3679</v>
      </c>
      <c r="Y190" t="s">
        <v>3680</v>
      </c>
      <c r="Z190" t="s">
        <v>4271</v>
      </c>
      <c r="AA190" t="s">
        <v>4272</v>
      </c>
      <c r="AB190" t="s">
        <v>664</v>
      </c>
      <c r="AC190" t="s">
        <v>6</v>
      </c>
      <c r="AD190" t="s">
        <v>52</v>
      </c>
      <c r="AE190" t="s">
        <v>6</v>
      </c>
      <c r="AF190" t="s">
        <v>9</v>
      </c>
      <c r="AG190" t="s">
        <v>9</v>
      </c>
      <c r="AH190" t="s">
        <v>133</v>
      </c>
      <c r="AI190" t="s">
        <v>4273</v>
      </c>
      <c r="AJ190" t="s">
        <v>133</v>
      </c>
      <c r="AK190" t="s">
        <v>4273</v>
      </c>
      <c r="AL190" t="s">
        <v>9</v>
      </c>
    </row>
    <row r="191" spans="1:38" ht="11.25" customHeight="1">
      <c r="A191" t="s">
        <v>9</v>
      </c>
      <c r="B191" t="s">
        <v>35</v>
      </c>
      <c r="C191" t="s">
        <v>37</v>
      </c>
      <c r="D191" t="s">
        <v>9</v>
      </c>
      <c r="E191" t="s">
        <v>1062</v>
      </c>
      <c r="F191" t="s">
        <v>1046</v>
      </c>
      <c r="G191" t="s">
        <v>3573</v>
      </c>
      <c r="H191" t="s">
        <v>3591</v>
      </c>
      <c r="I191" t="s">
        <v>3592</v>
      </c>
      <c r="J191" t="s">
        <v>4243</v>
      </c>
      <c r="K191" t="s">
        <v>4244</v>
      </c>
      <c r="L191" t="s">
        <v>4274</v>
      </c>
      <c r="M191" t="s">
        <v>4275</v>
      </c>
      <c r="N191" t="s">
        <v>161</v>
      </c>
      <c r="O191" t="s">
        <v>3573</v>
      </c>
      <c r="P191" t="s">
        <v>3591</v>
      </c>
      <c r="Q191" t="s">
        <v>3592</v>
      </c>
      <c r="R191" t="s">
        <v>4243</v>
      </c>
      <c r="S191" t="s">
        <v>4244</v>
      </c>
      <c r="T191" t="s">
        <v>3677</v>
      </c>
      <c r="U191" t="s">
        <v>3678</v>
      </c>
      <c r="V191" t="s">
        <v>664</v>
      </c>
      <c r="W191" t="s">
        <v>3657</v>
      </c>
      <c r="X191" t="s">
        <v>3679</v>
      </c>
      <c r="Y191" t="s">
        <v>3680</v>
      </c>
      <c r="Z191" t="s">
        <v>4276</v>
      </c>
      <c r="AA191" t="s">
        <v>4257</v>
      </c>
      <c r="AB191" t="s">
        <v>664</v>
      </c>
      <c r="AC191" t="s">
        <v>52</v>
      </c>
      <c r="AD191" t="s">
        <v>52</v>
      </c>
      <c r="AE191" t="s">
        <v>52</v>
      </c>
      <c r="AF191" t="s">
        <v>4277</v>
      </c>
      <c r="AG191" t="s">
        <v>4278</v>
      </c>
      <c r="AH191" t="s">
        <v>4277</v>
      </c>
      <c r="AI191" t="s">
        <v>4278</v>
      </c>
      <c r="AJ191" t="s">
        <v>4277</v>
      </c>
      <c r="AK191" t="s">
        <v>4278</v>
      </c>
      <c r="AL191" t="s">
        <v>3662</v>
      </c>
    </row>
    <row r="192" spans="1:38" ht="11.25" customHeight="1">
      <c r="A192" t="s">
        <v>9</v>
      </c>
      <c r="B192" t="s">
        <v>35</v>
      </c>
      <c r="C192" t="s">
        <v>37</v>
      </c>
      <c r="D192" t="s">
        <v>9</v>
      </c>
      <c r="E192" t="s">
        <v>3731</v>
      </c>
      <c r="F192" t="s">
        <v>1046</v>
      </c>
      <c r="G192" t="s">
        <v>3573</v>
      </c>
      <c r="H192" t="s">
        <v>3591</v>
      </c>
      <c r="I192" t="s">
        <v>3592</v>
      </c>
      <c r="J192" t="s">
        <v>4243</v>
      </c>
      <c r="K192" t="s">
        <v>4244</v>
      </c>
      <c r="L192" t="s">
        <v>4279</v>
      </c>
      <c r="M192" t="s">
        <v>4280</v>
      </c>
      <c r="N192" t="s">
        <v>161</v>
      </c>
      <c r="O192" t="s">
        <v>3573</v>
      </c>
      <c r="P192" t="s">
        <v>3591</v>
      </c>
      <c r="Q192" t="s">
        <v>3592</v>
      </c>
      <c r="R192" t="s">
        <v>4243</v>
      </c>
      <c r="S192" t="s">
        <v>4244</v>
      </c>
      <c r="T192" t="s">
        <v>3677</v>
      </c>
      <c r="U192" t="s">
        <v>3678</v>
      </c>
      <c r="V192" t="s">
        <v>664</v>
      </c>
      <c r="W192" t="s">
        <v>3657</v>
      </c>
      <c r="X192" t="s">
        <v>3679</v>
      </c>
      <c r="Y192" t="s">
        <v>3680</v>
      </c>
      <c r="Z192" t="s">
        <v>4281</v>
      </c>
      <c r="AA192" t="s">
        <v>4257</v>
      </c>
      <c r="AB192" t="s">
        <v>664</v>
      </c>
      <c r="AC192" t="s">
        <v>52</v>
      </c>
      <c r="AD192" t="s">
        <v>52</v>
      </c>
      <c r="AE192" t="s">
        <v>52</v>
      </c>
      <c r="AF192" t="s">
        <v>89</v>
      </c>
      <c r="AG192" t="s">
        <v>3705</v>
      </c>
      <c r="AH192" t="s">
        <v>89</v>
      </c>
      <c r="AI192" t="s">
        <v>3705</v>
      </c>
      <c r="AJ192" t="s">
        <v>89</v>
      </c>
      <c r="AK192" t="s">
        <v>3705</v>
      </c>
      <c r="AL192" t="s">
        <v>3662</v>
      </c>
    </row>
    <row r="193" spans="1:38" ht="11.25" customHeight="1">
      <c r="A193" t="s">
        <v>9</v>
      </c>
      <c r="B193" t="s">
        <v>35</v>
      </c>
      <c r="C193" t="s">
        <v>37</v>
      </c>
      <c r="D193" t="s">
        <v>9</v>
      </c>
      <c r="E193" t="s">
        <v>4282</v>
      </c>
      <c r="F193" t="s">
        <v>1063</v>
      </c>
      <c r="G193" t="s">
        <v>3573</v>
      </c>
      <c r="H193" t="s">
        <v>3591</v>
      </c>
      <c r="I193" t="s">
        <v>3592</v>
      </c>
      <c r="J193" t="s">
        <v>4243</v>
      </c>
      <c r="K193" t="s">
        <v>4244</v>
      </c>
      <c r="L193" t="s">
        <v>4283</v>
      </c>
      <c r="M193" t="s">
        <v>1053</v>
      </c>
      <c r="N193" t="s">
        <v>161</v>
      </c>
      <c r="O193" t="s">
        <v>3573</v>
      </c>
      <c r="P193" t="s">
        <v>3591</v>
      </c>
      <c r="Q193" t="s">
        <v>3592</v>
      </c>
      <c r="R193" t="s">
        <v>4243</v>
      </c>
      <c r="S193" t="s">
        <v>4244</v>
      </c>
      <c r="T193" t="s">
        <v>3677</v>
      </c>
      <c r="U193" t="s">
        <v>3678</v>
      </c>
      <c r="V193" t="s">
        <v>664</v>
      </c>
      <c r="W193" t="s">
        <v>3657</v>
      </c>
      <c r="X193" t="s">
        <v>4284</v>
      </c>
      <c r="Y193" t="s">
        <v>3680</v>
      </c>
      <c r="Z193" t="s">
        <v>664</v>
      </c>
      <c r="AA193" t="s">
        <v>4285</v>
      </c>
      <c r="AB193" t="s">
        <v>664</v>
      </c>
      <c r="AC193" t="s">
        <v>52</v>
      </c>
      <c r="AD193" t="s">
        <v>6</v>
      </c>
      <c r="AE193" t="s">
        <v>6</v>
      </c>
      <c r="AF193" t="s">
        <v>161</v>
      </c>
      <c r="AG193" t="s">
        <v>4286</v>
      </c>
      <c r="AH193" t="s">
        <v>9</v>
      </c>
      <c r="AI193" t="s">
        <v>9</v>
      </c>
      <c r="AJ193" t="s">
        <v>9</v>
      </c>
      <c r="AK193" t="s">
        <v>9</v>
      </c>
      <c r="AL193" t="s">
        <v>3774</v>
      </c>
    </row>
    <row r="194" spans="1:38" ht="11.25" customHeight="1">
      <c r="A194" t="s">
        <v>9</v>
      </c>
      <c r="B194" t="s">
        <v>35</v>
      </c>
      <c r="C194" t="s">
        <v>37</v>
      </c>
      <c r="D194" t="s">
        <v>9</v>
      </c>
      <c r="E194" t="s">
        <v>1100</v>
      </c>
      <c r="F194" t="s">
        <v>1046</v>
      </c>
      <c r="G194" t="s">
        <v>3573</v>
      </c>
      <c r="H194" t="s">
        <v>3591</v>
      </c>
      <c r="I194" t="s">
        <v>3592</v>
      </c>
      <c r="J194" t="s">
        <v>4243</v>
      </c>
      <c r="K194" t="s">
        <v>4244</v>
      </c>
      <c r="L194" t="s">
        <v>4287</v>
      </c>
      <c r="M194" t="s">
        <v>1053</v>
      </c>
      <c r="N194" t="s">
        <v>161</v>
      </c>
      <c r="O194" t="s">
        <v>3573</v>
      </c>
      <c r="P194" t="s">
        <v>3591</v>
      </c>
      <c r="Q194" t="s">
        <v>3592</v>
      </c>
      <c r="R194" t="s">
        <v>4243</v>
      </c>
      <c r="S194" t="s">
        <v>4244</v>
      </c>
      <c r="T194" t="s">
        <v>3677</v>
      </c>
      <c r="U194" t="s">
        <v>3678</v>
      </c>
      <c r="V194" t="s">
        <v>664</v>
      </c>
      <c r="W194" t="s">
        <v>3657</v>
      </c>
      <c r="X194" t="s">
        <v>3679</v>
      </c>
      <c r="Y194" t="s">
        <v>3680</v>
      </c>
      <c r="Z194" t="s">
        <v>4288</v>
      </c>
      <c r="AA194" t="s">
        <v>4289</v>
      </c>
      <c r="AB194" t="s">
        <v>664</v>
      </c>
      <c r="AC194" t="s">
        <v>52</v>
      </c>
      <c r="AD194" t="s">
        <v>52</v>
      </c>
      <c r="AE194" t="s">
        <v>52</v>
      </c>
      <c r="AF194" t="s">
        <v>933</v>
      </c>
      <c r="AG194" t="s">
        <v>4290</v>
      </c>
      <c r="AH194" t="s">
        <v>933</v>
      </c>
      <c r="AI194" t="s">
        <v>4291</v>
      </c>
      <c r="AJ194" t="s">
        <v>933</v>
      </c>
      <c r="AK194" t="s">
        <v>4291</v>
      </c>
      <c r="AL194" t="s">
        <v>3662</v>
      </c>
    </row>
    <row r="195" spans="1:38" ht="11.25" customHeight="1">
      <c r="A195" t="s">
        <v>9</v>
      </c>
      <c r="B195" t="s">
        <v>35</v>
      </c>
      <c r="C195" t="s">
        <v>37</v>
      </c>
      <c r="D195" t="s">
        <v>9</v>
      </c>
      <c r="E195" t="s">
        <v>1082</v>
      </c>
      <c r="F195" t="s">
        <v>1046</v>
      </c>
      <c r="G195" t="s">
        <v>3573</v>
      </c>
      <c r="H195" t="s">
        <v>3591</v>
      </c>
      <c r="I195" t="s">
        <v>3592</v>
      </c>
      <c r="J195" t="s">
        <v>4243</v>
      </c>
      <c r="K195" t="s">
        <v>4244</v>
      </c>
      <c r="L195" t="s">
        <v>4292</v>
      </c>
      <c r="M195" t="s">
        <v>1053</v>
      </c>
      <c r="N195" t="s">
        <v>161</v>
      </c>
      <c r="O195" t="s">
        <v>3573</v>
      </c>
      <c r="P195" t="s">
        <v>3591</v>
      </c>
      <c r="Q195" t="s">
        <v>3592</v>
      </c>
      <c r="R195" t="s">
        <v>4243</v>
      </c>
      <c r="S195" t="s">
        <v>4244</v>
      </c>
      <c r="T195" t="s">
        <v>3655</v>
      </c>
      <c r="U195" t="s">
        <v>3659</v>
      </c>
      <c r="V195" t="s">
        <v>664</v>
      </c>
      <c r="W195" t="s">
        <v>3657</v>
      </c>
      <c r="X195" t="s">
        <v>3658</v>
      </c>
      <c r="Y195" t="s">
        <v>3659</v>
      </c>
      <c r="Z195" t="s">
        <v>4293</v>
      </c>
      <c r="AA195" t="s">
        <v>4294</v>
      </c>
      <c r="AB195" t="s">
        <v>664</v>
      </c>
      <c r="AC195" t="s">
        <v>52</v>
      </c>
      <c r="AD195" t="s">
        <v>52</v>
      </c>
      <c r="AE195" t="s">
        <v>52</v>
      </c>
      <c r="AF195" t="s">
        <v>4295</v>
      </c>
      <c r="AG195" t="s">
        <v>4296</v>
      </c>
      <c r="AH195" t="s">
        <v>4295</v>
      </c>
      <c r="AI195" t="s">
        <v>4296</v>
      </c>
      <c r="AJ195" t="s">
        <v>4295</v>
      </c>
      <c r="AK195" t="s">
        <v>4296</v>
      </c>
      <c r="AL195" t="s">
        <v>3662</v>
      </c>
    </row>
    <row r="196" spans="1:38" ht="11.25" customHeight="1">
      <c r="A196" t="s">
        <v>9</v>
      </c>
      <c r="B196" t="s">
        <v>35</v>
      </c>
      <c r="C196" t="s">
        <v>37</v>
      </c>
      <c r="D196" t="s">
        <v>9</v>
      </c>
      <c r="E196" t="s">
        <v>1121</v>
      </c>
      <c r="F196" t="s">
        <v>1046</v>
      </c>
      <c r="G196" t="s">
        <v>3573</v>
      </c>
      <c r="H196" t="s">
        <v>3591</v>
      </c>
      <c r="I196" t="s">
        <v>3592</v>
      </c>
      <c r="J196" t="s">
        <v>4243</v>
      </c>
      <c r="K196" t="s">
        <v>4244</v>
      </c>
      <c r="L196" t="s">
        <v>4297</v>
      </c>
      <c r="M196" t="s">
        <v>4298</v>
      </c>
      <c r="N196" t="s">
        <v>161</v>
      </c>
      <c r="O196" t="s">
        <v>3573</v>
      </c>
      <c r="P196" t="s">
        <v>3591</v>
      </c>
      <c r="Q196" t="s">
        <v>3592</v>
      </c>
      <c r="R196" t="s">
        <v>4243</v>
      </c>
      <c r="S196" t="s">
        <v>4244</v>
      </c>
      <c r="T196" t="s">
        <v>3677</v>
      </c>
      <c r="U196" t="s">
        <v>3678</v>
      </c>
      <c r="V196" t="s">
        <v>664</v>
      </c>
      <c r="W196" t="s">
        <v>3657</v>
      </c>
      <c r="X196" t="s">
        <v>3679</v>
      </c>
      <c r="Y196" t="s">
        <v>3680</v>
      </c>
      <c r="Z196" t="s">
        <v>4299</v>
      </c>
      <c r="AA196" t="s">
        <v>4257</v>
      </c>
      <c r="AB196" t="s">
        <v>664</v>
      </c>
      <c r="AC196" t="s">
        <v>52</v>
      </c>
      <c r="AD196" t="s">
        <v>52</v>
      </c>
      <c r="AE196" t="s">
        <v>52</v>
      </c>
      <c r="AF196" t="s">
        <v>394</v>
      </c>
      <c r="AG196" t="s">
        <v>3916</v>
      </c>
      <c r="AH196" t="s">
        <v>394</v>
      </c>
      <c r="AI196" t="s">
        <v>3916</v>
      </c>
      <c r="AJ196" t="s">
        <v>394</v>
      </c>
      <c r="AK196" t="s">
        <v>3916</v>
      </c>
      <c r="AL196" t="s">
        <v>3662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4"/>
  <sheetViews>
    <sheetView showGridLines="0" workbookViewId="0"/>
  </sheetViews>
  <sheetFormatPr defaultColWidth="9.140625" defaultRowHeight="11.25" customHeight="1"/>
  <cols>
    <col min="1" max="2" width="9.140625" style="117"/>
  </cols>
  <sheetData>
    <row r="1" spans="1:2" ht="11.25" customHeight="1">
      <c r="A1" s="117" t="s">
        <v>221</v>
      </c>
      <c r="B1" s="117" t="s">
        <v>4300</v>
      </c>
    </row>
    <row r="2" spans="1:2" ht="11.25" customHeight="1">
      <c r="A2" s="117" t="s">
        <v>85</v>
      </c>
      <c r="B2" s="117" t="s">
        <v>4301</v>
      </c>
    </row>
    <row r="3" spans="1:2" ht="11.25" customHeight="1">
      <c r="A3" s="117" t="s">
        <v>91</v>
      </c>
      <c r="B3" s="117" t="s">
        <v>4302</v>
      </c>
    </row>
    <row r="4" spans="1:2" ht="11.25" customHeight="1">
      <c r="A4" s="117" t="s">
        <v>101</v>
      </c>
      <c r="B4" s="117" t="s">
        <v>4303</v>
      </c>
    </row>
    <row r="5" spans="1:2" ht="11.25" customHeight="1">
      <c r="A5" s="117" t="s">
        <v>102</v>
      </c>
      <c r="B5" s="117" t="s">
        <v>4304</v>
      </c>
    </row>
    <row r="6" spans="1:2" ht="11.25" customHeight="1">
      <c r="A6" s="117" t="s">
        <v>116</v>
      </c>
      <c r="B6" s="117" t="s">
        <v>4305</v>
      </c>
    </row>
    <row r="7" spans="1:2" ht="11.25" customHeight="1">
      <c r="A7" s="117" t="s">
        <v>117</v>
      </c>
      <c r="B7" s="117" t="s">
        <v>4306</v>
      </c>
    </row>
    <row r="8" spans="1:2" ht="11.25" customHeight="1">
      <c r="A8" s="117" t="s">
        <v>118</v>
      </c>
      <c r="B8" s="117" t="s">
        <v>4307</v>
      </c>
    </row>
    <row r="9" spans="1:2" ht="11.25" customHeight="1">
      <c r="A9" s="117" t="s">
        <v>132</v>
      </c>
      <c r="B9" s="117" t="s">
        <v>4308</v>
      </c>
    </row>
    <row r="10" spans="1:2" ht="11.25" customHeight="1">
      <c r="A10" s="117" t="s">
        <v>134</v>
      </c>
      <c r="B10" s="117" t="s">
        <v>4309</v>
      </c>
    </row>
    <row r="11" spans="1:2" ht="11.25" customHeight="1">
      <c r="A11" s="117" t="s">
        <v>139</v>
      </c>
      <c r="B11" s="117" t="s">
        <v>4310</v>
      </c>
    </row>
    <row r="12" spans="1:2" ht="11.25" customHeight="1">
      <c r="A12" s="117" t="s">
        <v>141</v>
      </c>
      <c r="B12" s="117" t="s">
        <v>4311</v>
      </c>
    </row>
    <row r="13" spans="1:2" ht="11.25" customHeight="1">
      <c r="A13" s="117" t="s">
        <v>146</v>
      </c>
      <c r="B13" s="117" t="s">
        <v>4312</v>
      </c>
    </row>
    <row r="14" spans="1:2" ht="11.25" customHeight="1">
      <c r="A14" s="117" t="s">
        <v>151</v>
      </c>
      <c r="B14" s="117" t="s">
        <v>4313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478"/>
    <col min="2" max="2" width="65.28515625" style="1478" customWidth="1"/>
  </cols>
  <sheetData>
    <row r="1" spans="1:2" ht="11.25" customHeight="1">
      <c r="A1" s="734" t="s">
        <v>4314</v>
      </c>
      <c r="B1" s="734" t="s">
        <v>4315</v>
      </c>
    </row>
    <row r="2" spans="1:2" ht="11.25" customHeight="1">
      <c r="A2" s="734">
        <v>4213775</v>
      </c>
      <c r="B2" s="734" t="s">
        <v>1300</v>
      </c>
    </row>
    <row r="3" spans="1:2" ht="11.25" customHeight="1">
      <c r="A3" s="734">
        <v>4213784</v>
      </c>
      <c r="B3" s="734" t="s">
        <v>1332</v>
      </c>
    </row>
    <row r="4" spans="1:2" ht="11.25" customHeight="1">
      <c r="A4" s="734">
        <v>4213781</v>
      </c>
      <c r="B4" s="734" t="s">
        <v>1325</v>
      </c>
    </row>
    <row r="5" spans="1:2" ht="11.25" customHeight="1">
      <c r="A5" s="734">
        <v>4213776</v>
      </c>
      <c r="B5" s="734" t="s">
        <v>252</v>
      </c>
    </row>
    <row r="6" spans="1:2" ht="11.25" customHeight="1">
      <c r="A6" s="734">
        <v>4213777</v>
      </c>
      <c r="B6" s="734" t="s">
        <v>258</v>
      </c>
    </row>
    <row r="7" spans="1:2" ht="11.25" customHeight="1">
      <c r="A7" s="734">
        <v>4213778</v>
      </c>
      <c r="B7" s="734" t="s">
        <v>264</v>
      </c>
    </row>
    <row r="8" spans="1:2" ht="11.25" customHeight="1">
      <c r="A8" s="734">
        <v>4213780</v>
      </c>
      <c r="B8" s="734" t="s">
        <v>270</v>
      </c>
    </row>
    <row r="9" spans="1:2" ht="11.25" customHeight="1">
      <c r="A9" s="734">
        <v>4213779</v>
      </c>
      <c r="B9" s="734" t="s">
        <v>1457</v>
      </c>
    </row>
    <row r="10" spans="1:2" ht="11.25" customHeight="1">
      <c r="A10" s="734">
        <v>4213783</v>
      </c>
      <c r="B10" s="734" t="s">
        <v>1472</v>
      </c>
    </row>
    <row r="11" spans="1:2" ht="11.25" customHeight="1">
      <c r="A11" s="734">
        <v>4213782</v>
      </c>
      <c r="B11" s="734" t="s">
        <v>276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478"/>
    <col min="2" max="2" width="65.28515625" style="1478" customWidth="1"/>
  </cols>
  <sheetData>
    <row r="1" spans="1:2" ht="11.25" customHeight="1">
      <c r="A1" s="734" t="s">
        <v>4314</v>
      </c>
      <c r="B1" s="734" t="s">
        <v>4316</v>
      </c>
    </row>
    <row r="2" spans="1:2" ht="11.25" customHeight="1">
      <c r="A2" s="734" t="s">
        <v>4317</v>
      </c>
      <c r="B2" s="734" t="s">
        <v>1564</v>
      </c>
    </row>
    <row r="3" spans="1:2" ht="11.25" customHeight="1">
      <c r="A3" s="734" t="s">
        <v>4318</v>
      </c>
      <c r="B3" s="734" t="s">
        <v>1574</v>
      </c>
    </row>
    <row r="4" spans="1:2" ht="11.25" customHeight="1">
      <c r="A4" s="734" t="s">
        <v>4319</v>
      </c>
      <c r="B4" s="734" t="s">
        <v>1583</v>
      </c>
    </row>
    <row r="5" spans="1:2" ht="11.25" customHeight="1">
      <c r="A5" s="734" t="s">
        <v>4320</v>
      </c>
      <c r="B5" s="734" t="s">
        <v>1592</v>
      </c>
    </row>
    <row r="6" spans="1:2" ht="11.25" customHeight="1">
      <c r="A6" s="734" t="s">
        <v>4321</v>
      </c>
      <c r="B6" s="734" t="s">
        <v>1597</v>
      </c>
    </row>
    <row r="7" spans="1:2" ht="11.25" customHeight="1">
      <c r="A7" s="734" t="s">
        <v>4322</v>
      </c>
      <c r="B7" s="734" t="s">
        <v>1605</v>
      </c>
    </row>
    <row r="8" spans="1:2" ht="11.25" customHeight="1">
      <c r="A8" s="734" t="s">
        <v>4323</v>
      </c>
      <c r="B8" s="734" t="s">
        <v>1612</v>
      </c>
    </row>
    <row r="9" spans="1:2" ht="11.25" customHeight="1">
      <c r="A9" s="734" t="s">
        <v>4324</v>
      </c>
      <c r="B9" s="734" t="s">
        <v>1618</v>
      </c>
    </row>
    <row r="10" spans="1:2" ht="11.25" customHeight="1">
      <c r="A10" s="734" t="s">
        <v>4325</v>
      </c>
      <c r="B10" s="734" t="s">
        <v>1622</v>
      </c>
    </row>
    <row r="11" spans="1:2" ht="11.25" customHeight="1">
      <c r="A11" s="734" t="s">
        <v>4326</v>
      </c>
      <c r="B11" s="734" t="s">
        <v>1629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08"/>
  <sheetViews>
    <sheetView showGridLines="0" workbookViewId="0"/>
  </sheetViews>
  <sheetFormatPr defaultRowHeight="11.25" customHeight="1"/>
  <sheetData>
    <row r="1" spans="1:7" ht="11.25" customHeight="1">
      <c r="A1" s="306" t="s">
        <v>3087</v>
      </c>
      <c r="B1" s="306" t="s">
        <v>3088</v>
      </c>
      <c r="C1" s="306" t="s">
        <v>3089</v>
      </c>
      <c r="D1" s="306" t="s">
        <v>3090</v>
      </c>
      <c r="E1" t="s">
        <v>3091</v>
      </c>
      <c r="F1" t="s">
        <v>3092</v>
      </c>
      <c r="G1" t="s">
        <v>3093</v>
      </c>
    </row>
    <row r="2" spans="1:7" ht="11.25" customHeight="1">
      <c r="A2" t="s">
        <v>3</v>
      </c>
      <c r="B2" t="s">
        <v>3094</v>
      </c>
      <c r="C2" t="s">
        <v>3095</v>
      </c>
      <c r="D2" t="s">
        <v>3094</v>
      </c>
      <c r="E2" t="s">
        <v>3095</v>
      </c>
      <c r="F2" t="s">
        <v>3096</v>
      </c>
      <c r="G2" t="s">
        <v>161</v>
      </c>
    </row>
    <row r="3" spans="1:7" ht="11.25" customHeight="1">
      <c r="A3" t="s">
        <v>3</v>
      </c>
      <c r="B3" t="s">
        <v>3097</v>
      </c>
      <c r="C3" t="s">
        <v>3098</v>
      </c>
      <c r="D3" t="s">
        <v>3097</v>
      </c>
      <c r="E3" t="s">
        <v>3098</v>
      </c>
      <c r="F3" t="s">
        <v>3099</v>
      </c>
      <c r="G3" t="s">
        <v>89</v>
      </c>
    </row>
    <row r="4" spans="1:7" ht="11.25" customHeight="1">
      <c r="A4" t="s">
        <v>3</v>
      </c>
      <c r="B4" t="s">
        <v>3097</v>
      </c>
      <c r="C4" t="s">
        <v>3098</v>
      </c>
      <c r="D4" t="s">
        <v>3100</v>
      </c>
      <c r="E4" t="s">
        <v>3101</v>
      </c>
      <c r="F4" t="s">
        <v>3102</v>
      </c>
      <c r="G4" t="s">
        <v>77</v>
      </c>
    </row>
    <row r="5" spans="1:7" ht="11.25" customHeight="1">
      <c r="A5" t="s">
        <v>3</v>
      </c>
      <c r="B5" t="s">
        <v>3097</v>
      </c>
      <c r="C5" t="s">
        <v>3098</v>
      </c>
      <c r="D5" t="s">
        <v>3103</v>
      </c>
      <c r="E5" t="s">
        <v>3104</v>
      </c>
      <c r="F5" t="s">
        <v>3105</v>
      </c>
      <c r="G5" t="s">
        <v>78</v>
      </c>
    </row>
    <row r="6" spans="1:7" ht="11.25" customHeight="1">
      <c r="A6" t="s">
        <v>3</v>
      </c>
      <c r="B6" t="s">
        <v>3097</v>
      </c>
      <c r="C6" t="s">
        <v>3098</v>
      </c>
      <c r="D6" t="s">
        <v>3106</v>
      </c>
      <c r="E6" t="s">
        <v>3107</v>
      </c>
      <c r="F6" t="s">
        <v>3105</v>
      </c>
      <c r="G6" t="s">
        <v>115</v>
      </c>
    </row>
    <row r="7" spans="1:7" ht="11.25" customHeight="1">
      <c r="A7" t="s">
        <v>3</v>
      </c>
      <c r="B7" t="s">
        <v>3097</v>
      </c>
      <c r="C7" t="s">
        <v>3098</v>
      </c>
      <c r="D7" t="s">
        <v>3108</v>
      </c>
      <c r="E7" t="s">
        <v>3109</v>
      </c>
      <c r="F7" t="s">
        <v>3105</v>
      </c>
      <c r="G7" t="s">
        <v>79</v>
      </c>
    </row>
    <row r="8" spans="1:7" ht="11.25" customHeight="1">
      <c r="A8" t="s">
        <v>3</v>
      </c>
      <c r="B8" t="s">
        <v>86</v>
      </c>
      <c r="C8" t="s">
        <v>87</v>
      </c>
      <c r="D8" t="s">
        <v>86</v>
      </c>
      <c r="E8" t="s">
        <v>87</v>
      </c>
      <c r="F8" t="s">
        <v>3096</v>
      </c>
      <c r="G8" t="s">
        <v>80</v>
      </c>
    </row>
    <row r="9" spans="1:7" ht="11.25" customHeight="1">
      <c r="A9" t="s">
        <v>3</v>
      </c>
      <c r="B9" t="s">
        <v>3110</v>
      </c>
      <c r="C9" t="s">
        <v>3111</v>
      </c>
      <c r="D9" t="s">
        <v>3112</v>
      </c>
      <c r="E9" t="s">
        <v>3113</v>
      </c>
      <c r="F9" t="s">
        <v>3105</v>
      </c>
      <c r="G9" t="s">
        <v>131</v>
      </c>
    </row>
    <row r="10" spans="1:7" ht="11.25" customHeight="1">
      <c r="A10" t="s">
        <v>3</v>
      </c>
      <c r="B10" t="s">
        <v>3110</v>
      </c>
      <c r="C10" t="s">
        <v>3111</v>
      </c>
      <c r="D10" t="s">
        <v>3110</v>
      </c>
      <c r="E10" t="s">
        <v>3111</v>
      </c>
      <c r="F10" t="s">
        <v>3099</v>
      </c>
      <c r="G10" t="s">
        <v>133</v>
      </c>
    </row>
    <row r="11" spans="1:7" ht="11.25" customHeight="1">
      <c r="A11" t="s">
        <v>3</v>
      </c>
      <c r="B11" t="s">
        <v>3110</v>
      </c>
      <c r="C11" t="s">
        <v>3111</v>
      </c>
      <c r="D11" t="s">
        <v>3116</v>
      </c>
      <c r="E11" t="s">
        <v>3117</v>
      </c>
      <c r="F11" t="s">
        <v>3105</v>
      </c>
      <c r="G11" t="s">
        <v>140</v>
      </c>
    </row>
    <row r="12" spans="1:7" ht="11.25" customHeight="1">
      <c r="A12" t="s">
        <v>3</v>
      </c>
      <c r="B12" t="s">
        <v>3110</v>
      </c>
      <c r="C12" t="s">
        <v>3111</v>
      </c>
      <c r="D12" t="s">
        <v>3118</v>
      </c>
      <c r="E12" t="s">
        <v>3119</v>
      </c>
      <c r="F12" t="s">
        <v>3105</v>
      </c>
      <c r="G12" t="s">
        <v>145</v>
      </c>
    </row>
    <row r="13" spans="1:7" ht="11.25" customHeight="1">
      <c r="A13" t="s">
        <v>3</v>
      </c>
      <c r="B13" t="s">
        <v>3110</v>
      </c>
      <c r="C13" t="s">
        <v>3111</v>
      </c>
      <c r="D13" t="s">
        <v>3120</v>
      </c>
      <c r="E13" t="s">
        <v>3121</v>
      </c>
      <c r="F13" t="s">
        <v>3105</v>
      </c>
      <c r="G13" t="s">
        <v>150</v>
      </c>
    </row>
    <row r="14" spans="1:7" ht="11.25" customHeight="1">
      <c r="A14" t="s">
        <v>3</v>
      </c>
      <c r="B14" t="s">
        <v>3110</v>
      </c>
      <c r="C14" t="s">
        <v>3111</v>
      </c>
      <c r="D14" t="s">
        <v>3122</v>
      </c>
      <c r="E14" t="s">
        <v>3123</v>
      </c>
      <c r="F14" t="s">
        <v>3105</v>
      </c>
      <c r="G14" t="s">
        <v>239</v>
      </c>
    </row>
    <row r="15" spans="1:7" ht="11.25" customHeight="1">
      <c r="A15" t="s">
        <v>3</v>
      </c>
      <c r="B15" t="s">
        <v>3110</v>
      </c>
      <c r="C15" t="s">
        <v>3111</v>
      </c>
      <c r="D15" t="s">
        <v>3124</v>
      </c>
      <c r="E15" t="s">
        <v>3125</v>
      </c>
      <c r="F15" t="s">
        <v>3105</v>
      </c>
      <c r="G15" t="s">
        <v>1527</v>
      </c>
    </row>
    <row r="16" spans="1:7" ht="11.25" customHeight="1">
      <c r="A16" t="s">
        <v>3</v>
      </c>
      <c r="B16" t="s">
        <v>3110</v>
      </c>
      <c r="C16" t="s">
        <v>3111</v>
      </c>
      <c r="D16" t="s">
        <v>3126</v>
      </c>
      <c r="E16" t="s">
        <v>3127</v>
      </c>
      <c r="F16" t="s">
        <v>3105</v>
      </c>
      <c r="G16" t="s">
        <v>1533</v>
      </c>
    </row>
    <row r="17" spans="1:7" ht="11.25" customHeight="1">
      <c r="A17" t="s">
        <v>3</v>
      </c>
      <c r="B17" t="s">
        <v>93</v>
      </c>
      <c r="C17" t="s">
        <v>94</v>
      </c>
      <c r="D17" t="s">
        <v>93</v>
      </c>
      <c r="E17" t="s">
        <v>94</v>
      </c>
      <c r="F17" t="s">
        <v>3096</v>
      </c>
      <c r="G17" t="s">
        <v>92</v>
      </c>
    </row>
    <row r="18" spans="1:7" ht="11.25" customHeight="1">
      <c r="A18" t="s">
        <v>3</v>
      </c>
      <c r="B18" t="s">
        <v>1092</v>
      </c>
      <c r="C18" t="s">
        <v>3128</v>
      </c>
      <c r="D18" t="s">
        <v>1092</v>
      </c>
      <c r="E18" t="s">
        <v>3128</v>
      </c>
      <c r="F18" t="s">
        <v>3099</v>
      </c>
      <c r="G18" t="s">
        <v>1558</v>
      </c>
    </row>
    <row r="19" spans="1:7" ht="11.25" customHeight="1">
      <c r="A19" t="s">
        <v>3</v>
      </c>
      <c r="B19" t="s">
        <v>1092</v>
      </c>
      <c r="C19" t="s">
        <v>3128</v>
      </c>
      <c r="D19" t="s">
        <v>1093</v>
      </c>
      <c r="E19" t="s">
        <v>1094</v>
      </c>
      <c r="F19" t="s">
        <v>3102</v>
      </c>
      <c r="G19" t="s">
        <v>1570</v>
      </c>
    </row>
    <row r="20" spans="1:7" ht="11.25" customHeight="1">
      <c r="A20" t="s">
        <v>3</v>
      </c>
      <c r="B20" t="s">
        <v>1092</v>
      </c>
      <c r="C20" t="s">
        <v>3128</v>
      </c>
      <c r="D20" t="s">
        <v>3129</v>
      </c>
      <c r="E20" t="s">
        <v>3130</v>
      </c>
      <c r="F20" t="s">
        <v>3105</v>
      </c>
      <c r="G20" t="s">
        <v>1579</v>
      </c>
    </row>
    <row r="21" spans="1:7" ht="11.25" customHeight="1">
      <c r="A21" t="s">
        <v>3</v>
      </c>
      <c r="B21" t="s">
        <v>1092</v>
      </c>
      <c r="C21" t="s">
        <v>3128</v>
      </c>
      <c r="D21" t="s">
        <v>3131</v>
      </c>
      <c r="E21" t="s">
        <v>3132</v>
      </c>
      <c r="F21" t="s">
        <v>3105</v>
      </c>
      <c r="G21" t="s">
        <v>1003</v>
      </c>
    </row>
    <row r="22" spans="1:7" ht="11.25" customHeight="1">
      <c r="A22" t="s">
        <v>3</v>
      </c>
      <c r="B22" t="s">
        <v>1092</v>
      </c>
      <c r="C22" t="s">
        <v>3128</v>
      </c>
      <c r="D22" t="s">
        <v>3133</v>
      </c>
      <c r="E22" t="s">
        <v>3134</v>
      </c>
      <c r="F22" t="s">
        <v>3105</v>
      </c>
      <c r="G22" t="s">
        <v>1601</v>
      </c>
    </row>
    <row r="23" spans="1:7" ht="11.25" customHeight="1">
      <c r="A23" t="s">
        <v>3</v>
      </c>
      <c r="B23" t="s">
        <v>3135</v>
      </c>
      <c r="C23" t="s">
        <v>3136</v>
      </c>
      <c r="D23" t="s">
        <v>3135</v>
      </c>
      <c r="E23" t="s">
        <v>3136</v>
      </c>
      <c r="F23" t="s">
        <v>3096</v>
      </c>
      <c r="G23" t="s">
        <v>1609</v>
      </c>
    </row>
    <row r="24" spans="1:7" ht="11.25" customHeight="1">
      <c r="A24" t="s">
        <v>3</v>
      </c>
      <c r="B24" t="s">
        <v>3137</v>
      </c>
      <c r="C24" t="s">
        <v>3138</v>
      </c>
      <c r="D24" t="s">
        <v>3139</v>
      </c>
      <c r="E24" t="s">
        <v>3140</v>
      </c>
      <c r="F24" t="s">
        <v>3105</v>
      </c>
      <c r="G24" t="s">
        <v>1616</v>
      </c>
    </row>
    <row r="25" spans="1:7" ht="11.25" customHeight="1">
      <c r="A25" t="s">
        <v>3</v>
      </c>
      <c r="B25" t="s">
        <v>3137</v>
      </c>
      <c r="C25" t="s">
        <v>3138</v>
      </c>
      <c r="D25" t="s">
        <v>3137</v>
      </c>
      <c r="E25" t="s">
        <v>3138</v>
      </c>
      <c r="F25" t="s">
        <v>3099</v>
      </c>
      <c r="G25" t="s">
        <v>1620</v>
      </c>
    </row>
    <row r="26" spans="1:7" ht="11.25" customHeight="1">
      <c r="A26" t="s">
        <v>3</v>
      </c>
      <c r="B26" t="s">
        <v>3137</v>
      </c>
      <c r="C26" t="s">
        <v>3138</v>
      </c>
      <c r="D26" t="s">
        <v>3141</v>
      </c>
      <c r="E26" t="s">
        <v>3142</v>
      </c>
      <c r="F26" t="s">
        <v>3105</v>
      </c>
      <c r="G26" t="s">
        <v>1625</v>
      </c>
    </row>
    <row r="27" spans="1:7" ht="11.25" customHeight="1">
      <c r="A27" t="s">
        <v>3</v>
      </c>
      <c r="B27" t="s">
        <v>3137</v>
      </c>
      <c r="C27" t="s">
        <v>3138</v>
      </c>
      <c r="D27" t="s">
        <v>3143</v>
      </c>
      <c r="E27" t="s">
        <v>3144</v>
      </c>
      <c r="F27" t="s">
        <v>3105</v>
      </c>
      <c r="G27" t="s">
        <v>1032</v>
      </c>
    </row>
    <row r="28" spans="1:7" ht="11.25" customHeight="1">
      <c r="A28" t="s">
        <v>3</v>
      </c>
      <c r="B28" t="s">
        <v>3145</v>
      </c>
      <c r="C28" t="s">
        <v>3146</v>
      </c>
      <c r="D28" t="s">
        <v>3145</v>
      </c>
      <c r="E28" t="s">
        <v>3146</v>
      </c>
      <c r="F28" t="s">
        <v>3147</v>
      </c>
      <c r="G28" t="s">
        <v>1634</v>
      </c>
    </row>
    <row r="29" spans="1:7" ht="11.25" customHeight="1">
      <c r="A29" t="s">
        <v>3</v>
      </c>
      <c r="B29" t="s">
        <v>3148</v>
      </c>
      <c r="C29" t="s">
        <v>3149</v>
      </c>
      <c r="D29" t="s">
        <v>3148</v>
      </c>
      <c r="E29" t="s">
        <v>3149</v>
      </c>
      <c r="F29" t="s">
        <v>3147</v>
      </c>
      <c r="G29" t="s">
        <v>1637</v>
      </c>
    </row>
    <row r="30" spans="1:7" ht="11.25" customHeight="1">
      <c r="A30" t="s">
        <v>3</v>
      </c>
      <c r="B30" t="s">
        <v>3150</v>
      </c>
      <c r="C30" t="s">
        <v>3151</v>
      </c>
      <c r="D30" t="s">
        <v>3150</v>
      </c>
      <c r="E30" t="s">
        <v>3151</v>
      </c>
      <c r="F30" t="s">
        <v>3096</v>
      </c>
      <c r="G30" t="s">
        <v>1643</v>
      </c>
    </row>
    <row r="31" spans="1:7" ht="11.25" customHeight="1">
      <c r="A31" t="s">
        <v>3</v>
      </c>
      <c r="B31" t="s">
        <v>3152</v>
      </c>
      <c r="C31" t="s">
        <v>3153</v>
      </c>
      <c r="D31" t="s">
        <v>3154</v>
      </c>
      <c r="E31" t="s">
        <v>3155</v>
      </c>
      <c r="F31" t="s">
        <v>3105</v>
      </c>
      <c r="G31" t="s">
        <v>1645</v>
      </c>
    </row>
    <row r="32" spans="1:7" ht="11.25" customHeight="1">
      <c r="A32" t="s">
        <v>3</v>
      </c>
      <c r="B32" t="s">
        <v>3152</v>
      </c>
      <c r="C32" t="s">
        <v>3153</v>
      </c>
      <c r="D32" t="s">
        <v>3152</v>
      </c>
      <c r="E32" t="s">
        <v>3153</v>
      </c>
      <c r="F32" t="s">
        <v>3099</v>
      </c>
      <c r="G32" t="s">
        <v>1647</v>
      </c>
    </row>
    <row r="33" spans="1:7" ht="11.25" customHeight="1">
      <c r="A33" t="s">
        <v>3</v>
      </c>
      <c r="B33" t="s">
        <v>3152</v>
      </c>
      <c r="C33" t="s">
        <v>3153</v>
      </c>
      <c r="D33" t="s">
        <v>3156</v>
      </c>
      <c r="E33" t="s">
        <v>3157</v>
      </c>
      <c r="F33" t="s">
        <v>3102</v>
      </c>
      <c r="G33" t="s">
        <v>1649</v>
      </c>
    </row>
    <row r="34" spans="1:7" ht="11.25" customHeight="1">
      <c r="A34" t="s">
        <v>3</v>
      </c>
      <c r="B34" t="s">
        <v>3152</v>
      </c>
      <c r="C34" t="s">
        <v>3153</v>
      </c>
      <c r="D34" t="s">
        <v>3158</v>
      </c>
      <c r="E34" t="s">
        <v>3159</v>
      </c>
      <c r="F34" t="s">
        <v>3105</v>
      </c>
      <c r="G34" t="s">
        <v>1654</v>
      </c>
    </row>
    <row r="35" spans="1:7" ht="11.25" customHeight="1">
      <c r="A35" t="s">
        <v>3</v>
      </c>
      <c r="B35" t="s">
        <v>3152</v>
      </c>
      <c r="C35" t="s">
        <v>3153</v>
      </c>
      <c r="D35" t="s">
        <v>3160</v>
      </c>
      <c r="E35" t="s">
        <v>3161</v>
      </c>
      <c r="F35" t="s">
        <v>3162</v>
      </c>
      <c r="G35" t="s">
        <v>1659</v>
      </c>
    </row>
    <row r="36" spans="1:7" ht="11.25" customHeight="1">
      <c r="A36" t="s">
        <v>3</v>
      </c>
      <c r="B36" t="s">
        <v>3152</v>
      </c>
      <c r="C36" t="s">
        <v>3153</v>
      </c>
      <c r="D36" t="s">
        <v>3163</v>
      </c>
      <c r="E36" t="s">
        <v>3164</v>
      </c>
      <c r="F36" t="s">
        <v>3105</v>
      </c>
      <c r="G36" t="s">
        <v>1663</v>
      </c>
    </row>
    <row r="37" spans="1:7" ht="11.25" customHeight="1">
      <c r="A37" t="s">
        <v>3</v>
      </c>
      <c r="B37" t="s">
        <v>3152</v>
      </c>
      <c r="C37" t="s">
        <v>3153</v>
      </c>
      <c r="D37" t="s">
        <v>3165</v>
      </c>
      <c r="E37" t="s">
        <v>3166</v>
      </c>
      <c r="F37" t="s">
        <v>3105</v>
      </c>
      <c r="G37" t="s">
        <v>1671</v>
      </c>
    </row>
    <row r="38" spans="1:7" ht="11.25" customHeight="1">
      <c r="A38" t="s">
        <v>3</v>
      </c>
      <c r="B38" t="s">
        <v>136</v>
      </c>
      <c r="C38" t="s">
        <v>137</v>
      </c>
      <c r="D38" t="s">
        <v>136</v>
      </c>
      <c r="E38" t="s">
        <v>137</v>
      </c>
      <c r="F38" t="s">
        <v>3096</v>
      </c>
      <c r="G38" t="s">
        <v>135</v>
      </c>
    </row>
    <row r="39" spans="1:7" ht="11.25" customHeight="1">
      <c r="A39" t="s">
        <v>3</v>
      </c>
      <c r="B39" t="s">
        <v>3167</v>
      </c>
      <c r="C39" t="s">
        <v>3168</v>
      </c>
      <c r="D39" t="s">
        <v>3169</v>
      </c>
      <c r="E39" t="s">
        <v>3170</v>
      </c>
      <c r="F39" t="s">
        <v>3105</v>
      </c>
      <c r="G39" t="s">
        <v>1681</v>
      </c>
    </row>
    <row r="40" spans="1:7" ht="11.25" customHeight="1">
      <c r="A40" t="s">
        <v>3</v>
      </c>
      <c r="B40" t="s">
        <v>3167</v>
      </c>
      <c r="C40" t="s">
        <v>3168</v>
      </c>
      <c r="D40" t="s">
        <v>3171</v>
      </c>
      <c r="E40" t="s">
        <v>3172</v>
      </c>
      <c r="F40" t="s">
        <v>3162</v>
      </c>
      <c r="G40" t="s">
        <v>1685</v>
      </c>
    </row>
    <row r="41" spans="1:7" ht="11.25" customHeight="1">
      <c r="A41" t="s">
        <v>3</v>
      </c>
      <c r="B41" t="s">
        <v>3167</v>
      </c>
      <c r="C41" t="s">
        <v>3168</v>
      </c>
      <c r="D41" t="s">
        <v>3167</v>
      </c>
      <c r="E41" t="s">
        <v>3168</v>
      </c>
      <c r="F41" t="s">
        <v>3099</v>
      </c>
      <c r="G41" t="s">
        <v>1688</v>
      </c>
    </row>
    <row r="42" spans="1:7" ht="11.25" customHeight="1">
      <c r="A42" t="s">
        <v>3</v>
      </c>
      <c r="B42" t="s">
        <v>3167</v>
      </c>
      <c r="C42" t="s">
        <v>3168</v>
      </c>
      <c r="D42" t="s">
        <v>3173</v>
      </c>
      <c r="E42" t="s">
        <v>3174</v>
      </c>
      <c r="F42" t="s">
        <v>3102</v>
      </c>
      <c r="G42" t="s">
        <v>1695</v>
      </c>
    </row>
    <row r="43" spans="1:7" ht="11.25" customHeight="1">
      <c r="A43" t="s">
        <v>3</v>
      </c>
      <c r="B43" t="s">
        <v>3167</v>
      </c>
      <c r="C43" t="s">
        <v>3168</v>
      </c>
      <c r="D43" t="s">
        <v>3175</v>
      </c>
      <c r="E43" t="s">
        <v>3176</v>
      </c>
      <c r="F43" t="s">
        <v>3105</v>
      </c>
      <c r="G43" t="s">
        <v>1704</v>
      </c>
    </row>
    <row r="44" spans="1:7" ht="11.25" customHeight="1">
      <c r="A44" t="s">
        <v>3</v>
      </c>
      <c r="B44" t="s">
        <v>3167</v>
      </c>
      <c r="C44" t="s">
        <v>3168</v>
      </c>
      <c r="D44" t="s">
        <v>3177</v>
      </c>
      <c r="E44" t="s">
        <v>3178</v>
      </c>
      <c r="F44" t="s">
        <v>3105</v>
      </c>
      <c r="G44" t="s">
        <v>1709</v>
      </c>
    </row>
    <row r="45" spans="1:7" ht="11.25" customHeight="1">
      <c r="A45" t="s">
        <v>3</v>
      </c>
      <c r="B45" t="s">
        <v>123</v>
      </c>
      <c r="C45" t="s">
        <v>124</v>
      </c>
      <c r="D45" t="s">
        <v>123</v>
      </c>
      <c r="E45" t="s">
        <v>124</v>
      </c>
      <c r="F45" t="s">
        <v>3096</v>
      </c>
      <c r="G45" t="s">
        <v>122</v>
      </c>
    </row>
    <row r="46" spans="1:7" ht="11.25" customHeight="1">
      <c r="A46" t="s">
        <v>3</v>
      </c>
      <c r="B46" t="s">
        <v>3179</v>
      </c>
      <c r="C46" t="s">
        <v>3180</v>
      </c>
      <c r="D46" t="s">
        <v>3181</v>
      </c>
      <c r="E46" t="s">
        <v>3182</v>
      </c>
      <c r="F46" t="s">
        <v>3105</v>
      </c>
      <c r="G46" t="s">
        <v>1717</v>
      </c>
    </row>
    <row r="47" spans="1:7" ht="11.25" customHeight="1">
      <c r="A47" t="s">
        <v>3</v>
      </c>
      <c r="B47" t="s">
        <v>3179</v>
      </c>
      <c r="C47" t="s">
        <v>3180</v>
      </c>
      <c r="D47" t="s">
        <v>3179</v>
      </c>
      <c r="E47" t="s">
        <v>3180</v>
      </c>
      <c r="F47" t="s">
        <v>3099</v>
      </c>
      <c r="G47" t="s">
        <v>1722</v>
      </c>
    </row>
    <row r="48" spans="1:7" ht="11.25" customHeight="1">
      <c r="A48" t="s">
        <v>3</v>
      </c>
      <c r="B48" t="s">
        <v>3179</v>
      </c>
      <c r="C48" t="s">
        <v>3180</v>
      </c>
      <c r="D48" t="s">
        <v>3183</v>
      </c>
      <c r="E48" t="s">
        <v>3184</v>
      </c>
      <c r="F48" t="s">
        <v>3102</v>
      </c>
      <c r="G48" t="s">
        <v>1022</v>
      </c>
    </row>
    <row r="49" spans="1:7" ht="11.25" customHeight="1">
      <c r="A49" t="s">
        <v>3</v>
      </c>
      <c r="B49" t="s">
        <v>3179</v>
      </c>
      <c r="C49" t="s">
        <v>3180</v>
      </c>
      <c r="D49" t="s">
        <v>3185</v>
      </c>
      <c r="E49" t="s">
        <v>3186</v>
      </c>
      <c r="F49" t="s">
        <v>3162</v>
      </c>
      <c r="G49" t="s">
        <v>1728</v>
      </c>
    </row>
    <row r="50" spans="1:7" ht="11.25" customHeight="1">
      <c r="A50" t="s">
        <v>3</v>
      </c>
      <c r="B50" t="s">
        <v>3179</v>
      </c>
      <c r="C50" t="s">
        <v>3180</v>
      </c>
      <c r="D50" t="s">
        <v>3187</v>
      </c>
      <c r="E50" t="s">
        <v>3188</v>
      </c>
      <c r="F50" t="s">
        <v>3105</v>
      </c>
      <c r="G50" t="s">
        <v>1733</v>
      </c>
    </row>
    <row r="51" spans="1:7" ht="11.25" customHeight="1">
      <c r="A51" t="s">
        <v>3</v>
      </c>
      <c r="B51" t="s">
        <v>3179</v>
      </c>
      <c r="C51" t="s">
        <v>3180</v>
      </c>
      <c r="D51" t="s">
        <v>3189</v>
      </c>
      <c r="E51" t="s">
        <v>3190</v>
      </c>
      <c r="F51" t="s">
        <v>3105</v>
      </c>
      <c r="G51" t="s">
        <v>1737</v>
      </c>
    </row>
    <row r="52" spans="1:7" ht="11.25" customHeight="1">
      <c r="A52" t="s">
        <v>3</v>
      </c>
      <c r="B52" t="s">
        <v>126</v>
      </c>
      <c r="C52" t="s">
        <v>127</v>
      </c>
      <c r="D52" t="s">
        <v>126</v>
      </c>
      <c r="E52" t="s">
        <v>127</v>
      </c>
      <c r="F52" t="s">
        <v>3096</v>
      </c>
      <c r="G52" t="s">
        <v>125</v>
      </c>
    </row>
    <row r="53" spans="1:7" ht="11.25" customHeight="1">
      <c r="A53" t="s">
        <v>3</v>
      </c>
      <c r="B53" t="s">
        <v>3191</v>
      </c>
      <c r="C53" t="s">
        <v>3192</v>
      </c>
      <c r="D53" t="s">
        <v>3193</v>
      </c>
      <c r="E53" t="s">
        <v>3194</v>
      </c>
      <c r="F53" t="s">
        <v>3105</v>
      </c>
      <c r="G53" t="s">
        <v>1741</v>
      </c>
    </row>
    <row r="54" spans="1:7" ht="11.25" customHeight="1">
      <c r="A54" t="s">
        <v>3</v>
      </c>
      <c r="B54" t="s">
        <v>3191</v>
      </c>
      <c r="C54" t="s">
        <v>3192</v>
      </c>
      <c r="D54" t="s">
        <v>3191</v>
      </c>
      <c r="E54" t="s">
        <v>3192</v>
      </c>
      <c r="F54" t="s">
        <v>3099</v>
      </c>
      <c r="G54" t="s">
        <v>1746</v>
      </c>
    </row>
    <row r="55" spans="1:7" ht="11.25" customHeight="1">
      <c r="A55" t="s">
        <v>3</v>
      </c>
      <c r="B55" t="s">
        <v>3191</v>
      </c>
      <c r="C55" t="s">
        <v>3192</v>
      </c>
      <c r="D55" t="s">
        <v>3195</v>
      </c>
      <c r="E55" t="s">
        <v>3196</v>
      </c>
      <c r="F55" t="s">
        <v>3102</v>
      </c>
      <c r="G55" t="s">
        <v>1750</v>
      </c>
    </row>
    <row r="56" spans="1:7" ht="11.25" customHeight="1">
      <c r="A56" t="s">
        <v>3</v>
      </c>
      <c r="B56" t="s">
        <v>3191</v>
      </c>
      <c r="C56" t="s">
        <v>3192</v>
      </c>
      <c r="D56" t="s">
        <v>3197</v>
      </c>
      <c r="E56" t="s">
        <v>3198</v>
      </c>
      <c r="F56" t="s">
        <v>3105</v>
      </c>
      <c r="G56" t="s">
        <v>1754</v>
      </c>
    </row>
    <row r="57" spans="1:7" ht="11.25" customHeight="1">
      <c r="A57" t="s">
        <v>3</v>
      </c>
      <c r="B57" t="s">
        <v>3191</v>
      </c>
      <c r="C57" t="s">
        <v>3192</v>
      </c>
      <c r="D57" t="s">
        <v>3199</v>
      </c>
      <c r="E57" t="s">
        <v>3200</v>
      </c>
      <c r="F57" t="s">
        <v>3105</v>
      </c>
      <c r="G57" t="s">
        <v>1757</v>
      </c>
    </row>
    <row r="58" spans="1:7" ht="11.25" customHeight="1">
      <c r="A58" t="s">
        <v>3</v>
      </c>
      <c r="B58" t="s">
        <v>110</v>
      </c>
      <c r="C58" t="s">
        <v>111</v>
      </c>
      <c r="D58" t="s">
        <v>110</v>
      </c>
      <c r="E58" t="s">
        <v>111</v>
      </c>
      <c r="F58" t="s">
        <v>3096</v>
      </c>
      <c r="G58" t="s">
        <v>109</v>
      </c>
    </row>
    <row r="59" spans="1:7" ht="11.25" customHeight="1">
      <c r="A59" t="s">
        <v>3</v>
      </c>
      <c r="B59" t="s">
        <v>1065</v>
      </c>
      <c r="C59" t="s">
        <v>3201</v>
      </c>
      <c r="D59" t="s">
        <v>3202</v>
      </c>
      <c r="E59" t="s">
        <v>3203</v>
      </c>
      <c r="F59" t="s">
        <v>3105</v>
      </c>
      <c r="G59" t="s">
        <v>1763</v>
      </c>
    </row>
    <row r="60" spans="1:7" ht="11.25" customHeight="1">
      <c r="A60" t="s">
        <v>3</v>
      </c>
      <c r="B60" t="s">
        <v>1065</v>
      </c>
      <c r="C60" t="s">
        <v>3201</v>
      </c>
      <c r="D60" t="s">
        <v>1065</v>
      </c>
      <c r="E60" t="s">
        <v>3201</v>
      </c>
      <c r="F60" t="s">
        <v>3099</v>
      </c>
      <c r="G60" t="s">
        <v>3204</v>
      </c>
    </row>
    <row r="61" spans="1:7" ht="11.25" customHeight="1">
      <c r="A61" t="s">
        <v>3</v>
      </c>
      <c r="B61" t="s">
        <v>1065</v>
      </c>
      <c r="C61" t="s">
        <v>3201</v>
      </c>
      <c r="D61" t="s">
        <v>1066</v>
      </c>
      <c r="E61" t="s">
        <v>1067</v>
      </c>
      <c r="F61" t="s">
        <v>3105</v>
      </c>
      <c r="G61" t="s">
        <v>3205</v>
      </c>
    </row>
    <row r="62" spans="1:7" ht="11.25" customHeight="1">
      <c r="A62" t="s">
        <v>3</v>
      </c>
      <c r="B62" t="s">
        <v>1065</v>
      </c>
      <c r="C62" t="s">
        <v>3201</v>
      </c>
      <c r="D62" t="s">
        <v>3206</v>
      </c>
      <c r="E62" t="s">
        <v>3207</v>
      </c>
      <c r="F62" t="s">
        <v>3105</v>
      </c>
      <c r="G62" t="s">
        <v>1041</v>
      </c>
    </row>
    <row r="63" spans="1:7" ht="11.25" customHeight="1">
      <c r="A63" t="s">
        <v>3</v>
      </c>
      <c r="B63" t="s">
        <v>1065</v>
      </c>
      <c r="C63" t="s">
        <v>3201</v>
      </c>
      <c r="D63" t="s">
        <v>3208</v>
      </c>
      <c r="E63" t="s">
        <v>3209</v>
      </c>
      <c r="F63" t="s">
        <v>3105</v>
      </c>
      <c r="G63" t="s">
        <v>3210</v>
      </c>
    </row>
    <row r="64" spans="1:7" ht="11.25" customHeight="1">
      <c r="A64" t="s">
        <v>3</v>
      </c>
      <c r="B64" t="s">
        <v>3211</v>
      </c>
      <c r="C64" t="s">
        <v>3212</v>
      </c>
      <c r="D64" t="s">
        <v>3211</v>
      </c>
      <c r="E64" t="s">
        <v>3212</v>
      </c>
      <c r="F64" t="s">
        <v>3096</v>
      </c>
      <c r="G64" t="s">
        <v>3213</v>
      </c>
    </row>
    <row r="65" spans="1:7" ht="11.25" customHeight="1">
      <c r="A65" t="s">
        <v>3</v>
      </c>
      <c r="B65" t="s">
        <v>3214</v>
      </c>
      <c r="C65" t="s">
        <v>3215</v>
      </c>
      <c r="D65" t="s">
        <v>3216</v>
      </c>
      <c r="E65" t="s">
        <v>3217</v>
      </c>
      <c r="F65" t="s">
        <v>3105</v>
      </c>
      <c r="G65" t="s">
        <v>3218</v>
      </c>
    </row>
    <row r="66" spans="1:7" ht="11.25" customHeight="1">
      <c r="A66" t="s">
        <v>3</v>
      </c>
      <c r="B66" t="s">
        <v>3214</v>
      </c>
      <c r="C66" t="s">
        <v>3215</v>
      </c>
      <c r="D66" t="s">
        <v>3214</v>
      </c>
      <c r="E66" t="s">
        <v>3215</v>
      </c>
      <c r="F66" t="s">
        <v>3099</v>
      </c>
      <c r="G66" t="s">
        <v>2073</v>
      </c>
    </row>
    <row r="67" spans="1:7" ht="11.25" customHeight="1">
      <c r="A67" t="s">
        <v>3</v>
      </c>
      <c r="B67" t="s">
        <v>3214</v>
      </c>
      <c r="C67" t="s">
        <v>3215</v>
      </c>
      <c r="D67" t="s">
        <v>3219</v>
      </c>
      <c r="E67" t="s">
        <v>3220</v>
      </c>
      <c r="F67" t="s">
        <v>3162</v>
      </c>
      <c r="G67" t="s">
        <v>3221</v>
      </c>
    </row>
    <row r="68" spans="1:7" ht="11.25" customHeight="1">
      <c r="A68" t="s">
        <v>3</v>
      </c>
      <c r="B68" t="s">
        <v>3214</v>
      </c>
      <c r="C68" t="s">
        <v>3215</v>
      </c>
      <c r="D68" t="s">
        <v>3222</v>
      </c>
      <c r="E68" t="s">
        <v>3223</v>
      </c>
      <c r="F68" t="s">
        <v>3105</v>
      </c>
      <c r="G68" t="s">
        <v>2273</v>
      </c>
    </row>
    <row r="69" spans="1:7" ht="11.25" customHeight="1">
      <c r="A69" t="s">
        <v>3</v>
      </c>
      <c r="B69" t="s">
        <v>3214</v>
      </c>
      <c r="C69" t="s">
        <v>3215</v>
      </c>
      <c r="D69" t="s">
        <v>3224</v>
      </c>
      <c r="E69" t="s">
        <v>3225</v>
      </c>
      <c r="F69" t="s">
        <v>3105</v>
      </c>
      <c r="G69" t="s">
        <v>3226</v>
      </c>
    </row>
    <row r="70" spans="1:7" ht="11.25" customHeight="1">
      <c r="A70" t="s">
        <v>3</v>
      </c>
      <c r="B70" t="s">
        <v>148</v>
      </c>
      <c r="C70" t="s">
        <v>149</v>
      </c>
      <c r="D70" t="s">
        <v>148</v>
      </c>
      <c r="E70" t="s">
        <v>149</v>
      </c>
      <c r="F70" t="s">
        <v>3096</v>
      </c>
      <c r="G70" t="s">
        <v>147</v>
      </c>
    </row>
    <row r="71" spans="1:7" ht="11.25" customHeight="1">
      <c r="A71" t="s">
        <v>3</v>
      </c>
      <c r="B71" t="s">
        <v>3227</v>
      </c>
      <c r="C71" t="s">
        <v>3228</v>
      </c>
      <c r="D71" t="s">
        <v>3229</v>
      </c>
      <c r="E71" t="s">
        <v>3230</v>
      </c>
      <c r="F71" t="s">
        <v>3105</v>
      </c>
      <c r="G71" t="s">
        <v>3231</v>
      </c>
    </row>
    <row r="72" spans="1:7" ht="11.25" customHeight="1">
      <c r="A72" t="s">
        <v>3</v>
      </c>
      <c r="B72" t="s">
        <v>3227</v>
      </c>
      <c r="C72" t="s">
        <v>3228</v>
      </c>
      <c r="D72" t="s">
        <v>3227</v>
      </c>
      <c r="E72" t="s">
        <v>3228</v>
      </c>
      <c r="F72" t="s">
        <v>3099</v>
      </c>
      <c r="G72" t="s">
        <v>3232</v>
      </c>
    </row>
    <row r="73" spans="1:7" ht="11.25" customHeight="1">
      <c r="A73" t="s">
        <v>3</v>
      </c>
      <c r="B73" t="s">
        <v>3227</v>
      </c>
      <c r="C73" t="s">
        <v>3228</v>
      </c>
      <c r="D73" t="s">
        <v>3233</v>
      </c>
      <c r="E73" t="s">
        <v>3234</v>
      </c>
      <c r="F73" t="s">
        <v>3162</v>
      </c>
      <c r="G73" t="s">
        <v>3235</v>
      </c>
    </row>
    <row r="74" spans="1:7" ht="11.25" customHeight="1">
      <c r="A74" t="s">
        <v>3</v>
      </c>
      <c r="B74" t="s">
        <v>3227</v>
      </c>
      <c r="C74" t="s">
        <v>3228</v>
      </c>
      <c r="D74" t="s">
        <v>3236</v>
      </c>
      <c r="E74" t="s">
        <v>3237</v>
      </c>
      <c r="F74" t="s">
        <v>3105</v>
      </c>
      <c r="G74" t="s">
        <v>3238</v>
      </c>
    </row>
    <row r="75" spans="1:7" ht="11.25" customHeight="1">
      <c r="A75" t="s">
        <v>3</v>
      </c>
      <c r="B75" t="s">
        <v>3227</v>
      </c>
      <c r="C75" t="s">
        <v>3228</v>
      </c>
      <c r="D75" t="s">
        <v>3239</v>
      </c>
      <c r="E75" t="s">
        <v>3240</v>
      </c>
      <c r="F75" t="s">
        <v>3105</v>
      </c>
      <c r="G75" t="s">
        <v>3241</v>
      </c>
    </row>
    <row r="76" spans="1:7" ht="11.25" customHeight="1">
      <c r="A76" t="s">
        <v>3</v>
      </c>
      <c r="B76" t="s">
        <v>3242</v>
      </c>
      <c r="C76" t="s">
        <v>3243</v>
      </c>
      <c r="D76" t="s">
        <v>3242</v>
      </c>
      <c r="E76" t="s">
        <v>3243</v>
      </c>
      <c r="F76" t="s">
        <v>3096</v>
      </c>
      <c r="G76" t="s">
        <v>3244</v>
      </c>
    </row>
    <row r="77" spans="1:7" ht="11.25" customHeight="1">
      <c r="A77" t="s">
        <v>3</v>
      </c>
      <c r="B77" t="s">
        <v>3245</v>
      </c>
      <c r="C77" t="s">
        <v>3246</v>
      </c>
      <c r="D77" t="s">
        <v>3247</v>
      </c>
      <c r="E77" t="s">
        <v>3248</v>
      </c>
      <c r="F77" t="s">
        <v>3105</v>
      </c>
      <c r="G77" t="s">
        <v>3249</v>
      </c>
    </row>
    <row r="78" spans="1:7" ht="11.25" customHeight="1">
      <c r="A78" t="s">
        <v>3</v>
      </c>
      <c r="B78" t="s">
        <v>3245</v>
      </c>
      <c r="C78" t="s">
        <v>3246</v>
      </c>
      <c r="D78" t="s">
        <v>3250</v>
      </c>
      <c r="E78" t="s">
        <v>3251</v>
      </c>
      <c r="F78" t="s">
        <v>3105</v>
      </c>
      <c r="G78" t="s">
        <v>3252</v>
      </c>
    </row>
    <row r="79" spans="1:7" ht="11.25" customHeight="1">
      <c r="A79" t="s">
        <v>3</v>
      </c>
      <c r="B79" t="s">
        <v>3245</v>
      </c>
      <c r="C79" t="s">
        <v>3246</v>
      </c>
      <c r="D79" t="s">
        <v>3253</v>
      </c>
      <c r="E79" t="s">
        <v>3254</v>
      </c>
      <c r="F79" t="s">
        <v>3105</v>
      </c>
      <c r="G79" t="s">
        <v>3255</v>
      </c>
    </row>
    <row r="80" spans="1:7" ht="11.25" customHeight="1">
      <c r="A80" t="s">
        <v>3</v>
      </c>
      <c r="B80" t="s">
        <v>3245</v>
      </c>
      <c r="C80" t="s">
        <v>3246</v>
      </c>
      <c r="D80" t="s">
        <v>3256</v>
      </c>
      <c r="E80" t="s">
        <v>3257</v>
      </c>
      <c r="F80" t="s">
        <v>3162</v>
      </c>
      <c r="G80" t="s">
        <v>3258</v>
      </c>
    </row>
    <row r="81" spans="1:7" ht="11.25" customHeight="1">
      <c r="A81" t="s">
        <v>3</v>
      </c>
      <c r="B81" t="s">
        <v>3245</v>
      </c>
      <c r="C81" t="s">
        <v>3246</v>
      </c>
      <c r="D81" t="s">
        <v>3245</v>
      </c>
      <c r="E81" t="s">
        <v>3246</v>
      </c>
      <c r="F81" t="s">
        <v>3099</v>
      </c>
      <c r="G81" t="s">
        <v>3259</v>
      </c>
    </row>
    <row r="82" spans="1:7" ht="11.25" customHeight="1">
      <c r="A82" t="s">
        <v>3</v>
      </c>
      <c r="B82" t="s">
        <v>3245</v>
      </c>
      <c r="C82" t="s">
        <v>3246</v>
      </c>
      <c r="D82" t="s">
        <v>3260</v>
      </c>
      <c r="E82" t="s">
        <v>3261</v>
      </c>
      <c r="F82" t="s">
        <v>3105</v>
      </c>
      <c r="G82" t="s">
        <v>3262</v>
      </c>
    </row>
    <row r="83" spans="1:7" ht="11.25" customHeight="1">
      <c r="A83" t="s">
        <v>3</v>
      </c>
      <c r="B83" t="s">
        <v>3245</v>
      </c>
      <c r="C83" t="s">
        <v>3246</v>
      </c>
      <c r="D83" t="s">
        <v>3263</v>
      </c>
      <c r="E83" t="s">
        <v>3264</v>
      </c>
      <c r="F83" t="s">
        <v>3105</v>
      </c>
      <c r="G83" t="s">
        <v>3265</v>
      </c>
    </row>
    <row r="84" spans="1:7" ht="11.25" customHeight="1">
      <c r="A84" t="s">
        <v>3</v>
      </c>
      <c r="B84" t="s">
        <v>3245</v>
      </c>
      <c r="C84" t="s">
        <v>3246</v>
      </c>
      <c r="D84" t="s">
        <v>3266</v>
      </c>
      <c r="E84" t="s">
        <v>3267</v>
      </c>
      <c r="F84" t="s">
        <v>3105</v>
      </c>
      <c r="G84" t="s">
        <v>3268</v>
      </c>
    </row>
    <row r="85" spans="1:7" ht="11.25" customHeight="1">
      <c r="A85" t="s">
        <v>3</v>
      </c>
      <c r="B85" t="s">
        <v>96</v>
      </c>
      <c r="C85" t="s">
        <v>97</v>
      </c>
      <c r="D85" t="s">
        <v>96</v>
      </c>
      <c r="E85" t="s">
        <v>97</v>
      </c>
      <c r="F85" t="s">
        <v>3096</v>
      </c>
      <c r="G85" t="s">
        <v>95</v>
      </c>
    </row>
    <row r="86" spans="1:7" ht="11.25" customHeight="1">
      <c r="A86" t="s">
        <v>3</v>
      </c>
      <c r="B86" t="s">
        <v>3269</v>
      </c>
      <c r="C86" t="s">
        <v>3270</v>
      </c>
      <c r="D86" t="s">
        <v>3271</v>
      </c>
      <c r="E86" t="s">
        <v>3272</v>
      </c>
      <c r="F86" t="s">
        <v>3105</v>
      </c>
      <c r="G86" t="s">
        <v>3273</v>
      </c>
    </row>
    <row r="87" spans="1:7" ht="11.25" customHeight="1">
      <c r="A87" t="s">
        <v>3</v>
      </c>
      <c r="B87" t="s">
        <v>3269</v>
      </c>
      <c r="C87" t="s">
        <v>3270</v>
      </c>
      <c r="D87" t="s">
        <v>3274</v>
      </c>
      <c r="E87" t="s">
        <v>3275</v>
      </c>
      <c r="F87" t="s">
        <v>3105</v>
      </c>
      <c r="G87" t="s">
        <v>3276</v>
      </c>
    </row>
    <row r="88" spans="1:7" ht="11.25" customHeight="1">
      <c r="A88" t="s">
        <v>3</v>
      </c>
      <c r="B88" t="s">
        <v>3269</v>
      </c>
      <c r="C88" t="s">
        <v>3270</v>
      </c>
      <c r="D88" t="s">
        <v>3277</v>
      </c>
      <c r="E88" t="s">
        <v>3278</v>
      </c>
      <c r="F88" t="s">
        <v>3105</v>
      </c>
      <c r="G88" t="s">
        <v>3279</v>
      </c>
    </row>
    <row r="89" spans="1:7" ht="11.25" customHeight="1">
      <c r="A89" t="s">
        <v>3</v>
      </c>
      <c r="B89" t="s">
        <v>3269</v>
      </c>
      <c r="C89" t="s">
        <v>3270</v>
      </c>
      <c r="D89" t="s">
        <v>3269</v>
      </c>
      <c r="E89" t="s">
        <v>3270</v>
      </c>
      <c r="F89" t="s">
        <v>3099</v>
      </c>
      <c r="G89" t="s">
        <v>3280</v>
      </c>
    </row>
    <row r="90" spans="1:7" ht="11.25" customHeight="1">
      <c r="A90" t="s">
        <v>3</v>
      </c>
      <c r="B90" t="s">
        <v>3269</v>
      </c>
      <c r="C90" t="s">
        <v>3270</v>
      </c>
      <c r="D90" t="s">
        <v>3281</v>
      </c>
      <c r="E90" t="s">
        <v>3282</v>
      </c>
      <c r="F90" t="s">
        <v>3105</v>
      </c>
      <c r="G90" t="s">
        <v>3283</v>
      </c>
    </row>
    <row r="91" spans="1:7" ht="11.25" customHeight="1">
      <c r="A91" t="s">
        <v>3</v>
      </c>
      <c r="B91" t="s">
        <v>3269</v>
      </c>
      <c r="C91" t="s">
        <v>3270</v>
      </c>
      <c r="D91" t="s">
        <v>3284</v>
      </c>
      <c r="E91" t="s">
        <v>3285</v>
      </c>
      <c r="F91" t="s">
        <v>3105</v>
      </c>
      <c r="G91" t="s">
        <v>3286</v>
      </c>
    </row>
    <row r="92" spans="1:7" ht="11.25" customHeight="1">
      <c r="A92" t="s">
        <v>3</v>
      </c>
      <c r="B92" t="s">
        <v>107</v>
      </c>
      <c r="C92" t="s">
        <v>108</v>
      </c>
      <c r="D92" t="s">
        <v>107</v>
      </c>
      <c r="E92" t="s">
        <v>108</v>
      </c>
      <c r="F92" t="s">
        <v>3096</v>
      </c>
      <c r="G92" t="s">
        <v>106</v>
      </c>
    </row>
    <row r="93" spans="1:7" ht="11.25" customHeight="1">
      <c r="A93" t="s">
        <v>3</v>
      </c>
      <c r="B93" t="s">
        <v>1107</v>
      </c>
      <c r="C93" t="s">
        <v>3287</v>
      </c>
      <c r="D93" t="s">
        <v>3288</v>
      </c>
      <c r="E93" t="s">
        <v>3289</v>
      </c>
      <c r="F93" t="s">
        <v>3105</v>
      </c>
      <c r="G93" t="s">
        <v>3290</v>
      </c>
    </row>
    <row r="94" spans="1:7" ht="11.25" customHeight="1">
      <c r="A94" t="s">
        <v>3</v>
      </c>
      <c r="B94" t="s">
        <v>1107</v>
      </c>
      <c r="C94" t="s">
        <v>3287</v>
      </c>
      <c r="D94" t="s">
        <v>1122</v>
      </c>
      <c r="E94" t="s">
        <v>1123</v>
      </c>
      <c r="F94" t="s">
        <v>3105</v>
      </c>
      <c r="G94" t="s">
        <v>3291</v>
      </c>
    </row>
    <row r="95" spans="1:7" ht="11.25" customHeight="1">
      <c r="A95" t="s">
        <v>3</v>
      </c>
      <c r="B95" t="s">
        <v>1107</v>
      </c>
      <c r="C95" t="s">
        <v>3287</v>
      </c>
      <c r="D95" t="s">
        <v>1107</v>
      </c>
      <c r="E95" t="s">
        <v>3287</v>
      </c>
      <c r="F95" t="s">
        <v>3099</v>
      </c>
      <c r="G95" t="s">
        <v>3292</v>
      </c>
    </row>
    <row r="96" spans="1:7" ht="11.25" customHeight="1">
      <c r="A96" t="s">
        <v>3</v>
      </c>
      <c r="B96" t="s">
        <v>1107</v>
      </c>
      <c r="C96" t="s">
        <v>3287</v>
      </c>
      <c r="D96" t="s">
        <v>1108</v>
      </c>
      <c r="E96" t="s">
        <v>1109</v>
      </c>
      <c r="F96" t="s">
        <v>3102</v>
      </c>
      <c r="G96" t="s">
        <v>3293</v>
      </c>
    </row>
    <row r="97" spans="1:7" ht="11.25" customHeight="1">
      <c r="A97" t="s">
        <v>3</v>
      </c>
      <c r="B97" t="s">
        <v>1107</v>
      </c>
      <c r="C97" t="s">
        <v>3287</v>
      </c>
      <c r="D97" t="s">
        <v>3294</v>
      </c>
      <c r="E97" t="s">
        <v>3295</v>
      </c>
      <c r="F97" t="s">
        <v>3105</v>
      </c>
      <c r="G97" t="s">
        <v>3296</v>
      </c>
    </row>
    <row r="98" spans="1:7" ht="11.25" customHeight="1">
      <c r="A98" t="s">
        <v>3</v>
      </c>
      <c r="B98" t="s">
        <v>1107</v>
      </c>
      <c r="C98" t="s">
        <v>3287</v>
      </c>
      <c r="D98" t="s">
        <v>3297</v>
      </c>
      <c r="E98" t="s">
        <v>3298</v>
      </c>
      <c r="F98" t="s">
        <v>3105</v>
      </c>
      <c r="G98" t="s">
        <v>3299</v>
      </c>
    </row>
    <row r="99" spans="1:7" ht="11.25" customHeight="1">
      <c r="A99" t="s">
        <v>3</v>
      </c>
      <c r="B99" t="s">
        <v>1107</v>
      </c>
      <c r="C99" t="s">
        <v>3287</v>
      </c>
      <c r="D99" t="s">
        <v>3300</v>
      </c>
      <c r="E99" t="s">
        <v>3301</v>
      </c>
      <c r="F99" t="s">
        <v>3105</v>
      </c>
      <c r="G99" t="s">
        <v>3302</v>
      </c>
    </row>
    <row r="100" spans="1:7" ht="11.25" customHeight="1">
      <c r="A100" t="s">
        <v>3</v>
      </c>
      <c r="B100" t="s">
        <v>104</v>
      </c>
      <c r="C100" t="s">
        <v>105</v>
      </c>
      <c r="D100" t="s">
        <v>104</v>
      </c>
      <c r="E100" t="s">
        <v>105</v>
      </c>
      <c r="F100" t="s">
        <v>3096</v>
      </c>
      <c r="G100" t="s">
        <v>103</v>
      </c>
    </row>
    <row r="101" spans="1:7" ht="11.25" customHeight="1">
      <c r="A101" t="s">
        <v>3</v>
      </c>
      <c r="B101" t="s">
        <v>3303</v>
      </c>
      <c r="C101" t="s">
        <v>3304</v>
      </c>
      <c r="D101" t="s">
        <v>3305</v>
      </c>
      <c r="E101" t="s">
        <v>3306</v>
      </c>
      <c r="F101" t="s">
        <v>3105</v>
      </c>
      <c r="G101" t="s">
        <v>1036</v>
      </c>
    </row>
    <row r="102" spans="1:7" ht="11.25" customHeight="1">
      <c r="A102" t="s">
        <v>3</v>
      </c>
      <c r="B102" t="s">
        <v>3303</v>
      </c>
      <c r="C102" t="s">
        <v>3304</v>
      </c>
      <c r="D102" t="s">
        <v>3307</v>
      </c>
      <c r="E102" t="s">
        <v>3308</v>
      </c>
      <c r="F102" t="s">
        <v>3105</v>
      </c>
      <c r="G102" t="s">
        <v>3309</v>
      </c>
    </row>
    <row r="103" spans="1:7" ht="11.25" customHeight="1">
      <c r="A103" t="s">
        <v>3</v>
      </c>
      <c r="B103" t="s">
        <v>3303</v>
      </c>
      <c r="C103" t="s">
        <v>3304</v>
      </c>
      <c r="D103" t="s">
        <v>3310</v>
      </c>
      <c r="E103" t="s">
        <v>3311</v>
      </c>
      <c r="F103" t="s">
        <v>3105</v>
      </c>
      <c r="G103" t="s">
        <v>3312</v>
      </c>
    </row>
    <row r="104" spans="1:7" ht="11.25" customHeight="1">
      <c r="A104" t="s">
        <v>3</v>
      </c>
      <c r="B104" t="s">
        <v>3303</v>
      </c>
      <c r="C104" t="s">
        <v>3304</v>
      </c>
      <c r="D104" t="s">
        <v>3313</v>
      </c>
      <c r="E104" t="s">
        <v>3314</v>
      </c>
      <c r="F104" t="s">
        <v>3105</v>
      </c>
      <c r="G104" t="s">
        <v>3315</v>
      </c>
    </row>
    <row r="105" spans="1:7" ht="11.25" customHeight="1">
      <c r="A105" t="s">
        <v>3</v>
      </c>
      <c r="B105" t="s">
        <v>3303</v>
      </c>
      <c r="C105" t="s">
        <v>3304</v>
      </c>
      <c r="D105" t="s">
        <v>3316</v>
      </c>
      <c r="E105" t="s">
        <v>3317</v>
      </c>
      <c r="F105" t="s">
        <v>3105</v>
      </c>
      <c r="G105" t="s">
        <v>3318</v>
      </c>
    </row>
    <row r="106" spans="1:7" ht="11.25" customHeight="1">
      <c r="A106" t="s">
        <v>3</v>
      </c>
      <c r="B106" t="s">
        <v>3303</v>
      </c>
      <c r="C106" t="s">
        <v>3304</v>
      </c>
      <c r="D106" t="s">
        <v>3319</v>
      </c>
      <c r="E106" t="s">
        <v>3320</v>
      </c>
      <c r="F106" t="s">
        <v>3105</v>
      </c>
      <c r="G106" t="s">
        <v>3321</v>
      </c>
    </row>
    <row r="107" spans="1:7" ht="11.25" customHeight="1">
      <c r="A107" t="s">
        <v>3</v>
      </c>
      <c r="B107" t="s">
        <v>3303</v>
      </c>
      <c r="C107" t="s">
        <v>3304</v>
      </c>
      <c r="D107" t="s">
        <v>3322</v>
      </c>
      <c r="E107" t="s">
        <v>3323</v>
      </c>
      <c r="F107" t="s">
        <v>3105</v>
      </c>
      <c r="G107" t="s">
        <v>3324</v>
      </c>
    </row>
    <row r="108" spans="1:7" ht="11.25" customHeight="1">
      <c r="A108" t="s">
        <v>3</v>
      </c>
      <c r="B108" t="s">
        <v>3303</v>
      </c>
      <c r="C108" t="s">
        <v>3304</v>
      </c>
      <c r="D108" t="s">
        <v>3325</v>
      </c>
      <c r="E108" t="s">
        <v>3326</v>
      </c>
      <c r="F108" t="s">
        <v>3105</v>
      </c>
      <c r="G108" t="s">
        <v>3327</v>
      </c>
    </row>
    <row r="109" spans="1:7" ht="11.25" customHeight="1">
      <c r="A109" t="s">
        <v>3</v>
      </c>
      <c r="B109" t="s">
        <v>3303</v>
      </c>
      <c r="C109" t="s">
        <v>3304</v>
      </c>
      <c r="D109" t="s">
        <v>3303</v>
      </c>
      <c r="E109" t="s">
        <v>3304</v>
      </c>
      <c r="F109" t="s">
        <v>3099</v>
      </c>
      <c r="G109" t="s">
        <v>3328</v>
      </c>
    </row>
    <row r="110" spans="1:7" ht="11.25" customHeight="1">
      <c r="A110" t="s">
        <v>3</v>
      </c>
      <c r="B110" t="s">
        <v>3303</v>
      </c>
      <c r="C110" t="s">
        <v>3304</v>
      </c>
      <c r="D110" t="s">
        <v>3329</v>
      </c>
      <c r="E110" t="s">
        <v>3330</v>
      </c>
      <c r="F110" t="s">
        <v>3102</v>
      </c>
      <c r="G110" t="s">
        <v>3331</v>
      </c>
    </row>
    <row r="111" spans="1:7" ht="11.25" customHeight="1">
      <c r="A111" t="s">
        <v>3</v>
      </c>
      <c r="B111" t="s">
        <v>3303</v>
      </c>
      <c r="C111" t="s">
        <v>3304</v>
      </c>
      <c r="D111" t="s">
        <v>3332</v>
      </c>
      <c r="E111" t="s">
        <v>3333</v>
      </c>
      <c r="F111" t="s">
        <v>3105</v>
      </c>
      <c r="G111" t="s">
        <v>711</v>
      </c>
    </row>
    <row r="112" spans="1:7" ht="11.25" customHeight="1">
      <c r="A112" t="s">
        <v>3</v>
      </c>
      <c r="B112" t="s">
        <v>3334</v>
      </c>
      <c r="C112" t="s">
        <v>3335</v>
      </c>
      <c r="D112" t="s">
        <v>3334</v>
      </c>
      <c r="E112" t="s">
        <v>3335</v>
      </c>
      <c r="F112" t="s">
        <v>3096</v>
      </c>
      <c r="G112" t="s">
        <v>3336</v>
      </c>
    </row>
    <row r="113" spans="1:7" ht="11.25" customHeight="1">
      <c r="A113" t="s">
        <v>3</v>
      </c>
      <c r="B113" t="s">
        <v>3337</v>
      </c>
      <c r="C113" t="s">
        <v>3338</v>
      </c>
      <c r="D113" t="s">
        <v>3339</v>
      </c>
      <c r="E113" t="s">
        <v>3340</v>
      </c>
      <c r="F113" t="s">
        <v>3162</v>
      </c>
      <c r="G113" t="s">
        <v>3341</v>
      </c>
    </row>
    <row r="114" spans="1:7" ht="11.25" customHeight="1">
      <c r="A114" t="s">
        <v>3</v>
      </c>
      <c r="B114" t="s">
        <v>3337</v>
      </c>
      <c r="C114" t="s">
        <v>3338</v>
      </c>
      <c r="D114" t="s">
        <v>3342</v>
      </c>
      <c r="E114" t="s">
        <v>3343</v>
      </c>
      <c r="F114" t="s">
        <v>3105</v>
      </c>
      <c r="G114" t="s">
        <v>3344</v>
      </c>
    </row>
    <row r="115" spans="1:7" ht="11.25" customHeight="1">
      <c r="A115" t="s">
        <v>3</v>
      </c>
      <c r="B115" t="s">
        <v>3337</v>
      </c>
      <c r="C115" t="s">
        <v>3338</v>
      </c>
      <c r="D115" t="s">
        <v>3345</v>
      </c>
      <c r="E115" t="s">
        <v>3346</v>
      </c>
      <c r="F115" t="s">
        <v>3105</v>
      </c>
      <c r="G115" t="s">
        <v>3347</v>
      </c>
    </row>
    <row r="116" spans="1:7" ht="11.25" customHeight="1">
      <c r="A116" t="s">
        <v>3</v>
      </c>
      <c r="B116" t="s">
        <v>3337</v>
      </c>
      <c r="C116" t="s">
        <v>3338</v>
      </c>
      <c r="D116" t="s">
        <v>3348</v>
      </c>
      <c r="E116" t="s">
        <v>3349</v>
      </c>
      <c r="F116" t="s">
        <v>3105</v>
      </c>
      <c r="G116" t="s">
        <v>3350</v>
      </c>
    </row>
    <row r="117" spans="1:7" ht="11.25" customHeight="1">
      <c r="A117" t="s">
        <v>3</v>
      </c>
      <c r="B117" t="s">
        <v>3337</v>
      </c>
      <c r="C117" t="s">
        <v>3338</v>
      </c>
      <c r="D117" t="s">
        <v>3337</v>
      </c>
      <c r="E117" t="s">
        <v>3338</v>
      </c>
      <c r="F117" t="s">
        <v>3099</v>
      </c>
      <c r="G117" t="s">
        <v>3351</v>
      </c>
    </row>
    <row r="118" spans="1:7" ht="11.25" customHeight="1">
      <c r="A118" t="s">
        <v>3</v>
      </c>
      <c r="B118" t="s">
        <v>3337</v>
      </c>
      <c r="C118" t="s">
        <v>3338</v>
      </c>
      <c r="D118" t="s">
        <v>3352</v>
      </c>
      <c r="E118" t="s">
        <v>3353</v>
      </c>
      <c r="F118" t="s">
        <v>3102</v>
      </c>
      <c r="G118" t="s">
        <v>3354</v>
      </c>
    </row>
    <row r="119" spans="1:7" ht="11.25" customHeight="1">
      <c r="A119" t="s">
        <v>3</v>
      </c>
      <c r="B119" t="s">
        <v>3337</v>
      </c>
      <c r="C119" t="s">
        <v>3338</v>
      </c>
      <c r="D119" t="s">
        <v>3355</v>
      </c>
      <c r="E119" t="s">
        <v>3356</v>
      </c>
      <c r="F119" t="s">
        <v>3105</v>
      </c>
      <c r="G119" t="s">
        <v>3357</v>
      </c>
    </row>
    <row r="120" spans="1:7" ht="11.25" customHeight="1">
      <c r="A120" t="s">
        <v>3</v>
      </c>
      <c r="B120" t="s">
        <v>120</v>
      </c>
      <c r="C120" t="s">
        <v>121</v>
      </c>
      <c r="D120" t="s">
        <v>120</v>
      </c>
      <c r="E120" t="s">
        <v>121</v>
      </c>
      <c r="F120" t="s">
        <v>3096</v>
      </c>
      <c r="G120" t="s">
        <v>119</v>
      </c>
    </row>
    <row r="121" spans="1:7" ht="11.25" customHeight="1">
      <c r="A121" t="s">
        <v>3</v>
      </c>
      <c r="B121" t="s">
        <v>1073</v>
      </c>
      <c r="C121" t="s">
        <v>3358</v>
      </c>
      <c r="D121" t="s">
        <v>3359</v>
      </c>
      <c r="E121" t="s">
        <v>3360</v>
      </c>
      <c r="F121" t="s">
        <v>3105</v>
      </c>
      <c r="G121" t="s">
        <v>3361</v>
      </c>
    </row>
    <row r="122" spans="1:7" ht="11.25" customHeight="1">
      <c r="A122" t="s">
        <v>3</v>
      </c>
      <c r="B122" t="s">
        <v>1073</v>
      </c>
      <c r="C122" t="s">
        <v>3358</v>
      </c>
      <c r="D122" t="s">
        <v>3362</v>
      </c>
      <c r="E122" t="s">
        <v>3363</v>
      </c>
      <c r="F122" t="s">
        <v>3105</v>
      </c>
      <c r="G122" t="s">
        <v>3364</v>
      </c>
    </row>
    <row r="123" spans="1:7" ht="11.25" customHeight="1">
      <c r="A123" t="s">
        <v>3</v>
      </c>
      <c r="B123" t="s">
        <v>1073</v>
      </c>
      <c r="C123" t="s">
        <v>3358</v>
      </c>
      <c r="D123" t="s">
        <v>3365</v>
      </c>
      <c r="E123" t="s">
        <v>3366</v>
      </c>
      <c r="F123" t="s">
        <v>3105</v>
      </c>
      <c r="G123" t="s">
        <v>3367</v>
      </c>
    </row>
    <row r="124" spans="1:7" ht="11.25" customHeight="1">
      <c r="A124" t="s">
        <v>3</v>
      </c>
      <c r="B124" t="s">
        <v>1073</v>
      </c>
      <c r="C124" t="s">
        <v>3358</v>
      </c>
      <c r="D124" t="s">
        <v>3368</v>
      </c>
      <c r="E124" t="s">
        <v>3369</v>
      </c>
      <c r="F124" t="s">
        <v>3105</v>
      </c>
      <c r="G124" t="s">
        <v>3370</v>
      </c>
    </row>
    <row r="125" spans="1:7" ht="11.25" customHeight="1">
      <c r="A125" t="s">
        <v>3</v>
      </c>
      <c r="B125" t="s">
        <v>1073</v>
      </c>
      <c r="C125" t="s">
        <v>3358</v>
      </c>
      <c r="D125" t="s">
        <v>3371</v>
      </c>
      <c r="E125" t="s">
        <v>3372</v>
      </c>
      <c r="F125" t="s">
        <v>3105</v>
      </c>
      <c r="G125" t="s">
        <v>3373</v>
      </c>
    </row>
    <row r="126" spans="1:7" ht="11.25" customHeight="1">
      <c r="A126" t="s">
        <v>3</v>
      </c>
      <c r="B126" t="s">
        <v>1073</v>
      </c>
      <c r="C126" t="s">
        <v>3358</v>
      </c>
      <c r="D126" t="s">
        <v>3374</v>
      </c>
      <c r="E126" t="s">
        <v>3375</v>
      </c>
      <c r="F126" t="s">
        <v>3105</v>
      </c>
      <c r="G126" t="s">
        <v>3376</v>
      </c>
    </row>
    <row r="127" spans="1:7" ht="11.25" customHeight="1">
      <c r="A127" t="s">
        <v>3</v>
      </c>
      <c r="B127" t="s">
        <v>1073</v>
      </c>
      <c r="C127" t="s">
        <v>3358</v>
      </c>
      <c r="D127" t="s">
        <v>3377</v>
      </c>
      <c r="E127" t="s">
        <v>3378</v>
      </c>
      <c r="F127" t="s">
        <v>3105</v>
      </c>
      <c r="G127" t="s">
        <v>3379</v>
      </c>
    </row>
    <row r="128" spans="1:7" ht="11.25" customHeight="1">
      <c r="A128" t="s">
        <v>3</v>
      </c>
      <c r="B128" t="s">
        <v>1073</v>
      </c>
      <c r="C128" t="s">
        <v>3358</v>
      </c>
      <c r="D128" t="s">
        <v>3380</v>
      </c>
      <c r="E128" t="s">
        <v>3381</v>
      </c>
      <c r="F128" t="s">
        <v>3105</v>
      </c>
      <c r="G128" t="s">
        <v>3382</v>
      </c>
    </row>
    <row r="129" spans="1:7" ht="11.25" customHeight="1">
      <c r="A129" t="s">
        <v>3</v>
      </c>
      <c r="B129" t="s">
        <v>1073</v>
      </c>
      <c r="C129" t="s">
        <v>3358</v>
      </c>
      <c r="D129" t="s">
        <v>3383</v>
      </c>
      <c r="E129" t="s">
        <v>3384</v>
      </c>
      <c r="F129" t="s">
        <v>3105</v>
      </c>
      <c r="G129" t="s">
        <v>3385</v>
      </c>
    </row>
    <row r="130" spans="1:7" ht="11.25" customHeight="1">
      <c r="A130" t="s">
        <v>3</v>
      </c>
      <c r="B130" t="s">
        <v>1073</v>
      </c>
      <c r="C130" t="s">
        <v>3358</v>
      </c>
      <c r="D130" t="s">
        <v>3386</v>
      </c>
      <c r="E130" t="s">
        <v>3387</v>
      </c>
      <c r="F130" t="s">
        <v>3105</v>
      </c>
      <c r="G130" t="s">
        <v>3388</v>
      </c>
    </row>
    <row r="131" spans="1:7" ht="11.25" customHeight="1">
      <c r="A131" t="s">
        <v>3</v>
      </c>
      <c r="B131" t="s">
        <v>1073</v>
      </c>
      <c r="C131" t="s">
        <v>3358</v>
      </c>
      <c r="D131" t="s">
        <v>3389</v>
      </c>
      <c r="E131" t="s">
        <v>3390</v>
      </c>
      <c r="F131" t="s">
        <v>3105</v>
      </c>
      <c r="G131" t="s">
        <v>3391</v>
      </c>
    </row>
    <row r="132" spans="1:7" ht="11.25" customHeight="1">
      <c r="A132" t="s">
        <v>3</v>
      </c>
      <c r="B132" t="s">
        <v>1073</v>
      </c>
      <c r="C132" t="s">
        <v>3358</v>
      </c>
      <c r="D132" t="s">
        <v>1074</v>
      </c>
      <c r="E132" t="s">
        <v>1075</v>
      </c>
      <c r="F132" t="s">
        <v>3102</v>
      </c>
      <c r="G132" t="s">
        <v>3392</v>
      </c>
    </row>
    <row r="133" spans="1:7" ht="11.25" customHeight="1">
      <c r="A133" t="s">
        <v>3</v>
      </c>
      <c r="B133" t="s">
        <v>1073</v>
      </c>
      <c r="C133" t="s">
        <v>3358</v>
      </c>
      <c r="D133" t="s">
        <v>1073</v>
      </c>
      <c r="E133" t="s">
        <v>3358</v>
      </c>
      <c r="F133" t="s">
        <v>3099</v>
      </c>
      <c r="G133" t="s">
        <v>3393</v>
      </c>
    </row>
    <row r="134" spans="1:7" ht="11.25" customHeight="1">
      <c r="A134" t="s">
        <v>3</v>
      </c>
      <c r="B134" t="s">
        <v>1073</v>
      </c>
      <c r="C134" t="s">
        <v>3358</v>
      </c>
      <c r="D134" t="s">
        <v>3394</v>
      </c>
      <c r="E134" t="s">
        <v>3395</v>
      </c>
      <c r="F134" t="s">
        <v>3105</v>
      </c>
      <c r="G134" t="s">
        <v>3396</v>
      </c>
    </row>
    <row r="135" spans="1:7" ht="11.25" customHeight="1">
      <c r="A135" t="s">
        <v>3</v>
      </c>
      <c r="B135" t="s">
        <v>153</v>
      </c>
      <c r="C135" t="s">
        <v>154</v>
      </c>
      <c r="D135" t="s">
        <v>153</v>
      </c>
      <c r="E135" t="s">
        <v>154</v>
      </c>
      <c r="F135" t="s">
        <v>3096</v>
      </c>
      <c r="G135" t="s">
        <v>152</v>
      </c>
    </row>
    <row r="136" spans="1:7" ht="11.25" customHeight="1">
      <c r="A136" t="s">
        <v>3</v>
      </c>
      <c r="B136" t="s">
        <v>3397</v>
      </c>
      <c r="C136" t="s">
        <v>3398</v>
      </c>
      <c r="D136" t="s">
        <v>3399</v>
      </c>
      <c r="E136" t="s">
        <v>3400</v>
      </c>
      <c r="F136" t="s">
        <v>3105</v>
      </c>
      <c r="G136" t="s">
        <v>3401</v>
      </c>
    </row>
    <row r="137" spans="1:7" ht="11.25" customHeight="1">
      <c r="A137" t="s">
        <v>3</v>
      </c>
      <c r="B137" t="s">
        <v>3397</v>
      </c>
      <c r="C137" t="s">
        <v>3398</v>
      </c>
      <c r="D137" t="s">
        <v>3402</v>
      </c>
      <c r="E137" t="s">
        <v>3403</v>
      </c>
      <c r="F137" t="s">
        <v>3105</v>
      </c>
      <c r="G137" t="s">
        <v>3404</v>
      </c>
    </row>
    <row r="138" spans="1:7" ht="11.25" customHeight="1">
      <c r="A138" t="s">
        <v>3</v>
      </c>
      <c r="B138" t="s">
        <v>3397</v>
      </c>
      <c r="C138" t="s">
        <v>3398</v>
      </c>
      <c r="D138" t="s">
        <v>3405</v>
      </c>
      <c r="E138" t="s">
        <v>3406</v>
      </c>
      <c r="F138" t="s">
        <v>3105</v>
      </c>
      <c r="G138" t="s">
        <v>3407</v>
      </c>
    </row>
    <row r="139" spans="1:7" ht="11.25" customHeight="1">
      <c r="A139" t="s">
        <v>3</v>
      </c>
      <c r="B139" t="s">
        <v>3397</v>
      </c>
      <c r="C139" t="s">
        <v>3398</v>
      </c>
      <c r="D139" t="s">
        <v>3408</v>
      </c>
      <c r="E139" t="s">
        <v>3409</v>
      </c>
      <c r="F139" t="s">
        <v>3105</v>
      </c>
      <c r="G139" t="s">
        <v>3410</v>
      </c>
    </row>
    <row r="140" spans="1:7" ht="11.25" customHeight="1">
      <c r="A140" t="s">
        <v>3</v>
      </c>
      <c r="B140" t="s">
        <v>3397</v>
      </c>
      <c r="C140" t="s">
        <v>3398</v>
      </c>
      <c r="D140" t="s">
        <v>3411</v>
      </c>
      <c r="E140" t="s">
        <v>3412</v>
      </c>
      <c r="F140" t="s">
        <v>3105</v>
      </c>
      <c r="G140" t="s">
        <v>3413</v>
      </c>
    </row>
    <row r="141" spans="1:7" ht="11.25" customHeight="1">
      <c r="A141" t="s">
        <v>3</v>
      </c>
      <c r="B141" t="s">
        <v>3397</v>
      </c>
      <c r="C141" t="s">
        <v>3398</v>
      </c>
      <c r="D141" t="s">
        <v>3414</v>
      </c>
      <c r="E141" t="s">
        <v>3415</v>
      </c>
      <c r="F141" t="s">
        <v>3105</v>
      </c>
      <c r="G141" t="s">
        <v>3416</v>
      </c>
    </row>
    <row r="142" spans="1:7" ht="11.25" customHeight="1">
      <c r="A142" t="s">
        <v>3</v>
      </c>
      <c r="B142" t="s">
        <v>3397</v>
      </c>
      <c r="C142" t="s">
        <v>3398</v>
      </c>
      <c r="D142" t="s">
        <v>3417</v>
      </c>
      <c r="E142" t="s">
        <v>3418</v>
      </c>
      <c r="F142" t="s">
        <v>3105</v>
      </c>
      <c r="G142" t="s">
        <v>3419</v>
      </c>
    </row>
    <row r="143" spans="1:7" ht="11.25" customHeight="1">
      <c r="A143" t="s">
        <v>3</v>
      </c>
      <c r="B143" t="s">
        <v>3397</v>
      </c>
      <c r="C143" t="s">
        <v>3398</v>
      </c>
      <c r="D143" t="s">
        <v>3420</v>
      </c>
      <c r="E143" t="s">
        <v>3421</v>
      </c>
      <c r="F143" t="s">
        <v>3105</v>
      </c>
      <c r="G143" t="s">
        <v>3422</v>
      </c>
    </row>
    <row r="144" spans="1:7" ht="11.25" customHeight="1">
      <c r="A144" t="s">
        <v>3</v>
      </c>
      <c r="B144" t="s">
        <v>3397</v>
      </c>
      <c r="C144" t="s">
        <v>3398</v>
      </c>
      <c r="D144" t="s">
        <v>3423</v>
      </c>
      <c r="E144" t="s">
        <v>3424</v>
      </c>
      <c r="F144" t="s">
        <v>3105</v>
      </c>
      <c r="G144" t="s">
        <v>3425</v>
      </c>
    </row>
    <row r="145" spans="1:7" ht="11.25" customHeight="1">
      <c r="A145" t="s">
        <v>3</v>
      </c>
      <c r="B145" t="s">
        <v>3397</v>
      </c>
      <c r="C145" t="s">
        <v>3398</v>
      </c>
      <c r="D145" t="s">
        <v>3426</v>
      </c>
      <c r="E145" t="s">
        <v>3427</v>
      </c>
      <c r="F145" t="s">
        <v>3105</v>
      </c>
      <c r="G145" t="s">
        <v>3428</v>
      </c>
    </row>
    <row r="146" spans="1:7" ht="11.25" customHeight="1">
      <c r="A146" t="s">
        <v>3</v>
      </c>
      <c r="B146" t="s">
        <v>3397</v>
      </c>
      <c r="C146" t="s">
        <v>3398</v>
      </c>
      <c r="D146" t="s">
        <v>3429</v>
      </c>
      <c r="E146" t="s">
        <v>3430</v>
      </c>
      <c r="F146" t="s">
        <v>3105</v>
      </c>
      <c r="G146" t="s">
        <v>3431</v>
      </c>
    </row>
    <row r="147" spans="1:7" ht="11.25" customHeight="1">
      <c r="A147" t="s">
        <v>3</v>
      </c>
      <c r="B147" t="s">
        <v>3397</v>
      </c>
      <c r="C147" t="s">
        <v>3398</v>
      </c>
      <c r="D147" t="s">
        <v>3432</v>
      </c>
      <c r="E147" t="s">
        <v>3433</v>
      </c>
      <c r="F147" t="s">
        <v>3105</v>
      </c>
      <c r="G147" t="s">
        <v>3434</v>
      </c>
    </row>
    <row r="148" spans="1:7" ht="11.25" customHeight="1">
      <c r="A148" t="s">
        <v>3</v>
      </c>
      <c r="B148" t="s">
        <v>3397</v>
      </c>
      <c r="C148" t="s">
        <v>3398</v>
      </c>
      <c r="D148" t="s">
        <v>3435</v>
      </c>
      <c r="E148" t="s">
        <v>3436</v>
      </c>
      <c r="F148" t="s">
        <v>3105</v>
      </c>
      <c r="G148" t="s">
        <v>3437</v>
      </c>
    </row>
    <row r="149" spans="1:7" ht="11.25" customHeight="1">
      <c r="A149" t="s">
        <v>3</v>
      </c>
      <c r="B149" t="s">
        <v>3397</v>
      </c>
      <c r="C149" t="s">
        <v>3398</v>
      </c>
      <c r="D149" t="s">
        <v>3438</v>
      </c>
      <c r="E149" t="s">
        <v>3439</v>
      </c>
      <c r="F149" t="s">
        <v>3105</v>
      </c>
      <c r="G149" t="s">
        <v>3440</v>
      </c>
    </row>
    <row r="150" spans="1:7" ht="11.25" customHeight="1">
      <c r="A150" t="s">
        <v>3</v>
      </c>
      <c r="B150" t="s">
        <v>3397</v>
      </c>
      <c r="C150" t="s">
        <v>3398</v>
      </c>
      <c r="D150" t="s">
        <v>3441</v>
      </c>
      <c r="E150" t="s">
        <v>3442</v>
      </c>
      <c r="F150" t="s">
        <v>3105</v>
      </c>
      <c r="G150" t="s">
        <v>3443</v>
      </c>
    </row>
    <row r="151" spans="1:7" ht="11.25" customHeight="1">
      <c r="A151" t="s">
        <v>3</v>
      </c>
      <c r="B151" t="s">
        <v>3397</v>
      </c>
      <c r="C151" t="s">
        <v>3398</v>
      </c>
      <c r="D151" t="s">
        <v>3444</v>
      </c>
      <c r="E151" t="s">
        <v>3445</v>
      </c>
      <c r="F151" t="s">
        <v>3105</v>
      </c>
      <c r="G151" t="s">
        <v>3446</v>
      </c>
    </row>
    <row r="152" spans="1:7" ht="11.25" customHeight="1">
      <c r="A152" t="s">
        <v>3</v>
      </c>
      <c r="B152" t="s">
        <v>3397</v>
      </c>
      <c r="C152" t="s">
        <v>3398</v>
      </c>
      <c r="D152" t="s">
        <v>3397</v>
      </c>
      <c r="E152" t="s">
        <v>3398</v>
      </c>
      <c r="F152" t="s">
        <v>3099</v>
      </c>
      <c r="G152" t="s">
        <v>3447</v>
      </c>
    </row>
    <row r="153" spans="1:7" ht="11.25" customHeight="1">
      <c r="A153" t="s">
        <v>3</v>
      </c>
      <c r="B153" t="s">
        <v>3397</v>
      </c>
      <c r="C153" t="s">
        <v>3398</v>
      </c>
      <c r="D153" t="s">
        <v>3448</v>
      </c>
      <c r="E153" t="s">
        <v>3449</v>
      </c>
      <c r="F153" t="s">
        <v>3105</v>
      </c>
      <c r="G153" t="s">
        <v>3450</v>
      </c>
    </row>
    <row r="154" spans="1:7" ht="11.25" customHeight="1">
      <c r="A154" t="s">
        <v>3</v>
      </c>
      <c r="B154" t="s">
        <v>3397</v>
      </c>
      <c r="C154" t="s">
        <v>3398</v>
      </c>
      <c r="D154" t="s">
        <v>3451</v>
      </c>
      <c r="E154" t="s">
        <v>3452</v>
      </c>
      <c r="F154" t="s">
        <v>3105</v>
      </c>
      <c r="G154" t="s">
        <v>3453</v>
      </c>
    </row>
    <row r="155" spans="1:7" ht="11.25" customHeight="1">
      <c r="A155" t="s">
        <v>3</v>
      </c>
      <c r="B155" t="s">
        <v>3397</v>
      </c>
      <c r="C155" t="s">
        <v>3398</v>
      </c>
      <c r="D155" t="s">
        <v>3454</v>
      </c>
      <c r="E155" t="s">
        <v>3455</v>
      </c>
      <c r="F155" t="s">
        <v>3105</v>
      </c>
      <c r="G155" t="s">
        <v>3456</v>
      </c>
    </row>
    <row r="156" spans="1:7" ht="11.25" customHeight="1">
      <c r="A156" t="s">
        <v>3</v>
      </c>
      <c r="B156" t="s">
        <v>99</v>
      </c>
      <c r="C156" t="s">
        <v>100</v>
      </c>
      <c r="D156" t="s">
        <v>99</v>
      </c>
      <c r="E156" t="s">
        <v>100</v>
      </c>
      <c r="F156" t="s">
        <v>3096</v>
      </c>
      <c r="G156" t="s">
        <v>98</v>
      </c>
    </row>
    <row r="157" spans="1:7" ht="11.25" customHeight="1">
      <c r="A157" t="s">
        <v>3</v>
      </c>
      <c r="B157" t="s">
        <v>1128</v>
      </c>
      <c r="C157" t="s">
        <v>3457</v>
      </c>
      <c r="D157" t="s">
        <v>3458</v>
      </c>
      <c r="E157" t="s">
        <v>3459</v>
      </c>
      <c r="F157" t="s">
        <v>3105</v>
      </c>
      <c r="G157" t="s">
        <v>3460</v>
      </c>
    </row>
    <row r="158" spans="1:7" ht="11.25" customHeight="1">
      <c r="A158" t="s">
        <v>3</v>
      </c>
      <c r="B158" t="s">
        <v>1128</v>
      </c>
      <c r="C158" t="s">
        <v>3457</v>
      </c>
      <c r="D158" t="s">
        <v>3461</v>
      </c>
      <c r="E158" t="s">
        <v>3462</v>
      </c>
      <c r="F158" t="s">
        <v>3105</v>
      </c>
      <c r="G158" t="s">
        <v>3463</v>
      </c>
    </row>
    <row r="159" spans="1:7" ht="11.25" customHeight="1">
      <c r="A159" t="s">
        <v>3</v>
      </c>
      <c r="B159" t="s">
        <v>1128</v>
      </c>
      <c r="C159" t="s">
        <v>3457</v>
      </c>
      <c r="D159" t="s">
        <v>3464</v>
      </c>
      <c r="E159" t="s">
        <v>3465</v>
      </c>
      <c r="F159" t="s">
        <v>3105</v>
      </c>
      <c r="G159" t="s">
        <v>3466</v>
      </c>
    </row>
    <row r="160" spans="1:7" ht="11.25" customHeight="1">
      <c r="A160" t="s">
        <v>3</v>
      </c>
      <c r="B160" t="s">
        <v>1128</v>
      </c>
      <c r="C160" t="s">
        <v>3457</v>
      </c>
      <c r="D160" t="s">
        <v>3133</v>
      </c>
      <c r="E160" t="s">
        <v>3467</v>
      </c>
      <c r="F160" t="s">
        <v>3105</v>
      </c>
      <c r="G160" t="s">
        <v>3468</v>
      </c>
    </row>
    <row r="161" spans="1:7" ht="11.25" customHeight="1">
      <c r="A161" t="s">
        <v>3</v>
      </c>
      <c r="B161" t="s">
        <v>1128</v>
      </c>
      <c r="C161" t="s">
        <v>3457</v>
      </c>
      <c r="D161" t="s">
        <v>1128</v>
      </c>
      <c r="E161" t="s">
        <v>3457</v>
      </c>
      <c r="F161" t="s">
        <v>3099</v>
      </c>
      <c r="G161" t="s">
        <v>3469</v>
      </c>
    </row>
    <row r="162" spans="1:7" ht="11.25" customHeight="1">
      <c r="A162" t="s">
        <v>3</v>
      </c>
      <c r="B162" t="s">
        <v>1128</v>
      </c>
      <c r="C162" t="s">
        <v>3457</v>
      </c>
      <c r="D162" t="s">
        <v>1129</v>
      </c>
      <c r="E162" t="s">
        <v>1130</v>
      </c>
      <c r="F162" t="s">
        <v>3102</v>
      </c>
      <c r="G162" t="s">
        <v>3470</v>
      </c>
    </row>
    <row r="163" spans="1:7" ht="11.25" customHeight="1">
      <c r="A163" t="s">
        <v>3</v>
      </c>
      <c r="B163" t="s">
        <v>3471</v>
      </c>
      <c r="C163" t="s">
        <v>3472</v>
      </c>
      <c r="D163" t="s">
        <v>3471</v>
      </c>
      <c r="E163" t="s">
        <v>3472</v>
      </c>
      <c r="F163" t="s">
        <v>3096</v>
      </c>
      <c r="G163" t="s">
        <v>3473</v>
      </c>
    </row>
    <row r="164" spans="1:7" ht="11.25" customHeight="1">
      <c r="A164" t="s">
        <v>3</v>
      </c>
      <c r="B164" t="s">
        <v>3474</v>
      </c>
      <c r="C164" t="s">
        <v>3475</v>
      </c>
      <c r="D164" t="s">
        <v>3476</v>
      </c>
      <c r="E164" t="s">
        <v>3477</v>
      </c>
      <c r="F164" t="s">
        <v>3105</v>
      </c>
      <c r="G164" t="s">
        <v>3478</v>
      </c>
    </row>
    <row r="165" spans="1:7" ht="11.25" customHeight="1">
      <c r="A165" t="s">
        <v>3</v>
      </c>
      <c r="B165" t="s">
        <v>3474</v>
      </c>
      <c r="C165" t="s">
        <v>3475</v>
      </c>
      <c r="D165" t="s">
        <v>3479</v>
      </c>
      <c r="E165" t="s">
        <v>3480</v>
      </c>
      <c r="F165" t="s">
        <v>3105</v>
      </c>
      <c r="G165" t="s">
        <v>3481</v>
      </c>
    </row>
    <row r="166" spans="1:7" ht="11.25" customHeight="1">
      <c r="A166" t="s">
        <v>3</v>
      </c>
      <c r="B166" t="s">
        <v>3474</v>
      </c>
      <c r="C166" t="s">
        <v>3475</v>
      </c>
      <c r="D166" t="s">
        <v>3482</v>
      </c>
      <c r="E166" t="s">
        <v>3483</v>
      </c>
      <c r="F166" t="s">
        <v>3105</v>
      </c>
      <c r="G166" t="s">
        <v>3484</v>
      </c>
    </row>
    <row r="167" spans="1:7" ht="11.25" customHeight="1">
      <c r="A167" t="s">
        <v>3</v>
      </c>
      <c r="B167" t="s">
        <v>3474</v>
      </c>
      <c r="C167" t="s">
        <v>3475</v>
      </c>
      <c r="D167" t="s">
        <v>3474</v>
      </c>
      <c r="E167" t="s">
        <v>3475</v>
      </c>
      <c r="F167" t="s">
        <v>3099</v>
      </c>
      <c r="G167" t="s">
        <v>3485</v>
      </c>
    </row>
    <row r="168" spans="1:7" ht="11.25" customHeight="1">
      <c r="A168" t="s">
        <v>3</v>
      </c>
      <c r="B168" t="s">
        <v>3474</v>
      </c>
      <c r="C168" t="s">
        <v>3475</v>
      </c>
      <c r="D168" t="s">
        <v>3486</v>
      </c>
      <c r="E168" t="s">
        <v>3487</v>
      </c>
      <c r="F168" t="s">
        <v>3105</v>
      </c>
      <c r="G168" t="s">
        <v>3488</v>
      </c>
    </row>
    <row r="169" spans="1:7" ht="11.25" customHeight="1">
      <c r="A169" t="s">
        <v>3</v>
      </c>
      <c r="B169" t="s">
        <v>3489</v>
      </c>
      <c r="C169" t="s">
        <v>3490</v>
      </c>
      <c r="D169" t="s">
        <v>3489</v>
      </c>
      <c r="E169" t="s">
        <v>3490</v>
      </c>
      <c r="F169" t="s">
        <v>3096</v>
      </c>
      <c r="G169" t="s">
        <v>3491</v>
      </c>
    </row>
    <row r="170" spans="1:7" ht="11.25" customHeight="1">
      <c r="A170" t="s">
        <v>3</v>
      </c>
      <c r="B170" t="s">
        <v>3492</v>
      </c>
      <c r="C170" t="s">
        <v>3493</v>
      </c>
      <c r="D170" t="s">
        <v>3494</v>
      </c>
      <c r="E170" t="s">
        <v>3495</v>
      </c>
      <c r="F170" t="s">
        <v>3105</v>
      </c>
      <c r="G170" t="s">
        <v>3496</v>
      </c>
    </row>
    <row r="171" spans="1:7" ht="11.25" customHeight="1">
      <c r="A171" t="s">
        <v>3</v>
      </c>
      <c r="B171" t="s">
        <v>3492</v>
      </c>
      <c r="C171" t="s">
        <v>3493</v>
      </c>
      <c r="D171" t="s">
        <v>3497</v>
      </c>
      <c r="E171" t="s">
        <v>3498</v>
      </c>
      <c r="F171" t="s">
        <v>3105</v>
      </c>
      <c r="G171" t="s">
        <v>3499</v>
      </c>
    </row>
    <row r="172" spans="1:7" ht="11.25" customHeight="1">
      <c r="A172" t="s">
        <v>3</v>
      </c>
      <c r="B172" t="s">
        <v>3492</v>
      </c>
      <c r="C172" t="s">
        <v>3493</v>
      </c>
      <c r="D172" t="s">
        <v>3492</v>
      </c>
      <c r="E172" t="s">
        <v>3493</v>
      </c>
      <c r="F172" t="s">
        <v>3099</v>
      </c>
      <c r="G172" t="s">
        <v>3500</v>
      </c>
    </row>
    <row r="173" spans="1:7" ht="11.25" customHeight="1">
      <c r="A173" t="s">
        <v>3</v>
      </c>
      <c r="B173" t="s">
        <v>3492</v>
      </c>
      <c r="C173" t="s">
        <v>3493</v>
      </c>
      <c r="D173" t="s">
        <v>3501</v>
      </c>
      <c r="E173" t="s">
        <v>3502</v>
      </c>
      <c r="F173" t="s">
        <v>3105</v>
      </c>
      <c r="G173" t="s">
        <v>3503</v>
      </c>
    </row>
    <row r="174" spans="1:7" ht="11.25" customHeight="1">
      <c r="A174" t="s">
        <v>3</v>
      </c>
      <c r="B174" t="s">
        <v>3504</v>
      </c>
      <c r="C174" t="s">
        <v>3505</v>
      </c>
      <c r="D174" t="s">
        <v>3504</v>
      </c>
      <c r="E174" t="s">
        <v>3505</v>
      </c>
      <c r="F174" t="s">
        <v>3096</v>
      </c>
      <c r="G174" t="s">
        <v>3506</v>
      </c>
    </row>
    <row r="175" spans="1:7" ht="11.25" customHeight="1">
      <c r="A175" t="s">
        <v>3</v>
      </c>
      <c r="B175" t="s">
        <v>3507</v>
      </c>
      <c r="C175" t="s">
        <v>3508</v>
      </c>
      <c r="D175" t="s">
        <v>3509</v>
      </c>
      <c r="E175" t="s">
        <v>3510</v>
      </c>
      <c r="F175" t="s">
        <v>3105</v>
      </c>
      <c r="G175" t="s">
        <v>3511</v>
      </c>
    </row>
    <row r="176" spans="1:7" ht="11.25" customHeight="1">
      <c r="A176" t="s">
        <v>3</v>
      </c>
      <c r="B176" t="s">
        <v>3507</v>
      </c>
      <c r="C176" t="s">
        <v>3508</v>
      </c>
      <c r="D176" t="s">
        <v>3512</v>
      </c>
      <c r="E176" t="s">
        <v>3513</v>
      </c>
      <c r="F176" t="s">
        <v>3105</v>
      </c>
      <c r="G176" t="s">
        <v>3514</v>
      </c>
    </row>
    <row r="177" spans="1:7" ht="11.25" customHeight="1">
      <c r="A177" t="s">
        <v>3</v>
      </c>
      <c r="B177" t="s">
        <v>3507</v>
      </c>
      <c r="C177" t="s">
        <v>3508</v>
      </c>
      <c r="D177" t="s">
        <v>3515</v>
      </c>
      <c r="E177" t="s">
        <v>3516</v>
      </c>
      <c r="F177" t="s">
        <v>3105</v>
      </c>
      <c r="G177" t="s">
        <v>3517</v>
      </c>
    </row>
    <row r="178" spans="1:7" ht="11.25" customHeight="1">
      <c r="A178" t="s">
        <v>3</v>
      </c>
      <c r="B178" t="s">
        <v>3507</v>
      </c>
      <c r="C178" t="s">
        <v>3508</v>
      </c>
      <c r="D178" t="s">
        <v>3518</v>
      </c>
      <c r="E178" t="s">
        <v>3519</v>
      </c>
      <c r="F178" t="s">
        <v>3105</v>
      </c>
      <c r="G178" t="s">
        <v>3520</v>
      </c>
    </row>
    <row r="179" spans="1:7" ht="11.25" customHeight="1">
      <c r="A179" t="s">
        <v>3</v>
      </c>
      <c r="B179" t="s">
        <v>3507</v>
      </c>
      <c r="C179" t="s">
        <v>3508</v>
      </c>
      <c r="D179" t="s">
        <v>3521</v>
      </c>
      <c r="E179" t="s">
        <v>3522</v>
      </c>
      <c r="F179" t="s">
        <v>3105</v>
      </c>
      <c r="G179" t="s">
        <v>3523</v>
      </c>
    </row>
    <row r="180" spans="1:7" ht="11.25" customHeight="1">
      <c r="A180" t="s">
        <v>3</v>
      </c>
      <c r="B180" t="s">
        <v>3507</v>
      </c>
      <c r="C180" t="s">
        <v>3508</v>
      </c>
      <c r="D180" t="s">
        <v>3507</v>
      </c>
      <c r="E180" t="s">
        <v>3508</v>
      </c>
      <c r="F180" t="s">
        <v>3099</v>
      </c>
      <c r="G180" t="s">
        <v>3524</v>
      </c>
    </row>
    <row r="181" spans="1:7" ht="11.25" customHeight="1">
      <c r="A181" t="s">
        <v>3</v>
      </c>
      <c r="B181" t="s">
        <v>3507</v>
      </c>
      <c r="C181" t="s">
        <v>3508</v>
      </c>
      <c r="D181" t="s">
        <v>3525</v>
      </c>
      <c r="E181" t="s">
        <v>3526</v>
      </c>
      <c r="F181" t="s">
        <v>3162</v>
      </c>
      <c r="G181" t="s">
        <v>3527</v>
      </c>
    </row>
    <row r="182" spans="1:7" ht="11.25" customHeight="1">
      <c r="A182" t="s">
        <v>3</v>
      </c>
      <c r="B182" t="s">
        <v>3507</v>
      </c>
      <c r="C182" t="s">
        <v>3508</v>
      </c>
      <c r="D182" t="s">
        <v>3528</v>
      </c>
      <c r="E182" t="s">
        <v>3529</v>
      </c>
      <c r="F182" t="s">
        <v>3105</v>
      </c>
      <c r="G182" t="s">
        <v>3530</v>
      </c>
    </row>
    <row r="183" spans="1:7" ht="11.25" customHeight="1">
      <c r="A183" t="s">
        <v>3</v>
      </c>
      <c r="B183" t="s">
        <v>129</v>
      </c>
      <c r="C183" t="s">
        <v>130</v>
      </c>
      <c r="D183" t="s">
        <v>129</v>
      </c>
      <c r="E183" t="s">
        <v>130</v>
      </c>
      <c r="F183" t="s">
        <v>3096</v>
      </c>
      <c r="G183" t="s">
        <v>128</v>
      </c>
    </row>
    <row r="184" spans="1:7" ht="11.25" customHeight="1">
      <c r="A184" t="s">
        <v>3</v>
      </c>
      <c r="B184" t="s">
        <v>1114</v>
      </c>
      <c r="C184" t="s">
        <v>3531</v>
      </c>
      <c r="D184" t="s">
        <v>3532</v>
      </c>
      <c r="E184" t="s">
        <v>3533</v>
      </c>
      <c r="F184" t="s">
        <v>3105</v>
      </c>
      <c r="G184" t="s">
        <v>3534</v>
      </c>
    </row>
    <row r="185" spans="1:7" ht="11.25" customHeight="1">
      <c r="A185" t="s">
        <v>3</v>
      </c>
      <c r="B185" t="s">
        <v>1114</v>
      </c>
      <c r="C185" t="s">
        <v>3531</v>
      </c>
      <c r="D185" t="s">
        <v>3535</v>
      </c>
      <c r="E185" t="s">
        <v>3536</v>
      </c>
      <c r="F185" t="s">
        <v>3105</v>
      </c>
      <c r="G185" t="s">
        <v>3537</v>
      </c>
    </row>
    <row r="186" spans="1:7" ht="11.25" customHeight="1">
      <c r="A186" t="s">
        <v>3</v>
      </c>
      <c r="B186" t="s">
        <v>1114</v>
      </c>
      <c r="C186" t="s">
        <v>3531</v>
      </c>
      <c r="D186" t="s">
        <v>3538</v>
      </c>
      <c r="E186" t="s">
        <v>3539</v>
      </c>
      <c r="F186" t="s">
        <v>3105</v>
      </c>
      <c r="G186" t="s">
        <v>3540</v>
      </c>
    </row>
    <row r="187" spans="1:7" ht="11.25" customHeight="1">
      <c r="A187" t="s">
        <v>3</v>
      </c>
      <c r="B187" t="s">
        <v>1114</v>
      </c>
      <c r="C187" t="s">
        <v>3531</v>
      </c>
      <c r="D187" t="s">
        <v>3541</v>
      </c>
      <c r="E187" t="s">
        <v>3542</v>
      </c>
      <c r="F187" t="s">
        <v>3105</v>
      </c>
      <c r="G187" t="s">
        <v>3543</v>
      </c>
    </row>
    <row r="188" spans="1:7" ht="11.25" customHeight="1">
      <c r="A188" t="s">
        <v>3</v>
      </c>
      <c r="B188" t="s">
        <v>1114</v>
      </c>
      <c r="C188" t="s">
        <v>3531</v>
      </c>
      <c r="D188" t="s">
        <v>3544</v>
      </c>
      <c r="E188" t="s">
        <v>3545</v>
      </c>
      <c r="F188" t="s">
        <v>3105</v>
      </c>
      <c r="G188" t="s">
        <v>3546</v>
      </c>
    </row>
    <row r="189" spans="1:7" ht="11.25" customHeight="1">
      <c r="A189" t="s">
        <v>3</v>
      </c>
      <c r="B189" t="s">
        <v>1114</v>
      </c>
      <c r="C189" t="s">
        <v>3531</v>
      </c>
      <c r="D189" t="s">
        <v>1114</v>
      </c>
      <c r="E189" t="s">
        <v>3531</v>
      </c>
      <c r="F189" t="s">
        <v>3099</v>
      </c>
      <c r="G189" t="s">
        <v>3547</v>
      </c>
    </row>
    <row r="190" spans="1:7" ht="11.25" customHeight="1">
      <c r="A190" t="s">
        <v>3</v>
      </c>
      <c r="B190" t="s">
        <v>1114</v>
      </c>
      <c r="C190" t="s">
        <v>3531</v>
      </c>
      <c r="D190" t="s">
        <v>1115</v>
      </c>
      <c r="E190" t="s">
        <v>1116</v>
      </c>
      <c r="F190" t="s">
        <v>3162</v>
      </c>
      <c r="G190" t="s">
        <v>3548</v>
      </c>
    </row>
    <row r="191" spans="1:7" ht="11.25" customHeight="1">
      <c r="A191" t="s">
        <v>3</v>
      </c>
      <c r="B191" t="s">
        <v>113</v>
      </c>
      <c r="C191" t="s">
        <v>114</v>
      </c>
      <c r="D191" t="s">
        <v>113</v>
      </c>
      <c r="E191" t="s">
        <v>114</v>
      </c>
      <c r="F191" t="s">
        <v>3096</v>
      </c>
      <c r="G191" t="s">
        <v>112</v>
      </c>
    </row>
    <row r="192" spans="1:7" ht="11.25" customHeight="1">
      <c r="A192" t="s">
        <v>3</v>
      </c>
      <c r="B192" t="s">
        <v>1047</v>
      </c>
      <c r="C192" t="s">
        <v>3549</v>
      </c>
      <c r="D192" t="s">
        <v>3550</v>
      </c>
      <c r="E192" t="s">
        <v>3551</v>
      </c>
      <c r="F192" t="s">
        <v>3105</v>
      </c>
      <c r="G192" t="s">
        <v>3552</v>
      </c>
    </row>
    <row r="193" spans="1:7" ht="11.25" customHeight="1">
      <c r="A193" t="s">
        <v>3</v>
      </c>
      <c r="B193" t="s">
        <v>1047</v>
      </c>
      <c r="C193" t="s">
        <v>3549</v>
      </c>
      <c r="D193" t="s">
        <v>3553</v>
      </c>
      <c r="E193" t="s">
        <v>3554</v>
      </c>
      <c r="F193" t="s">
        <v>3105</v>
      </c>
      <c r="G193" t="s">
        <v>3555</v>
      </c>
    </row>
    <row r="194" spans="1:7" ht="11.25" customHeight="1">
      <c r="A194" t="s">
        <v>3</v>
      </c>
      <c r="B194" t="s">
        <v>1047</v>
      </c>
      <c r="C194" t="s">
        <v>3549</v>
      </c>
      <c r="D194" t="s">
        <v>3556</v>
      </c>
      <c r="E194" t="s">
        <v>3557</v>
      </c>
      <c r="F194" t="s">
        <v>3105</v>
      </c>
      <c r="G194" t="s">
        <v>3558</v>
      </c>
    </row>
    <row r="195" spans="1:7" ht="11.25" customHeight="1">
      <c r="A195" t="s">
        <v>3</v>
      </c>
      <c r="B195" t="s">
        <v>1047</v>
      </c>
      <c r="C195" t="s">
        <v>3549</v>
      </c>
      <c r="D195" t="s">
        <v>3559</v>
      </c>
      <c r="E195" t="s">
        <v>3560</v>
      </c>
      <c r="F195" t="s">
        <v>3105</v>
      </c>
      <c r="G195" t="s">
        <v>3561</v>
      </c>
    </row>
    <row r="196" spans="1:7" ht="11.25" customHeight="1">
      <c r="A196" t="s">
        <v>3</v>
      </c>
      <c r="B196" t="s">
        <v>1047</v>
      </c>
      <c r="C196" t="s">
        <v>3549</v>
      </c>
      <c r="D196" t="s">
        <v>3562</v>
      </c>
      <c r="E196" t="s">
        <v>3563</v>
      </c>
      <c r="F196" t="s">
        <v>3105</v>
      </c>
      <c r="G196" t="s">
        <v>3564</v>
      </c>
    </row>
    <row r="197" spans="1:7" ht="11.25" customHeight="1">
      <c r="A197" t="s">
        <v>3</v>
      </c>
      <c r="B197" t="s">
        <v>1047</v>
      </c>
      <c r="C197" t="s">
        <v>3549</v>
      </c>
      <c r="D197" t="s">
        <v>3565</v>
      </c>
      <c r="E197" t="s">
        <v>3566</v>
      </c>
      <c r="F197" t="s">
        <v>3105</v>
      </c>
      <c r="G197" t="s">
        <v>3567</v>
      </c>
    </row>
    <row r="198" spans="1:7" ht="11.25" customHeight="1">
      <c r="A198" t="s">
        <v>3</v>
      </c>
      <c r="B198" t="s">
        <v>1047</v>
      </c>
      <c r="C198" t="s">
        <v>3549</v>
      </c>
      <c r="D198" t="s">
        <v>3568</v>
      </c>
      <c r="E198" t="s">
        <v>3569</v>
      </c>
      <c r="F198" t="s">
        <v>3105</v>
      </c>
      <c r="G198" t="s">
        <v>3570</v>
      </c>
    </row>
    <row r="199" spans="1:7" ht="11.25" customHeight="1">
      <c r="A199" t="s">
        <v>3</v>
      </c>
      <c r="B199" t="s">
        <v>1047</v>
      </c>
      <c r="C199" t="s">
        <v>3549</v>
      </c>
      <c r="D199" t="s">
        <v>1047</v>
      </c>
      <c r="E199" t="s">
        <v>3549</v>
      </c>
      <c r="F199" t="s">
        <v>3099</v>
      </c>
      <c r="G199" t="s">
        <v>3571</v>
      </c>
    </row>
    <row r="200" spans="1:7" ht="11.25" customHeight="1">
      <c r="A200" t="s">
        <v>3</v>
      </c>
      <c r="B200" t="s">
        <v>1047</v>
      </c>
      <c r="C200" t="s">
        <v>3549</v>
      </c>
      <c r="D200" t="s">
        <v>1048</v>
      </c>
      <c r="E200" t="s">
        <v>1049</v>
      </c>
      <c r="F200" t="s">
        <v>3162</v>
      </c>
      <c r="G200" t="s">
        <v>3572</v>
      </c>
    </row>
    <row r="201" spans="1:7" ht="11.25" customHeight="1">
      <c r="A201" t="s">
        <v>3</v>
      </c>
      <c r="B201" t="s">
        <v>143</v>
      </c>
      <c r="C201" t="s">
        <v>144</v>
      </c>
      <c r="D201" t="s">
        <v>143</v>
      </c>
      <c r="E201" t="s">
        <v>144</v>
      </c>
      <c r="F201" t="s">
        <v>3096</v>
      </c>
      <c r="G201" t="s">
        <v>142</v>
      </c>
    </row>
    <row r="202" spans="1:7" ht="11.25" customHeight="1">
      <c r="A202" t="s">
        <v>3</v>
      </c>
      <c r="B202" t="s">
        <v>3573</v>
      </c>
      <c r="C202" t="s">
        <v>3574</v>
      </c>
      <c r="D202" t="s">
        <v>3575</v>
      </c>
      <c r="E202" t="s">
        <v>3576</v>
      </c>
      <c r="F202" t="s">
        <v>3105</v>
      </c>
      <c r="G202" t="s">
        <v>3577</v>
      </c>
    </row>
    <row r="203" spans="1:7" ht="11.25" customHeight="1">
      <c r="A203" t="s">
        <v>3</v>
      </c>
      <c r="B203" t="s">
        <v>3573</v>
      </c>
      <c r="C203" t="s">
        <v>3574</v>
      </c>
      <c r="D203" t="s">
        <v>3578</v>
      </c>
      <c r="E203" t="s">
        <v>3579</v>
      </c>
      <c r="F203" t="s">
        <v>3105</v>
      </c>
      <c r="G203" t="s">
        <v>3580</v>
      </c>
    </row>
    <row r="204" spans="1:7" ht="11.25" customHeight="1">
      <c r="A204" t="s">
        <v>3</v>
      </c>
      <c r="B204" t="s">
        <v>3573</v>
      </c>
      <c r="C204" t="s">
        <v>3574</v>
      </c>
      <c r="D204" t="s">
        <v>3581</v>
      </c>
      <c r="E204" t="s">
        <v>3582</v>
      </c>
      <c r="F204" t="s">
        <v>3105</v>
      </c>
      <c r="G204" t="s">
        <v>3583</v>
      </c>
    </row>
    <row r="205" spans="1:7" ht="11.25" customHeight="1">
      <c r="A205" t="s">
        <v>3</v>
      </c>
      <c r="B205" t="s">
        <v>3573</v>
      </c>
      <c r="C205" t="s">
        <v>3574</v>
      </c>
      <c r="D205" t="s">
        <v>3584</v>
      </c>
      <c r="E205" t="s">
        <v>3585</v>
      </c>
      <c r="F205" t="s">
        <v>3105</v>
      </c>
      <c r="G205" t="s">
        <v>3586</v>
      </c>
    </row>
    <row r="206" spans="1:7" ht="11.25" customHeight="1">
      <c r="A206" t="s">
        <v>3</v>
      </c>
      <c r="B206" t="s">
        <v>3573</v>
      </c>
      <c r="C206" t="s">
        <v>3574</v>
      </c>
      <c r="D206" t="s">
        <v>3587</v>
      </c>
      <c r="E206" t="s">
        <v>3588</v>
      </c>
      <c r="F206" t="s">
        <v>3105</v>
      </c>
      <c r="G206" t="s">
        <v>3589</v>
      </c>
    </row>
    <row r="207" spans="1:7" ht="11.25" customHeight="1">
      <c r="A207" t="s">
        <v>3</v>
      </c>
      <c r="B207" t="s">
        <v>3573</v>
      </c>
      <c r="C207" t="s">
        <v>3574</v>
      </c>
      <c r="D207" t="s">
        <v>3573</v>
      </c>
      <c r="E207" t="s">
        <v>3574</v>
      </c>
      <c r="F207" t="s">
        <v>3099</v>
      </c>
      <c r="G207" t="s">
        <v>3590</v>
      </c>
    </row>
    <row r="208" spans="1:7" ht="11.25" customHeight="1">
      <c r="A208" t="s">
        <v>3</v>
      </c>
      <c r="B208" t="s">
        <v>3573</v>
      </c>
      <c r="C208" t="s">
        <v>3574</v>
      </c>
      <c r="D208" t="s">
        <v>3591</v>
      </c>
      <c r="E208" t="s">
        <v>3592</v>
      </c>
      <c r="F208" t="s">
        <v>3102</v>
      </c>
      <c r="G208" t="s">
        <v>3593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478"/>
    <col min="2" max="2" width="84.28515625" style="1478" customWidth="1"/>
    <col min="3" max="3" width="9.140625" style="1478"/>
  </cols>
  <sheetData>
    <row r="1" spans="1:3" ht="11.25" customHeight="1">
      <c r="A1" s="734" t="s">
        <v>4327</v>
      </c>
      <c r="B1" s="734" t="s">
        <v>4328</v>
      </c>
      <c r="C1" s="734" t="s">
        <v>1245</v>
      </c>
    </row>
    <row r="2" spans="1:3" ht="11.25" customHeight="1">
      <c r="A2" s="734">
        <v>4189678</v>
      </c>
      <c r="B2" s="734" t="s">
        <v>4329</v>
      </c>
      <c r="C2" s="734" t="s">
        <v>4330</v>
      </c>
    </row>
    <row r="3" spans="1:3" ht="11.25" customHeight="1">
      <c r="A3" s="734">
        <v>4190415</v>
      </c>
      <c r="B3" s="734" t="s">
        <v>4331</v>
      </c>
      <c r="C3" s="734" t="s">
        <v>4330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6" customWidth="1"/>
    <col min="2" max="5" width="9.140625" style="96"/>
  </cols>
  <sheetData>
    <row r="1" spans="1:5" ht="15" customHeight="1">
      <c r="A1" s="97" t="s">
        <v>4332</v>
      </c>
      <c r="B1" s="97" t="s">
        <v>4333</v>
      </c>
      <c r="C1" s="97"/>
      <c r="D1" s="97"/>
      <c r="E1" s="97"/>
    </row>
    <row r="2" spans="1:5" ht="15" customHeight="1">
      <c r="A2" s="97"/>
      <c r="B2" s="97"/>
      <c r="C2" s="97"/>
      <c r="D2" s="97"/>
      <c r="E2" s="97"/>
    </row>
    <row r="3" spans="1:5" ht="15" customHeight="1">
      <c r="A3" s="97"/>
      <c r="B3" s="97"/>
      <c r="C3" s="97"/>
      <c r="D3" s="97"/>
      <c r="E3" s="97"/>
    </row>
    <row r="4" spans="1:5" ht="15" customHeight="1">
      <c r="A4" s="97"/>
      <c r="B4" s="97"/>
      <c r="C4" s="97"/>
      <c r="D4" s="97"/>
      <c r="E4" s="97"/>
    </row>
    <row r="5" spans="1:5" ht="15" customHeight="1">
      <c r="A5" s="97"/>
      <c r="B5" s="97"/>
      <c r="C5" s="97"/>
      <c r="D5" s="97"/>
      <c r="E5" s="97"/>
    </row>
    <row r="6" spans="1:5" ht="15" customHeight="1">
      <c r="A6" s="97"/>
      <c r="B6" s="97"/>
      <c r="C6" s="97"/>
      <c r="D6" s="97"/>
      <c r="E6" s="97"/>
    </row>
    <row r="7" spans="1:5" ht="15" customHeight="1">
      <c r="A7" s="97"/>
      <c r="B7" s="97"/>
      <c r="C7" s="97"/>
      <c r="D7" s="97"/>
      <c r="E7" s="97"/>
    </row>
    <row r="8" spans="1:5" ht="15" customHeight="1">
      <c r="A8" s="97"/>
      <c r="B8" s="97"/>
      <c r="C8" s="97"/>
      <c r="D8" s="97"/>
      <c r="E8" s="97"/>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420" hidden="1" customWidth="1"/>
    <col min="2" max="2" width="9.140625" style="1423" hidden="1" customWidth="1"/>
    <col min="3" max="3" width="3" style="1598" customWidth="1"/>
    <col min="4" max="4" width="5" style="1423" customWidth="1"/>
    <col min="5" max="5" width="38" style="1423" customWidth="1"/>
    <col min="6" max="7" width="3" style="1423" customWidth="1"/>
    <col min="8" max="8" width="38" style="1423" customWidth="1"/>
    <col min="9" max="9" width="35" style="1423" customWidth="1"/>
    <col min="10" max="10" width="103" style="1423" customWidth="1"/>
    <col min="11" max="11" width="3" style="1578" customWidth="1"/>
    <col min="12" max="14" width="10" style="1430" customWidth="1"/>
    <col min="15" max="15" width="13" style="1430" customWidth="1"/>
    <col min="16" max="16" width="15" style="1430" customWidth="1"/>
    <col min="17" max="17" width="16" style="1430" customWidth="1"/>
    <col min="18" max="21" width="10" style="1430" customWidth="1"/>
    <col min="22" max="22" width="10.5703125" style="1423" hidden="1"/>
  </cols>
  <sheetData>
    <row r="1" spans="1:22" ht="22.5" hidden="1" customHeight="1">
      <c r="E1" s="345"/>
      <c r="F1" s="345"/>
      <c r="G1" s="345"/>
      <c r="H1" s="2254" t="s">
        <v>436</v>
      </c>
      <c r="I1" s="2254"/>
      <c r="V1" s="1395" t="s">
        <v>1</v>
      </c>
    </row>
    <row r="2" spans="1:22" s="1423" customFormat="1" ht="14.25" hidden="1" customHeight="1">
      <c r="C2" s="1407"/>
      <c r="D2" s="2377" t="s">
        <v>161</v>
      </c>
      <c r="E2" s="2379"/>
      <c r="F2" s="1413"/>
      <c r="G2" s="1408" t="s">
        <v>161</v>
      </c>
      <c r="H2" s="1411"/>
      <c r="I2" s="1409"/>
      <c r="L2" s="1410"/>
      <c r="M2" s="1410"/>
      <c r="N2" s="1410"/>
      <c r="O2" s="1410" t="s">
        <v>466</v>
      </c>
      <c r="P2" s="1410"/>
      <c r="Q2" s="1410"/>
      <c r="R2" s="1412" t="s">
        <v>465</v>
      </c>
      <c r="S2" s="1412" t="s">
        <v>465</v>
      </c>
      <c r="T2" s="1410"/>
      <c r="U2" s="1410"/>
      <c r="V2" s="1406">
        <v>0</v>
      </c>
    </row>
    <row r="3" spans="1:22" s="1423" customFormat="1" ht="14.25" hidden="1" customHeight="1">
      <c r="C3" s="1407"/>
      <c r="D3" s="2378"/>
      <c r="E3" s="2380"/>
      <c r="F3" s="338"/>
      <c r="G3" s="768"/>
      <c r="H3" s="768" t="s">
        <v>467</v>
      </c>
      <c r="I3" s="247"/>
      <c r="L3" s="1410"/>
      <c r="M3" s="1410"/>
      <c r="N3" s="1410"/>
      <c r="O3" s="1410"/>
      <c r="P3" s="1410"/>
      <c r="Q3" s="1410"/>
      <c r="R3" s="1412"/>
      <c r="S3" s="1412"/>
      <c r="T3" s="1410"/>
      <c r="U3" s="1410"/>
      <c r="V3" s="1406">
        <v>0</v>
      </c>
    </row>
    <row r="4" spans="1:22" ht="14.25" hidden="1" customHeight="1">
      <c r="V4" s="1395">
        <v>0</v>
      </c>
    </row>
    <row r="5" spans="1:22" s="1401" customFormat="1" ht="5.25" customHeight="1">
      <c r="C5" s="622"/>
      <c r="D5" s="623"/>
      <c r="E5" s="623"/>
      <c r="F5" s="623"/>
      <c r="G5" s="623"/>
      <c r="H5" s="623" t="s">
        <v>440</v>
      </c>
      <c r="I5" s="623"/>
      <c r="J5" s="623"/>
      <c r="L5" s="1402"/>
      <c r="M5" s="1402"/>
      <c r="N5" s="1402"/>
      <c r="O5" s="1402"/>
      <c r="P5" s="1402"/>
      <c r="Q5" s="1402"/>
      <c r="R5" s="1402"/>
      <c r="S5" s="1402"/>
      <c r="T5" s="1402"/>
      <c r="U5" s="1402"/>
      <c r="V5" s="1401">
        <v>5</v>
      </c>
    </row>
    <row r="6" spans="1:22" ht="29.25" customHeight="1">
      <c r="C6" s="1304"/>
      <c r="D6" s="2376" t="s">
        <v>468</v>
      </c>
      <c r="E6" s="2376"/>
      <c r="F6" s="2376"/>
      <c r="G6" s="2376"/>
      <c r="H6" s="2376"/>
      <c r="I6" s="2376"/>
      <c r="J6" s="424"/>
      <c r="K6" s="1403"/>
      <c r="V6" s="1395">
        <v>28</v>
      </c>
    </row>
    <row r="7" spans="1:22" ht="18" customHeight="1">
      <c r="C7" s="1304"/>
      <c r="D7" s="2349" t="str">
        <f>IF(org=0,"Не определено",org)</f>
        <v>ООО "Смоленскрегионтеплоэнерго"</v>
      </c>
      <c r="E7" s="2349"/>
      <c r="F7" s="2349"/>
      <c r="G7" s="2349"/>
      <c r="H7" s="2349"/>
      <c r="I7" s="2349"/>
      <c r="J7" s="424"/>
      <c r="K7" s="1403"/>
      <c r="V7" s="1395">
        <v>17</v>
      </c>
    </row>
    <row r="8" spans="1:22" s="1400" customFormat="1" ht="5.25" customHeight="1">
      <c r="A8" s="1399"/>
      <c r="C8" s="419"/>
      <c r="D8" s="418"/>
      <c r="E8" s="418"/>
      <c r="F8" s="418"/>
      <c r="G8" s="418"/>
      <c r="H8" s="418"/>
      <c r="I8" s="418"/>
      <c r="J8" s="418"/>
      <c r="L8" s="1402"/>
      <c r="M8" s="1402"/>
      <c r="N8" s="1402"/>
      <c r="O8" s="1402"/>
      <c r="P8" s="1402"/>
      <c r="Q8" s="1402"/>
      <c r="R8" s="1402"/>
      <c r="S8" s="1402"/>
      <c r="T8" s="1402"/>
      <c r="U8" s="1402"/>
      <c r="V8" s="1400">
        <v>5</v>
      </c>
    </row>
    <row r="9" spans="1:22" s="1400" customFormat="1" ht="5.25" customHeight="1">
      <c r="A9" s="1399"/>
      <c r="C9" s="419"/>
      <c r="D9" s="418"/>
      <c r="E9" s="418"/>
      <c r="F9" s="418"/>
      <c r="G9" s="418"/>
      <c r="H9" s="418"/>
      <c r="I9" s="418"/>
      <c r="J9" s="418"/>
      <c r="L9" s="1410"/>
      <c r="M9" s="1410"/>
      <c r="N9" s="1410"/>
      <c r="O9" s="1410"/>
      <c r="P9" s="1410"/>
      <c r="Q9" s="1410"/>
      <c r="R9" s="1410"/>
      <c r="S9" s="1410"/>
      <c r="T9" s="1410"/>
      <c r="U9" s="1410"/>
      <c r="V9" s="1400">
        <v>5</v>
      </c>
    </row>
    <row r="10" spans="1:22" ht="14.65" customHeight="1">
      <c r="C10" s="1304"/>
      <c r="D10" s="2362" t="s">
        <v>384</v>
      </c>
      <c r="E10" s="2374"/>
      <c r="F10" s="2374"/>
      <c r="G10" s="2374"/>
      <c r="H10" s="2374"/>
      <c r="I10" s="2374"/>
      <c r="J10" s="2325" t="s">
        <v>385</v>
      </c>
      <c r="V10" s="1395">
        <v>14</v>
      </c>
    </row>
    <row r="11" spans="1:22" ht="27.4" customHeight="1">
      <c r="C11" s="1304"/>
      <c r="D11" s="2266" t="s">
        <v>75</v>
      </c>
      <c r="E11" s="2325" t="s">
        <v>157</v>
      </c>
      <c r="F11" s="2328" t="s">
        <v>75</v>
      </c>
      <c r="G11" s="2329"/>
      <c r="H11" s="2327" t="s">
        <v>469</v>
      </c>
      <c r="I11" s="2327" t="s">
        <v>470</v>
      </c>
      <c r="J11" s="2325"/>
      <c r="V11" s="1395">
        <v>26</v>
      </c>
    </row>
    <row r="12" spans="1:22" ht="14.65" customHeight="1">
      <c r="C12" s="1304"/>
      <c r="D12" s="2266"/>
      <c r="E12" s="2325"/>
      <c r="F12" s="2333"/>
      <c r="G12" s="2334"/>
      <c r="H12" s="2381"/>
      <c r="I12" s="2381"/>
      <c r="J12" s="2325"/>
      <c r="V12" s="1395">
        <v>14</v>
      </c>
    </row>
    <row r="13" spans="1:22" s="1429" customFormat="1" ht="11.25" hidden="1" customHeight="1">
      <c r="C13" s="431"/>
      <c r="D13" s="432" t="s">
        <v>460</v>
      </c>
      <c r="E13" s="432"/>
      <c r="F13" s="432"/>
      <c r="G13" s="432"/>
      <c r="H13" s="430"/>
      <c r="I13" s="430"/>
      <c r="J13" s="368"/>
      <c r="L13" s="1402"/>
      <c r="M13" s="1402"/>
      <c r="N13" s="1402"/>
      <c r="O13" s="1402"/>
      <c r="P13" s="1402"/>
      <c r="Q13" s="1402"/>
      <c r="R13" s="1402"/>
      <c r="S13" s="1402"/>
      <c r="T13" s="1402"/>
      <c r="U13" s="1402"/>
      <c r="V13" s="429">
        <v>0</v>
      </c>
    </row>
    <row r="14" spans="1:22" ht="14.65" customHeight="1">
      <c r="A14" s="1395"/>
      <c r="C14" s="1304"/>
      <c r="D14" s="2377" t="s">
        <v>161</v>
      </c>
      <c r="E14" s="2379"/>
      <c r="F14" s="1405"/>
      <c r="G14" s="1404" t="s">
        <v>161</v>
      </c>
      <c r="H14" s="1411"/>
      <c r="I14" s="1409"/>
      <c r="J14" s="2312" t="s">
        <v>471</v>
      </c>
      <c r="K14" s="1395"/>
      <c r="R14" s="433" t="s">
        <v>465</v>
      </c>
      <c r="S14" s="433" t="s">
        <v>465</v>
      </c>
      <c r="V14" s="1395">
        <v>14</v>
      </c>
    </row>
    <row r="15" spans="1:22" ht="14.65" customHeight="1">
      <c r="A15" s="1395"/>
      <c r="C15" s="1304"/>
      <c r="D15" s="2378"/>
      <c r="E15" s="2380"/>
      <c r="F15" s="338"/>
      <c r="G15" s="768"/>
      <c r="H15" s="768" t="s">
        <v>467</v>
      </c>
      <c r="I15" s="247"/>
      <c r="J15" s="2313"/>
      <c r="K15" s="1395"/>
      <c r="R15" s="433"/>
      <c r="S15" s="433"/>
      <c r="V15" s="1395">
        <v>14</v>
      </c>
    </row>
    <row r="16" spans="1:22" ht="14.65" customHeight="1">
      <c r="A16" s="1395"/>
      <c r="C16" s="1304"/>
      <c r="D16" s="338"/>
      <c r="E16" s="768" t="s">
        <v>212</v>
      </c>
      <c r="F16" s="247"/>
      <c r="G16" s="247"/>
      <c r="H16" s="339"/>
      <c r="I16" s="339"/>
      <c r="J16" s="2314"/>
      <c r="K16" s="1395"/>
      <c r="V16" s="1395">
        <v>14</v>
      </c>
    </row>
    <row r="17" spans="1:22" ht="14.65" customHeight="1">
      <c r="K17" s="1395"/>
      <c r="V17" s="1395">
        <v>14</v>
      </c>
    </row>
    <row r="18" spans="1:22" ht="22.5" hidden="1" customHeight="1">
      <c r="A18" s="1396" t="s">
        <v>69</v>
      </c>
      <c r="B18" s="1395">
        <v>0</v>
      </c>
      <c r="C18" s="384">
        <v>3</v>
      </c>
      <c r="D18" s="1395">
        <v>5</v>
      </c>
      <c r="E18" s="1395">
        <v>38</v>
      </c>
      <c r="F18" s="1395">
        <v>3</v>
      </c>
      <c r="G18" s="1395">
        <v>3</v>
      </c>
      <c r="H18" s="1395">
        <v>38</v>
      </c>
      <c r="I18" s="1395">
        <v>35</v>
      </c>
      <c r="J18" s="1395">
        <v>103</v>
      </c>
      <c r="K18" s="1397">
        <v>3</v>
      </c>
      <c r="L18" s="1402">
        <v>10</v>
      </c>
      <c r="M18" s="1402">
        <v>10</v>
      </c>
      <c r="N18" s="1402">
        <v>10</v>
      </c>
      <c r="O18" s="1402">
        <v>13</v>
      </c>
      <c r="P18" s="1402">
        <v>15</v>
      </c>
      <c r="Q18" s="1402">
        <v>16</v>
      </c>
      <c r="R18" s="1402">
        <v>10</v>
      </c>
      <c r="S18" s="1402">
        <v>10</v>
      </c>
      <c r="T18" s="1402">
        <v>10</v>
      </c>
      <c r="U18" s="1402">
        <v>10</v>
      </c>
      <c r="V18" s="139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4334</v>
      </c>
      <c r="B1" t="b">
        <v>1</v>
      </c>
    </row>
    <row r="2" spans="1:2" ht="11.25" customHeight="1">
      <c r="A2" t="s">
        <v>4335</v>
      </c>
      <c r="B2" t="b">
        <v>0</v>
      </c>
    </row>
    <row r="3" spans="1:2" ht="11.25" customHeight="1">
      <c r="A3" t="s">
        <v>4336</v>
      </c>
      <c r="B3" t="b">
        <v>1</v>
      </c>
    </row>
    <row r="4" spans="1:2" ht="11.25" customHeight="1">
      <c r="A4" t="s">
        <v>4337</v>
      </c>
      <c r="B4" t="b">
        <v>0</v>
      </c>
    </row>
    <row r="5" spans="1:2" ht="11.25" customHeight="1">
      <c r="A5" t="s">
        <v>4338</v>
      </c>
      <c r="B5" t="b">
        <v>0</v>
      </c>
    </row>
    <row r="6" spans="1:2" ht="11.25" customHeight="1">
      <c r="A6" t="s">
        <v>4339</v>
      </c>
      <c r="B6" t="b">
        <v>0</v>
      </c>
    </row>
    <row r="7" spans="1:2" ht="11.25" customHeight="1">
      <c r="A7" t="s">
        <v>4340</v>
      </c>
      <c r="B7" t="b">
        <v>0</v>
      </c>
    </row>
    <row r="8" spans="1:2" ht="11.25" customHeight="1">
      <c r="A8" t="s">
        <v>4341</v>
      </c>
      <c r="B8" t="b">
        <v>0</v>
      </c>
    </row>
    <row r="9" spans="1:2" ht="11.25" customHeight="1">
      <c r="A9" t="s">
        <v>4342</v>
      </c>
      <c r="B9" t="b">
        <v>0</v>
      </c>
    </row>
    <row r="10" spans="1:2" ht="11.25" customHeight="1">
      <c r="A10" t="s">
        <v>4343</v>
      </c>
      <c r="B10" t="b">
        <v>1</v>
      </c>
    </row>
    <row r="11" spans="1:2" ht="11.25" customHeight="1">
      <c r="A11" t="s">
        <v>4344</v>
      </c>
      <c r="B11" t="b">
        <v>0</v>
      </c>
    </row>
    <row r="12" spans="1:2" ht="11.25" customHeight="1">
      <c r="A12" t="s">
        <v>4345</v>
      </c>
      <c r="B12" t="b">
        <v>0</v>
      </c>
    </row>
    <row r="13" spans="1:2" ht="11.25" customHeight="1">
      <c r="A13" t="s">
        <v>4346</v>
      </c>
      <c r="B13" t="b">
        <v>0</v>
      </c>
    </row>
    <row r="14" spans="1:2" ht="11.25" customHeight="1">
      <c r="A14" t="s">
        <v>4347</v>
      </c>
      <c r="B14" t="b">
        <v>0</v>
      </c>
    </row>
    <row r="15" spans="1:2" ht="11.25" customHeight="1">
      <c r="A15" t="s">
        <v>4348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245"/>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606" customWidth="1"/>
    <col min="2" max="2" width="21.140625" style="1606" customWidth="1"/>
  </cols>
  <sheetData>
    <row r="1" spans="1:2" ht="11.25" customHeight="1">
      <c r="A1" s="5" t="s">
        <v>4349</v>
      </c>
      <c r="B1" s="5" t="s">
        <v>4350</v>
      </c>
    </row>
    <row r="2" spans="1:2" ht="11.25" customHeight="1">
      <c r="A2" s="3" t="s">
        <v>4351</v>
      </c>
      <c r="B2" s="3" t="s">
        <v>4352</v>
      </c>
    </row>
    <row r="3" spans="1:2" ht="11.25" customHeight="1">
      <c r="A3" s="3" t="s">
        <v>4353</v>
      </c>
      <c r="B3" s="3" t="s">
        <v>4354</v>
      </c>
    </row>
    <row r="4" spans="1:2" ht="11.25" customHeight="1">
      <c r="A4" s="3" t="s">
        <v>4355</v>
      </c>
      <c r="B4" s="3" t="s">
        <v>4356</v>
      </c>
    </row>
    <row r="5" spans="1:2" ht="11.25" customHeight="1">
      <c r="A5" s="3" t="s">
        <v>4357</v>
      </c>
      <c r="B5" s="3" t="s">
        <v>4358</v>
      </c>
    </row>
    <row r="6" spans="1:2" ht="11.25" customHeight="1">
      <c r="A6" s="3" t="s">
        <v>4359</v>
      </c>
      <c r="B6" s="3" t="s">
        <v>4360</v>
      </c>
    </row>
    <row r="7" spans="1:2" ht="11.25" customHeight="1">
      <c r="A7" s="3" t="s">
        <v>4361</v>
      </c>
      <c r="B7" s="3" t="s">
        <v>4362</v>
      </c>
    </row>
    <row r="8" spans="1:2" ht="11.25" customHeight="1">
      <c r="A8" s="3" t="s">
        <v>4363</v>
      </c>
      <c r="B8" s="3" t="s">
        <v>4364</v>
      </c>
    </row>
    <row r="9" spans="1:2" ht="11.25" customHeight="1">
      <c r="A9" s="3" t="s">
        <v>4365</v>
      </c>
      <c r="B9" s="3" t="s">
        <v>4366</v>
      </c>
    </row>
    <row r="10" spans="1:2" ht="11.25" customHeight="1">
      <c r="A10" s="3" t="s">
        <v>4367</v>
      </c>
      <c r="B10" s="3" t="s">
        <v>4368</v>
      </c>
    </row>
    <row r="11" spans="1:2" ht="11.25" customHeight="1">
      <c r="A11" s="3" t="s">
        <v>4369</v>
      </c>
      <c r="B11" s="3" t="s">
        <v>4370</v>
      </c>
    </row>
    <row r="12" spans="1:2" ht="11.25" customHeight="1">
      <c r="A12" s="3" t="s">
        <v>4371</v>
      </c>
      <c r="B12" s="3" t="s">
        <v>4372</v>
      </c>
    </row>
    <row r="13" spans="1:2" ht="11.25" customHeight="1">
      <c r="A13" s="3" t="s">
        <v>4373</v>
      </c>
      <c r="B13" s="3" t="s">
        <v>4374</v>
      </c>
    </row>
    <row r="14" spans="1:2" ht="11.25" customHeight="1">
      <c r="A14" s="3" t="s">
        <v>4375</v>
      </c>
      <c r="B14" s="3" t="s">
        <v>4376</v>
      </c>
    </row>
    <row r="15" spans="1:2" ht="11.25" customHeight="1">
      <c r="A15" s="3" t="s">
        <v>4377</v>
      </c>
      <c r="B15" s="3" t="s">
        <v>4378</v>
      </c>
    </row>
    <row r="16" spans="1:2" ht="11.25" customHeight="1">
      <c r="A16" s="3" t="s">
        <v>4379</v>
      </c>
      <c r="B16" s="3" t="s">
        <v>4380</v>
      </c>
    </row>
    <row r="17" spans="1:2" ht="11.25" customHeight="1">
      <c r="A17" s="3" t="s">
        <v>4381</v>
      </c>
      <c r="B17" s="3" t="s">
        <v>4382</v>
      </c>
    </row>
    <row r="18" spans="1:2" ht="11.25" customHeight="1">
      <c r="A18" s="3" t="s">
        <v>4383</v>
      </c>
      <c r="B18" s="3" t="s">
        <v>4384</v>
      </c>
    </row>
    <row r="19" spans="1:2" ht="11.25" customHeight="1">
      <c r="A19" s="3" t="s">
        <v>4385</v>
      </c>
      <c r="B19" s="3" t="s">
        <v>4386</v>
      </c>
    </row>
    <row r="20" spans="1:2" ht="11.25" customHeight="1">
      <c r="A20" s="3" t="s">
        <v>4387</v>
      </c>
      <c r="B20" s="3" t="s">
        <v>4388</v>
      </c>
    </row>
    <row r="21" spans="1:2" ht="11.25" customHeight="1">
      <c r="A21" s="3" t="s">
        <v>4389</v>
      </c>
      <c r="B21" s="3" t="s">
        <v>4390</v>
      </c>
    </row>
    <row r="22" spans="1:2" ht="11.25" customHeight="1">
      <c r="A22" s="3" t="s">
        <v>4391</v>
      </c>
      <c r="B22" s="3" t="s">
        <v>4392</v>
      </c>
    </row>
    <row r="23" spans="1:2" ht="11.25" customHeight="1">
      <c r="A23" s="3" t="s">
        <v>4393</v>
      </c>
      <c r="B23" s="3" t="s">
        <v>4394</v>
      </c>
    </row>
    <row r="24" spans="1:2" ht="11.25" customHeight="1">
      <c r="A24" s="3" t="s">
        <v>4395</v>
      </c>
      <c r="B24" s="3" t="s">
        <v>4396</v>
      </c>
    </row>
    <row r="25" spans="1:2" ht="11.25" customHeight="1">
      <c r="A25" s="3" t="s">
        <v>4397</v>
      </c>
      <c r="B25" s="3" t="s">
        <v>4398</v>
      </c>
    </row>
    <row r="26" spans="1:2" ht="11.25" customHeight="1">
      <c r="A26" s="3" t="s">
        <v>4399</v>
      </c>
      <c r="B26" s="3" t="s">
        <v>4400</v>
      </c>
    </row>
    <row r="27" spans="1:2" ht="11.25" customHeight="1">
      <c r="A27" s="3" t="s">
        <v>4401</v>
      </c>
      <c r="B27" s="3" t="s">
        <v>4402</v>
      </c>
    </row>
    <row r="28" spans="1:2" ht="11.25" customHeight="1">
      <c r="A28" s="3" t="s">
        <v>4403</v>
      </c>
      <c r="B28" s="3" t="s">
        <v>4404</v>
      </c>
    </row>
    <row r="29" spans="1:2" ht="11.25" customHeight="1">
      <c r="A29" s="3" t="s">
        <v>4405</v>
      </c>
      <c r="B29" s="3" t="s">
        <v>4406</v>
      </c>
    </row>
    <row r="30" spans="1:2" ht="11.25" customHeight="1">
      <c r="A30" s="3" t="s">
        <v>4407</v>
      </c>
      <c r="B30" s="3" t="s">
        <v>4408</v>
      </c>
    </row>
    <row r="31" spans="1:2" ht="11.25" customHeight="1">
      <c r="A31" s="3" t="s">
        <v>4409</v>
      </c>
      <c r="B31" s="3" t="s">
        <v>4410</v>
      </c>
    </row>
    <row r="32" spans="1:2" ht="11.25" customHeight="1">
      <c r="A32" s="3" t="s">
        <v>4411</v>
      </c>
      <c r="B32" s="3" t="s">
        <v>4412</v>
      </c>
    </row>
    <row r="33" spans="1:2" ht="11.25" customHeight="1">
      <c r="A33" s="3" t="s">
        <v>4413</v>
      </c>
      <c r="B33" s="3" t="s">
        <v>4414</v>
      </c>
    </row>
    <row r="34" spans="1:2" ht="11.25" customHeight="1">
      <c r="A34" s="3" t="s">
        <v>4415</v>
      </c>
      <c r="B34" s="3" t="s">
        <v>4416</v>
      </c>
    </row>
    <row r="35" spans="1:2" ht="11.25" customHeight="1">
      <c r="A35" s="3" t="s">
        <v>4417</v>
      </c>
      <c r="B35" s="3" t="s">
        <v>4418</v>
      </c>
    </row>
    <row r="36" spans="1:2" ht="11.25" customHeight="1">
      <c r="A36" s="3" t="s">
        <v>4419</v>
      </c>
      <c r="B36" s="3" t="s">
        <v>4420</v>
      </c>
    </row>
    <row r="37" spans="1:2" ht="11.25" customHeight="1">
      <c r="A37" s="3" t="s">
        <v>4421</v>
      </c>
      <c r="B37" s="3" t="s">
        <v>4422</v>
      </c>
    </row>
    <row r="38" spans="1:2" ht="11.25" customHeight="1">
      <c r="A38" s="3" t="s">
        <v>4423</v>
      </c>
      <c r="B38" s="3" t="s">
        <v>4424</v>
      </c>
    </row>
    <row r="39" spans="1:2" ht="11.25" customHeight="1">
      <c r="A39" s="3" t="s">
        <v>4425</v>
      </c>
      <c r="B39" s="3" t="s">
        <v>4426</v>
      </c>
    </row>
    <row r="40" spans="1:2" ht="11.25" customHeight="1">
      <c r="A40" s="3" t="s">
        <v>4427</v>
      </c>
      <c r="B40" s="3" t="s">
        <v>4428</v>
      </c>
    </row>
    <row r="41" spans="1:2" ht="11.25" customHeight="1">
      <c r="A41" s="3" t="s">
        <v>4429</v>
      </c>
      <c r="B41" s="3" t="s">
        <v>4430</v>
      </c>
    </row>
    <row r="42" spans="1:2" ht="11.25" customHeight="1">
      <c r="A42" s="3" t="s">
        <v>4431</v>
      </c>
      <c r="B42" s="3" t="s">
        <v>4432</v>
      </c>
    </row>
    <row r="43" spans="1:2" ht="11.25" customHeight="1">
      <c r="A43" s="3" t="s">
        <v>4433</v>
      </c>
      <c r="B43" s="3" t="s">
        <v>4434</v>
      </c>
    </row>
    <row r="44" spans="1:2" ht="11.25" customHeight="1">
      <c r="A44" s="3" t="s">
        <v>4435</v>
      </c>
      <c r="B44" s="3" t="s">
        <v>4436</v>
      </c>
    </row>
    <row r="45" spans="1:2" ht="11.25" customHeight="1">
      <c r="A45" s="3" t="s">
        <v>4437</v>
      </c>
      <c r="B45" s="3" t="s">
        <v>4438</v>
      </c>
    </row>
    <row r="46" spans="1:2" ht="11.25" customHeight="1">
      <c r="A46" s="3" t="s">
        <v>4439</v>
      </c>
      <c r="B46" s="3" t="s">
        <v>4440</v>
      </c>
    </row>
    <row r="47" spans="1:2" ht="11.25" customHeight="1">
      <c r="A47" s="3" t="s">
        <v>4441</v>
      </c>
      <c r="B47" s="3" t="s">
        <v>4442</v>
      </c>
    </row>
    <row r="48" spans="1:2" ht="11.25" customHeight="1">
      <c r="A48" s="3" t="s">
        <v>4443</v>
      </c>
      <c r="B48" s="3" t="s">
        <v>4444</v>
      </c>
    </row>
    <row r="49" spans="1:2" ht="11.25" customHeight="1">
      <c r="A49" s="3" t="s">
        <v>4445</v>
      </c>
      <c r="B49" s="3" t="s">
        <v>4446</v>
      </c>
    </row>
    <row r="50" spans="1:2" ht="11.25" customHeight="1">
      <c r="A50" s="3" t="s">
        <v>4447</v>
      </c>
      <c r="B50" s="3" t="s">
        <v>4448</v>
      </c>
    </row>
    <row r="51" spans="1:2" ht="11.25" customHeight="1">
      <c r="A51" s="3" t="s">
        <v>4449</v>
      </c>
      <c r="B51" s="3" t="s">
        <v>4450</v>
      </c>
    </row>
    <row r="52" spans="1:2" ht="11.25" customHeight="1">
      <c r="A52" s="3" t="s">
        <v>4451</v>
      </c>
      <c r="B52" s="3" t="s">
        <v>4452</v>
      </c>
    </row>
    <row r="53" spans="1:2" ht="11.25" customHeight="1">
      <c r="A53" s="3" t="s">
        <v>4453</v>
      </c>
      <c r="B53" s="3" t="s">
        <v>4454</v>
      </c>
    </row>
    <row r="54" spans="1:2" ht="11.25" customHeight="1">
      <c r="A54" s="3" t="s">
        <v>4455</v>
      </c>
      <c r="B54" s="3" t="s">
        <v>4456</v>
      </c>
    </row>
    <row r="55" spans="1:2" ht="11.25" customHeight="1">
      <c r="A55" s="3" t="s">
        <v>4457</v>
      </c>
      <c r="B55" s="3" t="s">
        <v>4458</v>
      </c>
    </row>
    <row r="56" spans="1:2" ht="11.25" customHeight="1">
      <c r="A56" s="3" t="s">
        <v>4459</v>
      </c>
      <c r="B56" s="3" t="s">
        <v>4460</v>
      </c>
    </row>
    <row r="57" spans="1:2" ht="11.25" customHeight="1">
      <c r="A57" s="3" t="s">
        <v>4461</v>
      </c>
      <c r="B57" s="3" t="s">
        <v>4462</v>
      </c>
    </row>
    <row r="58" spans="1:2" ht="11.25" customHeight="1">
      <c r="A58" s="3" t="s">
        <v>4463</v>
      </c>
      <c r="B58" s="3" t="s">
        <v>4464</v>
      </c>
    </row>
    <row r="59" spans="1:2" ht="11.25" customHeight="1">
      <c r="A59" s="3" t="s">
        <v>4465</v>
      </c>
      <c r="B59" s="3" t="s">
        <v>4466</v>
      </c>
    </row>
    <row r="60" spans="1:2" ht="11.25" customHeight="1">
      <c r="A60" s="3" t="s">
        <v>4467</v>
      </c>
      <c r="B60" s="3" t="s">
        <v>4468</v>
      </c>
    </row>
    <row r="61" spans="1:2" ht="11.25" customHeight="1">
      <c r="A61" s="3"/>
      <c r="B61" s="3" t="s">
        <v>4469</v>
      </c>
    </row>
    <row r="62" spans="1:2" ht="11.25" customHeight="1">
      <c r="A62" s="3"/>
      <c r="B62" s="3" t="s">
        <v>4470</v>
      </c>
    </row>
    <row r="63" spans="1:2" ht="11.25" customHeight="1">
      <c r="A63" s="3"/>
      <c r="B63" s="3" t="s">
        <v>4471</v>
      </c>
    </row>
    <row r="64" spans="1:2" ht="11.25" customHeight="1">
      <c r="A64" s="3"/>
      <c r="B64" s="3" t="s">
        <v>4472</v>
      </c>
    </row>
    <row r="65" spans="1:2" ht="11.25" customHeight="1">
      <c r="A65" s="3"/>
      <c r="B65" s="3" t="s">
        <v>4473</v>
      </c>
    </row>
    <row r="66" spans="1:2" ht="11.25" customHeight="1">
      <c r="A66" s="3"/>
      <c r="B66" s="3" t="s">
        <v>4474</v>
      </c>
    </row>
    <row r="67" spans="1:2" ht="11.25" customHeight="1">
      <c r="A67" s="3"/>
      <c r="B67" s="3" t="s">
        <v>4475</v>
      </c>
    </row>
    <row r="68" spans="1:2" ht="11.25" customHeight="1">
      <c r="A68" s="3"/>
      <c r="B68" s="3" t="s">
        <v>4476</v>
      </c>
    </row>
    <row r="69" spans="1:2" ht="11.25" customHeight="1">
      <c r="A69" s="3"/>
      <c r="B69" s="3" t="s">
        <v>4477</v>
      </c>
    </row>
    <row r="70" spans="1:2" ht="11.25" customHeight="1">
      <c r="A70" s="3"/>
      <c r="B70" s="3" t="s">
        <v>4478</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606" customWidth="1"/>
    <col min="2" max="2" width="90.7109375" style="1606" customWidth="1"/>
    <col min="3" max="4" width="9.140625" style="1606"/>
  </cols>
  <sheetData>
    <row r="1" spans="2:4" ht="11.25" customHeight="1">
      <c r="B1" s="31" t="s">
        <v>4479</v>
      </c>
    </row>
    <row r="2" spans="2:4" ht="90" customHeight="1">
      <c r="B2" s="32" t="s">
        <v>4480</v>
      </c>
    </row>
    <row r="3" spans="2:4" ht="67.5" customHeight="1">
      <c r="B3" s="32" t="s">
        <v>4481</v>
      </c>
    </row>
    <row r="4" spans="2:4" ht="33.75" customHeight="1">
      <c r="B4" s="32" t="s">
        <v>4482</v>
      </c>
    </row>
    <row r="5" spans="2:4" ht="11.25" customHeight="1">
      <c r="B5" s="32" t="s">
        <v>4483</v>
      </c>
    </row>
    <row r="6" spans="2:4" ht="22.5" customHeight="1">
      <c r="B6" s="32" t="s">
        <v>4484</v>
      </c>
    </row>
    <row r="7" spans="2:4" ht="22.5" customHeight="1">
      <c r="B7" s="32" t="s">
        <v>4485</v>
      </c>
    </row>
    <row r="8" spans="2:4" ht="22.5" customHeight="1">
      <c r="B8" s="32" t="s">
        <v>4486</v>
      </c>
    </row>
    <row r="9" spans="2:4" ht="22.5" customHeight="1">
      <c r="B9" s="32" t="s">
        <v>4487</v>
      </c>
    </row>
    <row r="10" spans="2:4" ht="56.25" customHeight="1">
      <c r="B10" s="32" t="s">
        <v>4488</v>
      </c>
    </row>
    <row r="11" spans="2:4" ht="12.75" customHeight="1">
      <c r="B11" s="93" t="s">
        <v>4489</v>
      </c>
    </row>
    <row r="12" spans="2:4" ht="11.25" customHeight="1">
      <c r="B12" s="31" t="s">
        <v>4490</v>
      </c>
    </row>
    <row r="13" spans="2:4" ht="22.5" customHeight="1">
      <c r="B13" s="32" t="s">
        <v>4491</v>
      </c>
    </row>
    <row r="14" spans="2:4" ht="67.5" customHeight="1">
      <c r="B14" s="32" t="s">
        <v>4492</v>
      </c>
    </row>
    <row r="15" spans="2:4" ht="22.5" customHeight="1">
      <c r="B15" s="32" t="s">
        <v>4493</v>
      </c>
    </row>
    <row r="16" spans="2:4" ht="11.25" customHeight="1">
      <c r="B16" s="31" t="s">
        <v>4494</v>
      </c>
      <c r="D16" s="38"/>
    </row>
    <row r="17" spans="1:2" ht="33.75" customHeight="1">
      <c r="B17" s="32" t="s">
        <v>4495</v>
      </c>
    </row>
    <row r="18" spans="1:2" ht="33.75" customHeight="1">
      <c r="B18" s="32" t="s">
        <v>4496</v>
      </c>
    </row>
    <row r="19" spans="1:2" ht="11.25" customHeight="1">
      <c r="B19" s="32" t="s">
        <v>4497</v>
      </c>
    </row>
    <row r="20" spans="1:2" ht="33.75" customHeight="1">
      <c r="B20" s="32" t="s">
        <v>4498</v>
      </c>
    </row>
    <row r="21" spans="1:2" ht="11.25" customHeight="1">
      <c r="B21" s="31" t="s">
        <v>4499</v>
      </c>
    </row>
    <row r="22" spans="1:2" ht="11.25" customHeight="1">
      <c r="B22" s="32" t="s">
        <v>4500</v>
      </c>
    </row>
    <row r="24" spans="1:2" ht="22.5" customHeight="1">
      <c r="B24" s="95" t="s">
        <v>4501</v>
      </c>
    </row>
    <row r="26" spans="1:2" ht="11.25" customHeight="1">
      <c r="B26" s="31" t="s">
        <v>4502</v>
      </c>
    </row>
    <row r="27" spans="1:2" ht="22.5" customHeight="1">
      <c r="B27" s="94" t="s">
        <v>480</v>
      </c>
    </row>
    <row r="28" spans="1:2" ht="56.25" customHeight="1">
      <c r="B28" s="94" t="s">
        <v>4503</v>
      </c>
    </row>
    <row r="29" spans="1:2" ht="11.25" customHeight="1">
      <c r="B29" s="144" t="s">
        <v>4504</v>
      </c>
    </row>
    <row r="30" spans="1:2" ht="22.5" customHeight="1">
      <c r="B30" s="94" t="s">
        <v>4505</v>
      </c>
    </row>
    <row r="32" spans="1:2" ht="11.25" customHeight="1">
      <c r="A32" s="122"/>
      <c r="B32" s="123" t="s">
        <v>4506</v>
      </c>
    </row>
    <row r="33" spans="1:2" ht="14.25" customHeight="1">
      <c r="A33" s="124">
        <v>1</v>
      </c>
      <c r="B33" s="125" t="s">
        <v>4507</v>
      </c>
    </row>
    <row r="34" spans="1:2" ht="14.25" customHeight="1">
      <c r="A34" s="124">
        <v>2</v>
      </c>
      <c r="B34" s="125" t="s">
        <v>4508</v>
      </c>
    </row>
    <row r="35" spans="1:2" ht="11.25" customHeight="1">
      <c r="B35" s="123" t="s">
        <v>4509</v>
      </c>
    </row>
    <row r="36" spans="1:2" ht="11.25" customHeight="1">
      <c r="B36" s="125" t="s">
        <v>4510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420" hidden="1" customWidth="1"/>
    <col min="2" max="3" width="9.140625" style="1423" hidden="1" customWidth="1"/>
    <col min="4" max="4" width="3" style="1598" customWidth="1"/>
    <col min="5" max="5" width="6" style="1423" customWidth="1"/>
    <col min="6" max="6" width="1.7109375" style="1423" hidden="1" customWidth="1"/>
    <col min="7" max="8" width="30" style="1423" customWidth="1"/>
    <col min="9" max="9" width="8" style="1423" customWidth="1"/>
    <col min="10" max="10" width="12.140625" style="1423" customWidth="1"/>
    <col min="11" max="11" width="46" style="1423" customWidth="1"/>
    <col min="12" max="12" width="100" style="1423" customWidth="1"/>
    <col min="13" max="13" width="7" style="1578" customWidth="1"/>
    <col min="14" max="22" width="10" style="1423" customWidth="1"/>
    <col min="23" max="23" width="10.5703125" style="1423" hidden="1"/>
  </cols>
  <sheetData>
    <row r="1" spans="1:23" s="1430" customFormat="1" ht="5.25" hidden="1" customHeight="1">
      <c r="C1" s="444"/>
      <c r="D1" s="427"/>
      <c r="F1" s="444"/>
      <c r="G1" s="422" t="s">
        <v>70</v>
      </c>
      <c r="H1" s="422" t="s">
        <v>71</v>
      </c>
      <c r="I1" s="422" t="s">
        <v>72</v>
      </c>
      <c r="P1" s="422" t="s">
        <v>70</v>
      </c>
      <c r="Q1" s="422" t="s">
        <v>71</v>
      </c>
      <c r="R1" s="422" t="s">
        <v>72</v>
      </c>
      <c r="W1" s="422" t="s">
        <v>1</v>
      </c>
    </row>
    <row r="2" spans="1:23" s="1430" customFormat="1" ht="5.25" hidden="1" customHeight="1">
      <c r="C2" s="444"/>
      <c r="D2" s="427"/>
      <c r="F2" s="444"/>
      <c r="W2" s="422">
        <v>0</v>
      </c>
    </row>
    <row r="3" spans="1:23" s="1400" customFormat="1" ht="5.25" customHeight="1">
      <c r="A3" s="412"/>
      <c r="D3" s="419"/>
      <c r="E3" s="414"/>
      <c r="F3" s="414"/>
      <c r="G3" s="414"/>
      <c r="H3" s="414"/>
      <c r="I3" s="415"/>
      <c r="J3" s="416"/>
      <c r="K3" s="416"/>
      <c r="L3" s="416"/>
      <c r="W3" s="413">
        <v>5</v>
      </c>
    </row>
    <row r="4" spans="1:23" ht="23.25" customHeight="1">
      <c r="D4" s="383"/>
      <c r="E4" s="2259" t="s">
        <v>472</v>
      </c>
      <c r="F4" s="2259"/>
      <c r="G4" s="2260"/>
      <c r="H4" s="2260"/>
      <c r="I4" s="2261"/>
      <c r="J4" s="424"/>
      <c r="K4" s="386"/>
      <c r="L4" s="386"/>
      <c r="W4" s="380">
        <v>22</v>
      </c>
    </row>
    <row r="5" spans="1:23" s="1423" customFormat="1" ht="18" customHeight="1">
      <c r="A5" s="664"/>
      <c r="D5" s="721"/>
      <c r="E5" s="2371" t="str">
        <f>IF(org=0,"Не определено",org)</f>
        <v>ООО "Смоленскрегионтеплоэнерго"</v>
      </c>
      <c r="F5" s="2371"/>
      <c r="G5" s="2372"/>
      <c r="H5" s="2372"/>
      <c r="I5" s="2373"/>
      <c r="J5" s="424"/>
      <c r="K5" s="386"/>
      <c r="L5" s="386"/>
      <c r="M5" s="440"/>
      <c r="W5" s="663">
        <v>17</v>
      </c>
    </row>
    <row r="6" spans="1:23" s="1400" customFormat="1" ht="11.45" customHeight="1">
      <c r="A6" s="412"/>
      <c r="D6" s="419"/>
      <c r="E6" s="414"/>
      <c r="F6" s="414"/>
      <c r="G6" s="417"/>
      <c r="H6" s="417"/>
      <c r="I6" s="418"/>
      <c r="J6" s="418"/>
      <c r="K6" s="659"/>
      <c r="L6" s="418"/>
      <c r="W6" s="413">
        <v>11</v>
      </c>
    </row>
    <row r="7" spans="1:23" ht="14.65" customHeight="1">
      <c r="D7" s="383"/>
      <c r="E7" s="2356" t="s">
        <v>384</v>
      </c>
      <c r="F7" s="2356"/>
      <c r="G7" s="2357"/>
      <c r="H7" s="2357"/>
      <c r="I7" s="2357"/>
      <c r="J7" s="2357"/>
      <c r="K7" s="2357"/>
      <c r="L7" s="2325" t="s">
        <v>385</v>
      </c>
      <c r="W7" s="380">
        <v>14</v>
      </c>
    </row>
    <row r="8" spans="1:23" ht="48.2" customHeight="1">
      <c r="D8" s="383"/>
      <c r="E8" s="406" t="s">
        <v>75</v>
      </c>
      <c r="F8" s="722"/>
      <c r="G8" s="398" t="s">
        <v>73</v>
      </c>
      <c r="H8" s="398" t="s">
        <v>74</v>
      </c>
      <c r="I8" s="347" t="s">
        <v>72</v>
      </c>
      <c r="J8" s="347" t="s">
        <v>473</v>
      </c>
      <c r="K8" s="347" t="s">
        <v>474</v>
      </c>
      <c r="L8" s="2325"/>
      <c r="W8" s="380">
        <v>46</v>
      </c>
    </row>
    <row r="9" spans="1:23" ht="12" hidden="1" customHeight="1">
      <c r="D9" s="420"/>
      <c r="E9" s="426"/>
      <c r="F9" s="729"/>
      <c r="G9" s="426"/>
      <c r="H9" s="426"/>
      <c r="I9" s="426"/>
      <c r="J9" s="426"/>
      <c r="K9" s="426"/>
      <c r="L9" s="426"/>
      <c r="M9" s="380"/>
      <c r="W9" s="380">
        <v>0</v>
      </c>
    </row>
    <row r="10" spans="1:23" ht="14.25" hidden="1" customHeight="1">
      <c r="A10" s="438"/>
      <c r="B10" s="438"/>
      <c r="D10" s="439"/>
      <c r="E10" s="445">
        <v>0</v>
      </c>
      <c r="F10" s="720"/>
      <c r="G10" s="441"/>
      <c r="H10" s="441"/>
      <c r="I10" s="441"/>
      <c r="J10" s="441"/>
      <c r="K10" s="441"/>
      <c r="L10" s="2369" t="s">
        <v>475</v>
      </c>
      <c r="M10" s="440"/>
      <c r="N10" s="438"/>
      <c r="O10" s="438"/>
      <c r="P10" s="438"/>
      <c r="Q10" s="438"/>
      <c r="R10" s="438"/>
      <c r="S10" s="438"/>
      <c r="T10" s="438"/>
      <c r="U10" s="438"/>
      <c r="V10" s="438"/>
      <c r="W10" s="380">
        <v>0</v>
      </c>
    </row>
    <row r="11" spans="1:23" ht="15" hidden="1" customHeight="1">
      <c r="A11" s="2250"/>
      <c r="B11" s="437"/>
      <c r="C11" s="437"/>
      <c r="D11" s="764"/>
      <c r="E11" s="446"/>
      <c r="F11" s="446"/>
      <c r="G11" s="446"/>
      <c r="H11" s="446"/>
      <c r="I11" s="447"/>
      <c r="J11" s="448"/>
      <c r="K11" s="631"/>
      <c r="L11" s="2382"/>
      <c r="M11" s="444"/>
      <c r="N11" s="444"/>
      <c r="O11" s="444"/>
      <c r="P11" s="449"/>
      <c r="Q11" s="449"/>
      <c r="R11" s="450"/>
      <c r="S11" s="444"/>
      <c r="T11" s="444"/>
      <c r="U11" s="444"/>
      <c r="V11" s="444"/>
      <c r="W11" s="380">
        <v>0</v>
      </c>
    </row>
    <row r="12" spans="1:23" s="1400" customFormat="1" ht="15" customHeight="1">
      <c r="A12" s="2250"/>
      <c r="B12" s="437"/>
      <c r="C12" s="437"/>
      <c r="D12" s="765"/>
      <c r="E12" s="722">
        <v>1</v>
      </c>
      <c r="F12" s="763">
        <v>23</v>
      </c>
      <c r="G12" s="762"/>
      <c r="H12" s="692"/>
      <c r="I12" s="690"/>
      <c r="J12" s="453" t="s">
        <v>52</v>
      </c>
      <c r="K12" s="965" t="s">
        <v>9</v>
      </c>
      <c r="L12" s="2382"/>
      <c r="M12" s="444"/>
      <c r="N12" s="444"/>
      <c r="O12" s="444"/>
      <c r="P12" s="449" t="s">
        <v>476</v>
      </c>
      <c r="Q12" s="449" t="s">
        <v>477</v>
      </c>
      <c r="R12" s="450" t="s">
        <v>478</v>
      </c>
      <c r="S12" s="444" t="s">
        <v>479</v>
      </c>
      <c r="T12" s="444"/>
      <c r="U12" s="444"/>
      <c r="V12" s="444"/>
      <c r="W12" s="413">
        <v>14</v>
      </c>
    </row>
    <row r="13" spans="1:23" ht="15.75" customHeight="1">
      <c r="A13" s="2250"/>
      <c r="B13" s="438"/>
      <c r="D13" s="439"/>
      <c r="E13" s="338"/>
      <c r="F13" s="462"/>
      <c r="G13" s="349" t="s">
        <v>88</v>
      </c>
      <c r="H13" s="337"/>
      <c r="I13" s="337"/>
      <c r="J13" s="337"/>
      <c r="K13" s="336"/>
      <c r="L13" s="2370"/>
      <c r="M13" s="442"/>
      <c r="N13" s="438"/>
      <c r="O13" s="438"/>
      <c r="P13" s="438"/>
      <c r="Q13" s="438"/>
      <c r="R13" s="438"/>
      <c r="S13" s="438"/>
      <c r="T13" s="438"/>
      <c r="U13" s="438"/>
      <c r="V13" s="438"/>
      <c r="W13" s="380">
        <v>15</v>
      </c>
    </row>
    <row r="14" spans="1:23" ht="11.45" customHeight="1">
      <c r="A14" s="412"/>
      <c r="B14" s="413"/>
      <c r="C14" s="413"/>
      <c r="D14" s="428"/>
      <c r="E14" s="413"/>
      <c r="F14" s="413"/>
      <c r="G14" s="413"/>
      <c r="H14" s="413"/>
      <c r="I14" s="413"/>
      <c r="J14" s="413"/>
      <c r="K14" s="413"/>
      <c r="L14" s="413"/>
      <c r="M14" s="413"/>
      <c r="N14" s="413"/>
      <c r="O14" s="413"/>
      <c r="P14" s="413"/>
      <c r="Q14" s="413"/>
      <c r="R14" s="413"/>
      <c r="S14" s="413"/>
      <c r="T14" s="413"/>
      <c r="U14" s="413"/>
      <c r="V14" s="413"/>
      <c r="W14" s="380">
        <v>11</v>
      </c>
    </row>
    <row r="15" spans="1:23" ht="14.65" customHeight="1">
      <c r="D15" s="399"/>
      <c r="E15" s="270"/>
      <c r="F15" s="270"/>
      <c r="G15" s="59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99"/>
      <c r="I15" s="399"/>
      <c r="J15" s="399"/>
      <c r="K15" s="399"/>
      <c r="L15" s="399"/>
      <c r="W15" s="380">
        <v>14</v>
      </c>
    </row>
    <row r="16" spans="1:23" ht="14.65" customHeight="1">
      <c r="W16" s="380">
        <v>14</v>
      </c>
    </row>
    <row r="17" spans="1:23" ht="14.65" customHeight="1">
      <c r="W17" s="380">
        <v>14</v>
      </c>
    </row>
    <row r="18" spans="1:23" ht="14.65" customHeight="1">
      <c r="G18" s="438"/>
      <c r="W18" s="380">
        <v>14</v>
      </c>
    </row>
    <row r="19" spans="1:23" ht="22.5" hidden="1" customHeight="1">
      <c r="A19" s="382" t="s">
        <v>69</v>
      </c>
      <c r="B19" s="380">
        <v>0</v>
      </c>
      <c r="C19" s="663">
        <v>0</v>
      </c>
      <c r="D19" s="384">
        <v>3</v>
      </c>
      <c r="E19" s="380">
        <v>6</v>
      </c>
      <c r="F19" s="663">
        <v>0</v>
      </c>
      <c r="G19" s="380">
        <v>30</v>
      </c>
      <c r="H19" s="380">
        <v>30</v>
      </c>
      <c r="I19" s="380">
        <v>8</v>
      </c>
      <c r="J19" s="380">
        <v>12</v>
      </c>
      <c r="K19" s="380">
        <v>46</v>
      </c>
      <c r="L19" s="380">
        <v>100</v>
      </c>
      <c r="M19" s="385">
        <v>7</v>
      </c>
      <c r="N19" s="380">
        <v>10</v>
      </c>
      <c r="O19" s="380">
        <v>10</v>
      </c>
      <c r="P19" s="380">
        <v>10</v>
      </c>
      <c r="Q19" s="380">
        <v>10</v>
      </c>
      <c r="R19" s="380">
        <v>10</v>
      </c>
      <c r="S19" s="380">
        <v>10</v>
      </c>
      <c r="T19" s="380">
        <v>10</v>
      </c>
      <c r="U19" s="380">
        <v>10</v>
      </c>
      <c r="V19" s="380">
        <v>10</v>
      </c>
      <c r="W19" s="380">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83</vt:i4>
      </vt:variant>
      <vt:variant>
        <vt:lpstr>Именованные диапазоны</vt:lpstr>
      </vt:variant>
      <vt:variant>
        <vt:i4>2310</vt:i4>
      </vt:variant>
    </vt:vector>
  </HeadingPairs>
  <TitlesOfParts>
    <vt:vector size="2393" baseType="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Ограничения</vt:lpstr>
      <vt:lpstr>ИП. Финансовый план</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B_FHD_diff_5111</vt:lpstr>
      <vt:lpstr>B_FHD_diff_51111</vt:lpstr>
      <vt:lpstr>B_FHD_diff_511111</vt:lpstr>
      <vt:lpstr>B_FHD_diff_5111111</vt:lpstr>
      <vt:lpstr>B_FHD_diff_51111111</vt:lpstr>
      <vt:lpstr>B_FHD_diff_511111111</vt:lpstr>
      <vt:lpstr>B_FHD_diff_5111111111</vt:lpstr>
      <vt:lpstr>B_FHD_diff_51111111111</vt:lpstr>
      <vt:lpstr>B_FHD_diff_511111111111</vt:lpstr>
      <vt:lpstr>B_FHD_diff_5111111111111</vt:lpstr>
      <vt:lpstr>B_FHD_diff_51111111111111</vt:lpstr>
      <vt:lpstr>B_FHD_diff_511111111111111</vt:lpstr>
      <vt:lpstr>B_FHD_diff_5111111111111111</vt:lpstr>
      <vt:lpstr>B_FHD_diff_51111111111111111</vt:lpstr>
      <vt:lpstr>B_FHD_diff_511111111111111111</vt:lpstr>
      <vt:lpstr>B_FHD_diff_5111111111111111111</vt:lpstr>
      <vt:lpstr>B_FHD_diff_51111111111111111111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B_FHD_TKO_diff_5111</vt:lpstr>
      <vt:lpstr>B_FHD_TKO_diff_51111</vt:lpstr>
      <vt:lpstr>B_FHD_TKO_diff_511111</vt:lpstr>
      <vt:lpstr>B_FHD_TKO_diff_5111111</vt:lpstr>
      <vt:lpstr>B_FHD_TKO_diff_51111111</vt:lpstr>
      <vt:lpstr>B_FHD_TKO_diff_511111111</vt:lpstr>
      <vt:lpstr>B_FHD_TKO_diff_5111111111</vt:lpstr>
      <vt:lpstr>B_FHD_TKO_diff_51111111111</vt:lpstr>
      <vt:lpstr>B_FHD_TKO_diff_511111111111</vt:lpstr>
      <vt:lpstr>B_FHD_TKO_diff_5111111111111</vt:lpstr>
      <vt:lpstr>B_FHD_TKO_diff_51111111111111</vt:lpstr>
      <vt:lpstr>B_FHD_TKO_diff_511111111111111</vt:lpstr>
      <vt:lpstr>B_FHD_TKO_diff_5111111111111111</vt:lpstr>
      <vt:lpstr>B_FHD_TKO_diff_51111111111111111</vt:lpstr>
      <vt:lpstr>B_FHD_TKO_diff_511111111111111111</vt:lpstr>
      <vt:lpstr>B_FHD_TKO_diff_5111111111111111111</vt:lpstr>
      <vt:lpstr>B_FHD_TKO_diff_51111111111111111111</vt:lpstr>
      <vt:lpstr>B_FHD_TKO_FLAG_DIFFERENTIATION</vt:lpstr>
      <vt:lpstr>B_FHD_TKO_TRANS_DATA_TOP80_ACTIVITY</vt:lpstr>
      <vt:lpstr>B_FHD_TKO_TRANS_diff_1</vt:lpstr>
      <vt:lpstr>B_FHD_TKO_TRANS_diff_5</vt:lpstr>
      <vt:lpstr>B_FHD_TKO_TRANS_diff_51</vt:lpstr>
      <vt:lpstr>B_FHD_TKO_TRANS_diff_511</vt:lpstr>
      <vt:lpstr>B_FHD_TKO_TRANS_diff_5111</vt:lpstr>
      <vt:lpstr>B_FHD_TKO_TRANS_diff_51111</vt:lpstr>
      <vt:lpstr>B_FHD_TKO_TRANS_diff_511111</vt:lpstr>
      <vt:lpstr>B_FHD_TKO_TRANS_diff_5111111</vt:lpstr>
      <vt:lpstr>B_FHD_TKO_TRANS_diff_51111111</vt:lpstr>
      <vt:lpstr>B_FHD_TKO_TRANS_diff_511111111</vt:lpstr>
      <vt:lpstr>B_FHD_TKO_TRANS_diff_5111111111</vt:lpstr>
      <vt:lpstr>B_FHD_TKO_TRANS_diff_51111111111</vt:lpstr>
      <vt:lpstr>B_FHD_TKO_TRANS_diff_511111111111</vt:lpstr>
      <vt:lpstr>B_FHD_TKO_TRANS_diff_5111111111111</vt:lpstr>
      <vt:lpstr>B_FHD_TKO_TRANS_diff_51111111111111</vt:lpstr>
      <vt:lpstr>B_FHD_TKO_TRANS_diff_511111111111111</vt:lpstr>
      <vt:lpstr>B_FHD_TKO_TRANS_diff_5111111111111111</vt:lpstr>
      <vt:lpstr>B_FHD_TKO_TRANS_diff_51111111111111111</vt:lpstr>
      <vt:lpstr>B_FHD_TKO_TRANS_diff_511111111111111111</vt:lpstr>
      <vt:lpstr>B_FHD_TKO_TRANS_diff_5111111111111111111</vt:lpstr>
      <vt:lpstr>B_FHD_TKO_TRANS_diff_51111111111111111111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B_FHD20_diff_5111</vt:lpstr>
      <vt:lpstr>B_FHD20_diff_51111</vt:lpstr>
      <vt:lpstr>B_FHD20_diff_511111</vt:lpstr>
      <vt:lpstr>B_FHD20_diff_5111111</vt:lpstr>
      <vt:lpstr>B_FHD20_diff_51111111</vt:lpstr>
      <vt:lpstr>B_FHD20_diff_511111111</vt:lpstr>
      <vt:lpstr>B_FHD20_diff_5111111111</vt:lpstr>
      <vt:lpstr>B_FHD20_diff_51111111111</vt:lpstr>
      <vt:lpstr>B_FHD20_diff_511111111111</vt:lpstr>
      <vt:lpstr>B_FHD20_diff_5111111111111</vt:lpstr>
      <vt:lpstr>B_FHD20_diff_51111111111111</vt:lpstr>
      <vt:lpstr>B_FHD20_diff_511111111111111</vt:lpstr>
      <vt:lpstr>B_FHD20_diff_5111111111111111</vt:lpstr>
      <vt:lpstr>B_FHD20_diff_51111111111111111</vt:lpstr>
      <vt:lpstr>B_FHD20_diff_511111111111111111</vt:lpstr>
      <vt:lpstr>B_FHD20_diff_5111111111111111111</vt:lpstr>
      <vt:lpstr>B_FHD20_diff_51111111111111111111</vt:lpstr>
      <vt:lpstr>B_FHD20_FLAG_FHD</vt:lpstr>
      <vt:lpstr>B_FHD20_NUMBER_COLUMN_MARKER</vt:lpstr>
      <vt:lpstr>B_FHD20_PART_COLUMN_MARKER</vt:lpstr>
      <vt:lpstr>B_OTEP_diff_1</vt:lpstr>
      <vt:lpstr>B_OTEP_diff_5</vt:lpstr>
      <vt:lpstr>B_OTEP_diff_51</vt:lpstr>
      <vt:lpstr>B_OTEP_diff_511</vt:lpstr>
      <vt:lpstr>B_OTEP_diff_5111</vt:lpstr>
      <vt:lpstr>B_OTEP_diff_51111</vt:lpstr>
      <vt:lpstr>B_OTEP_diff_511111</vt:lpstr>
      <vt:lpstr>B_OTEP_diff_5111111</vt:lpstr>
      <vt:lpstr>B_OTEP_diff_51111111</vt:lpstr>
      <vt:lpstr>B_OTEP_diff_511111111</vt:lpstr>
      <vt:lpstr>B_OTEP_diff_5111111111</vt:lpstr>
      <vt:lpstr>B_OTEP_diff_51111111111</vt:lpstr>
      <vt:lpstr>B_OTEP_diff_511111111111</vt:lpstr>
      <vt:lpstr>B_OTEP_diff_5111111111111</vt:lpstr>
      <vt:lpstr>B_OTEP_diff_51111111111111</vt:lpstr>
      <vt:lpstr>B_OTEP_diff_511111111111111</vt:lpstr>
      <vt:lpstr>B_OTEP_diff_5111111111111111</vt:lpstr>
      <vt:lpstr>B_OTEP_diff_51111111111111111</vt:lpstr>
      <vt:lpstr>B_OTEP_diff_511111111111111111</vt:lpstr>
      <vt:lpstr>B_OTEP_diff_5111111111111111111</vt:lpstr>
      <vt:lpstr>B_OTEP_diff_51111111111111111111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IP_FIN_PLAN_ip_51111111111111</vt:lpstr>
      <vt:lpstr>IP_FIN_PLAN_ip_511111111111111</vt:lpstr>
      <vt:lpstr>IP_FIN_PLAN_ip_5111111111111111</vt:lpstr>
      <vt:lpstr>IP_FIN_PLAN_ip_51111111111111111</vt:lpstr>
      <vt:lpstr>IP_FIN_PLAN_ip_511111111111111111</vt:lpstr>
      <vt:lpstr>IP_FIN_PLAN_ip_511111111111111111111</vt:lpstr>
      <vt:lpstr>IP_FIN_PLAN_ip_5111111111111111111111</vt:lpstr>
      <vt:lpstr>IP_FIN_PLAN_ip_51111111111111111111111</vt:lpstr>
      <vt:lpstr>IP_FIN_PLAN_ip_511111111111111111111111</vt:lpstr>
      <vt:lpstr>IP_FIN_PLAN_LIST_ID_MARKER_ROW</vt:lpstr>
      <vt:lpstr>IP_FIN_PLAN_NAME_IP_MARKER_ROW</vt:lpstr>
      <vt:lpstr>IP_FIN_PLAN_YEAR_MARKER_ROW</vt:lpstr>
      <vt:lpstr>IP_ID</vt:lpstr>
      <vt:lpstr>IP_NAME_FORM</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pDel_DIFFERENTIATION_AREA</vt:lpstr>
      <vt:lpstr>pDel_DIFFERENTIATION_SYSTEM</vt:lpstr>
      <vt:lpstr>pDel_DIFFERENTIATION_VD</vt:lpstr>
      <vt:lpstr>pDel_ED</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pHeader_B_OTEP</vt:lpstr>
      <vt:lpstr>pHeader_Q_LIMIT</vt:lpstr>
      <vt:lpstr>pHeader_Q_PH</vt:lpstr>
      <vt:lpstr>pHeader_Q_TP</vt:lpstr>
      <vt:lpstr>pHeader_ver_B_FHD</vt:lpstr>
      <vt:lpstr>pHeader_ver_B_FHD_TKO</vt:lpstr>
      <vt:lpstr>pHeader_ver_B_FHD_TKO_TRANS</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pIns_B_OTEP_2</vt:lpstr>
      <vt:lpstr>pIns_B_OTEP_DIFFERENTIATION</vt:lpstr>
      <vt:lpstr>pIns_B_STANDARTS</vt:lpstr>
      <vt:lpstr>pIns_CHANGE_INFO</vt:lpstr>
      <vt:lpstr>pIns_ED</vt:lpstr>
      <vt:lpstr>pIns_IP_FIN_PLAN</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Q_Limit_diff_5111</vt:lpstr>
      <vt:lpstr>Q_Limit_diff_51111</vt:lpstr>
      <vt:lpstr>Q_Limit_diff_511111</vt:lpstr>
      <vt:lpstr>Q_Limit_diff_5111111</vt:lpstr>
      <vt:lpstr>Q_Limit_diff_51111111</vt:lpstr>
      <vt:lpstr>Q_Limit_diff_511111111</vt:lpstr>
      <vt:lpstr>Q_Limit_diff_5111111111</vt:lpstr>
      <vt:lpstr>Q_Limit_diff_51111111111</vt:lpstr>
      <vt:lpstr>Q_Limit_diff_511111111111</vt:lpstr>
      <vt:lpstr>Q_Limit_diff_5111111111111</vt:lpstr>
      <vt:lpstr>Q_Limit_diff_51111111111111</vt:lpstr>
      <vt:lpstr>Q_Limit_diff_511111111111111</vt:lpstr>
      <vt:lpstr>Q_Limit_diff_5111111111111111</vt:lpstr>
      <vt:lpstr>Q_Limit_diff_51111111111111111</vt:lpstr>
      <vt:lpstr>Q_Limit_diff_511111111111111111</vt:lpstr>
      <vt:lpstr>Q_Limit_diff_5111111111111111111</vt:lpstr>
      <vt:lpstr>Q_Limit_diff_51111111111111111111</vt:lpstr>
      <vt:lpstr>Q_LIMIT_p3</vt:lpstr>
      <vt:lpstr>Q_LIMIT_p4</vt:lpstr>
      <vt:lpstr>Q_PH_diff_1</vt:lpstr>
      <vt:lpstr>Q_PH_diff_5</vt:lpstr>
      <vt:lpstr>Q_PH_diff_51</vt:lpstr>
      <vt:lpstr>Q_PH_diff_511</vt:lpstr>
      <vt:lpstr>Q_PH_diff_5111</vt:lpstr>
      <vt:lpstr>Q_PH_diff_51111</vt:lpstr>
      <vt:lpstr>Q_PH_diff_511111</vt:lpstr>
      <vt:lpstr>Q_PH_diff_5111111</vt:lpstr>
      <vt:lpstr>Q_PH_diff_51111111</vt:lpstr>
      <vt:lpstr>Q_PH_diff_511111111</vt:lpstr>
      <vt:lpstr>Q_PH_diff_5111111111</vt:lpstr>
      <vt:lpstr>Q_PH_diff_51111111111</vt:lpstr>
      <vt:lpstr>Q_PH_diff_511111111111</vt:lpstr>
      <vt:lpstr>Q_PH_diff_5111111111111</vt:lpstr>
      <vt:lpstr>Q_PH_diff_51111111111111</vt:lpstr>
      <vt:lpstr>Q_PH_diff_511111111111111</vt:lpstr>
      <vt:lpstr>Q_PH_diff_5111111111111111</vt:lpstr>
      <vt:lpstr>Q_PH_diff_51111111111111111</vt:lpstr>
      <vt:lpstr>Q_PH_diff_511111111111111111</vt:lpstr>
      <vt:lpstr>Q_PH_diff_5111111111111111111</vt:lpstr>
      <vt:lpstr>Q_PH_diff_51111111111111111111</vt:lpstr>
      <vt:lpstr>Q_TP_COUNT_REFUSAL</vt:lpstr>
      <vt:lpstr>Q_TP_diff_1</vt:lpstr>
      <vt:lpstr>Q_TP_diff_5</vt:lpstr>
      <vt:lpstr>Q_TP_diff_51</vt:lpstr>
      <vt:lpstr>Q_TP_diff_511</vt:lpstr>
      <vt:lpstr>Q_TP_diff_5111</vt:lpstr>
      <vt:lpstr>Q_TP_diff_51111</vt:lpstr>
      <vt:lpstr>Q_TP_diff_511111</vt:lpstr>
      <vt:lpstr>Q_TP_diff_5111111</vt:lpstr>
      <vt:lpstr>Q_TP_diff_51111111</vt:lpstr>
      <vt:lpstr>Q_TP_diff_511111111</vt:lpstr>
      <vt:lpstr>Q_TP_diff_5111111111</vt:lpstr>
      <vt:lpstr>Q_TP_diff_51111111111</vt:lpstr>
      <vt:lpstr>Q_TP_diff_511111111111</vt:lpstr>
      <vt:lpstr>Q_TP_diff_5111111111111</vt:lpstr>
      <vt:lpstr>Q_TP_diff_51111111111111</vt:lpstr>
      <vt:lpstr>Q_TP_diff_511111111111111</vt:lpstr>
      <vt:lpstr>Q_TP_diff_5111111111111111</vt:lpstr>
      <vt:lpstr>Q_TP_diff_51111111111111111</vt:lpstr>
      <vt:lpstr>Q_TP_diff_511111111111111111</vt:lpstr>
      <vt:lpstr>Q_TP_diff_5111111111111111111</vt:lpstr>
      <vt:lpstr>Q_TP_diff_51111111111111111111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tblEnd_1_IP_FIN_PLAN</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tblStart_1_IP_FIN_PLAN</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ter_51111</vt:lpstr>
      <vt:lpstr>ter_511111</vt:lpstr>
      <vt:lpstr>ter_5111111</vt:lpstr>
      <vt:lpstr>ter_51111111</vt:lpstr>
      <vt:lpstr>ter_511111111</vt:lpstr>
      <vt:lpstr>ter_5111111111</vt:lpstr>
      <vt:lpstr>ter_51111111111</vt:lpstr>
      <vt:lpstr>ter_511111111111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Рожкова</cp:lastModifiedBy>
  <cp:lastPrinted>2013-08-29T08:11:20Z</cp:lastPrinted>
  <dcterms:created xsi:type="dcterms:W3CDTF">2004-05-21T07:18:45Z</dcterms:created>
  <dcterms:modified xsi:type="dcterms:W3CDTF">2025-05-13T13:38:03Z</dcterms:modified>
</cp:coreProperties>
</file>